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alcChain.xml" ContentType="application/vnd.openxmlformats-officedocument.spreadsheetml.calcChain+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66925"/>
  <mc:AlternateContent xmlns:mc="http://schemas.openxmlformats.org/markup-compatibility/2006">
    <mc:Choice Requires="x15">
      <x15ac:absPath xmlns:x15ac="http://schemas.microsoft.com/office/spreadsheetml/2010/11/ac" url="C:\Projects\Runline\doc\"/>
    </mc:Choice>
  </mc:AlternateContent>
  <xr:revisionPtr revIDLastSave="0" documentId="13_ncr:1_{F501FB16-ED5D-428D-9374-68AD2697059A}" xr6:coauthVersionLast="47" xr6:coauthVersionMax="47" xr10:uidLastSave="{00000000-0000-0000-0000-000000000000}"/>
  <bookViews>
    <workbookView xWindow="23124" yWindow="768" windowWidth="36924" windowHeight="13728" tabRatio="978" xr2:uid="{00000000-000D-0000-FFFF-FFFF00000000}"/>
  </bookViews>
  <sheets>
    <sheet name="Index" sheetId="2" r:id="rId1"/>
    <sheet name="Interactive Web Report" sheetId="32" r:id="rId2"/>
    <sheet name="Iterative Calculations #init()" sheetId="35" r:id="rId3"/>
    <sheet name="Live Pivot Table" sheetId="37" r:id="rId4"/>
    <sheet name="Throttling Subscribes" sheetId="31" r:id="rId5"/>
    <sheet name="Throttling Publishes" sheetId="28" r:id="rId6"/>
    <sheet name="Controlling Messages" sheetId="29" r:id="rId7"/>
    <sheet name="Forced Recalculation" sheetId="27" r:id="rId8"/>
    <sheet name="Concurrent Publishers" sheetId="1" r:id="rId9"/>
    <sheet name="Reverting Toggle" sheetId="30" r:id="rId10"/>
    <sheet name="Remote Controlling Excel" sheetId="34" r:id="rId11"/>
    <sheet name="Trade Entry Form" sheetId="24" r:id="rId12"/>
    <sheet name="Time Series Report Data" sheetId="25" r:id="rId13"/>
    <sheet name="Processing CSV Files" sheetId="33" r:id="rId14"/>
    <sheet name="Dynamically-Sized Range" sheetId="26" r:id="rId15"/>
    <sheet name="Highlighted Hover" sheetId="38" r:id="rId16"/>
    <sheet name="Expandable Grid" sheetId="36" r:id="rId17"/>
  </sheets>
  <definedNames>
    <definedName name="BrokerSelectionList">_xll.UPTICK.REGION('Trade Entry Form'!$O$8,,,TRUE)</definedName>
    <definedName name="Concurrent_Publishers">'Concurrent Publishers'!$C$1</definedName>
    <definedName name="Controlling_Messages">'Controlling Messages'!$C$1</definedName>
    <definedName name="DeskSelectionList">_xll.UPTICK.REGION('Time Series Report Data'!$I$5,,,TRUE)</definedName>
    <definedName name="Dynamically_Sized_Range">'Dynamically-Sized Range'!$C$1</definedName>
    <definedName name="ENABLED">'Interactive Web Report'!$W$5</definedName>
    <definedName name="Expandable_Grid">'Expandable Grid'!$C$1</definedName>
    <definedName name="Forced_Recalculation">'Forced Recalculation'!$C$1</definedName>
    <definedName name="Highlighted_Hover">'Highlighted Hover'!$C$1</definedName>
    <definedName name="Interactive_Web_Reports">'Interactive Web Report'!$C$1</definedName>
    <definedName name="Iterative_Calculations">'Iterative Calculations #init()'!$C$1</definedName>
    <definedName name="Labels">'Trade Entry Form'!$B$5:$H$5</definedName>
    <definedName name="Live_Pivot_Table">'Live Pivot Table'!$C$1</definedName>
    <definedName name="ManualTrades">'Trade Entry Form'!$B$7:$H$51</definedName>
    <definedName name="Processing_CSV_Files">'Processing CSV Files'!$C$1</definedName>
    <definedName name="Remote_Controlling_Excel">'Remote Controlling Excel'!$C$1</definedName>
    <definedName name="Reverting_Toggle">'Reverting Toggle'!$C$1</definedName>
    <definedName name="StrategySelectionList">_xll.UPTICK.REGION('Trade Entry Form'!$M$8,,,TRUE)</definedName>
    <definedName name="SymbolSelectionList">_xll.UPTICK.REGION('Trade Entry Form'!$K$8,,,TRUE)</definedName>
    <definedName name="Throttling_Publishes">'Throttling Publishes'!$C$1</definedName>
    <definedName name="Throttling_Subscribes">'Throttling Subscribes'!$C$1</definedName>
    <definedName name="Time_Series_Report_Data">'Time Series Report Data'!$C$1</definedName>
    <definedName name="Trade_Entry_Form">'Trade Entry Form'!$C$1</definedName>
    <definedName name="TradesReport">'Expandable Grid'!$U$5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30" l="1" a="1"/>
  <c r="G7" i="30" l="1"/>
  <c r="B15" i="32" a="1"/>
  <c r="C15" i="32" l="1"/>
  <c r="B15" i="32"/>
  <c r="C153" i="32" a="1"/>
  <c r="B21" i="35" a="1"/>
  <c r="C154" i="32" a="1"/>
  <c r="B19" i="35" a="1"/>
  <c r="B15" i="35" a="1"/>
  <c r="C8" i="35" a="1"/>
  <c r="B16" i="35" a="1"/>
  <c r="B18" i="35" a="1"/>
  <c r="B24" i="35" a="1"/>
  <c r="C153" i="32" l="1"/>
  <c r="C154" i="32"/>
  <c r="B24" i="35"/>
  <c r="C8" i="35"/>
  <c r="B21" i="35"/>
  <c r="B19" i="35"/>
  <c r="B18" i="35"/>
  <c r="B16" i="35"/>
  <c r="B15" i="35"/>
  <c r="H6" i="24" l="1" a="1"/>
  <c r="H6" i="24" s="1"/>
  <c r="D3" i="24" a="1"/>
  <c r="D3" i="24" s="1"/>
  <c r="I6" i="38" a="1"/>
  <c r="B144" i="32" a="1"/>
  <c r="E93" i="32" a="1"/>
  <c r="E23" i="32" a="1"/>
  <c r="B84" i="32" a="1"/>
  <c r="E209" i="32" a="1"/>
  <c r="B201" i="32" a="1"/>
  <c r="B16" i="32" a="1"/>
  <c r="E26" i="32" a="1"/>
  <c r="E211" i="32" a="1"/>
  <c r="B169" i="32" a="1"/>
  <c r="E22" i="32" a="1"/>
  <c r="B18" i="32" a="1"/>
  <c r="B202" i="32" a="1"/>
  <c r="M6" i="26" a="1"/>
  <c r="B86" i="32" a="1"/>
  <c r="C151" i="32" a="1"/>
  <c r="D207" i="32" a="1"/>
  <c r="E94" i="32" a="1"/>
  <c r="B203" i="32" a="1"/>
  <c r="C32" i="36" a="1"/>
  <c r="E210" i="32" a="1"/>
  <c r="E212" i="32" a="1"/>
  <c r="E92" i="32" a="1"/>
  <c r="B35" i="25" a="1"/>
  <c r="E24" i="32" a="1"/>
  <c r="D211" i="32" a="1"/>
  <c r="G10" i="31" a="1"/>
  <c r="B141" i="32" a="1"/>
  <c r="N13" i="35"/>
  <c r="B142" i="32" a="1"/>
  <c r="M3" i="24" a="1"/>
  <c r="B30" i="25" a="1"/>
  <c r="D208" i="32" a="1"/>
  <c r="C147" i="32" a="1"/>
  <c r="N15" i="35" a="1"/>
  <c r="E97" i="32" a="1"/>
  <c r="B54" i="32" a="1"/>
  <c r="E91" i="32" a="1"/>
  <c r="B171" i="32" a="1"/>
  <c r="B17" i="32" a="1"/>
  <c r="B40" i="25" a="1"/>
  <c r="B85" i="32" a="1"/>
  <c r="D212" i="32" a="1"/>
  <c r="E207" i="32" a="1"/>
  <c r="K4" i="1" a="1"/>
  <c r="B53" i="32" a="1"/>
  <c r="C148" i="32" a="1"/>
  <c r="E5" i="25" a="1"/>
  <c r="F5" i="25" a="1"/>
  <c r="B143" i="32" a="1"/>
  <c r="E21" i="32" a="1"/>
  <c r="B51" i="32" a="1"/>
  <c r="E25" i="32" a="1"/>
  <c r="C149" i="32" a="1"/>
  <c r="E214" i="32" a="1"/>
  <c r="E213" i="32" a="1"/>
  <c r="E90" i="32" a="1"/>
  <c r="D210" i="32" a="1"/>
  <c r="B52" i="32" a="1"/>
  <c r="C150" i="32" a="1"/>
  <c r="B170" i="32" a="1"/>
  <c r="E208" i="32" a="1"/>
  <c r="Z4" i="2" a="1"/>
  <c r="B25" i="25" a="1"/>
  <c r="O3" i="24" a="1"/>
  <c r="D209" i="32" a="1"/>
  <c r="K3" i="24" a="1"/>
  <c r="U6" i="36" a="1"/>
  <c r="G37" i="31" a="1"/>
  <c r="C6" i="28" a="1"/>
  <c r="G31" i="29" a="1"/>
  <c r="C7" i="33" a="1"/>
  <c r="C5" i="27" a="1"/>
  <c r="G54" i="31" a="1"/>
  <c r="E57" i="32" a="1"/>
  <c r="G53" i="31" a="1"/>
  <c r="W4" i="32" a="1"/>
  <c r="G12" i="28" a="1"/>
  <c r="C5" i="30" a="1"/>
  <c r="U59" i="32" a="1"/>
  <c r="C5" i="26" a="1"/>
  <c r="E60" i="32" a="1"/>
  <c r="G46" i="30" a="1"/>
  <c r="U60" i="32" a="1"/>
  <c r="C48" i="31" a="1"/>
  <c r="E59" i="32" a="1"/>
  <c r="C8" i="33" a="1"/>
  <c r="C39" i="36" a="1"/>
  <c r="G30" i="31" a="1"/>
  <c r="B6" i="34" a="1"/>
  <c r="S5" i="30" a="1"/>
  <c r="G30" i="30" a="1"/>
  <c r="G45" i="30" a="1"/>
  <c r="G46" i="32" a="1"/>
  <c r="U58" i="32" a="1"/>
  <c r="G45" i="32" a="1"/>
  <c r="E58" i="32" a="1"/>
  <c r="K9" i="1" a="1"/>
  <c r="C7" i="35" a="1"/>
  <c r="C44" i="30" a="1"/>
  <c r="C38" i="36" a="1"/>
  <c r="C32" i="27" a="1"/>
  <c r="W3" i="32" a="1"/>
  <c r="W3" i="35" a="1"/>
  <c r="U57" i="32" a="1"/>
  <c r="I6" i="38" l="1"/>
  <c r="C52" i="32"/>
  <c r="B52" i="32"/>
  <c r="C142" i="32"/>
  <c r="B142" i="32"/>
  <c r="C16" i="32"/>
  <c r="B16" i="32"/>
  <c r="C85" i="32"/>
  <c r="B85" i="32"/>
  <c r="E97" i="32"/>
  <c r="D207" i="32"/>
  <c r="E212" i="32"/>
  <c r="E24" i="32"/>
  <c r="E208" i="32"/>
  <c r="E23" i="32"/>
  <c r="C144" i="32"/>
  <c r="B144" i="32"/>
  <c r="C170" i="32"/>
  <c r="B170" i="32"/>
  <c r="N15" i="35"/>
  <c r="C147" i="32"/>
  <c r="B171" i="32"/>
  <c r="C171" i="32"/>
  <c r="C5" i="26"/>
  <c r="W4" i="32"/>
  <c r="E21" i="32"/>
  <c r="E25" i="32"/>
  <c r="C51" i="32"/>
  <c r="B51" i="32"/>
  <c r="E57" i="32"/>
  <c r="C141" i="32"/>
  <c r="B141" i="32"/>
  <c r="C150" i="32"/>
  <c r="E209" i="32"/>
  <c r="G30" i="31"/>
  <c r="G46" i="32"/>
  <c r="S5" i="30"/>
  <c r="Z22" i="2"/>
  <c r="Z14" i="2"/>
  <c r="Z6" i="2"/>
  <c r="Z21" i="2"/>
  <c r="Z13" i="2"/>
  <c r="Z5" i="2"/>
  <c r="Z18" i="2"/>
  <c r="Z10" i="2"/>
  <c r="Z25" i="2"/>
  <c r="Z17" i="2"/>
  <c r="Z9" i="2"/>
  <c r="Z24" i="2"/>
  <c r="Z8" i="2"/>
  <c r="Z7" i="2"/>
  <c r="Z16" i="2"/>
  <c r="Z20" i="2"/>
  <c r="Z4" i="2"/>
  <c r="Z19" i="2"/>
  <c r="Z15" i="2"/>
  <c r="Z12" i="2"/>
  <c r="Z11" i="2"/>
  <c r="Z23" i="2"/>
  <c r="C201" i="32"/>
  <c r="B201" i="32"/>
  <c r="G53" i="31"/>
  <c r="E22" i="32"/>
  <c r="E26" i="32"/>
  <c r="C84" i="32"/>
  <c r="B84" i="32"/>
  <c r="C203" i="32"/>
  <c r="B203" i="32"/>
  <c r="D211" i="32"/>
  <c r="C38" i="36"/>
  <c r="B18" i="32"/>
  <c r="C18" i="32"/>
  <c r="E90" i="32"/>
  <c r="E92" i="32"/>
  <c r="C148" i="32"/>
  <c r="B169" i="32"/>
  <c r="C169" i="32"/>
  <c r="G30" i="30"/>
  <c r="W3" i="32"/>
  <c r="C53" i="32"/>
  <c r="B53" i="32"/>
  <c r="U57" i="32"/>
  <c r="U58" i="32"/>
  <c r="U59" i="32"/>
  <c r="U60" i="32"/>
  <c r="B143" i="32"/>
  <c r="C143" i="32"/>
  <c r="C149" i="32"/>
  <c r="D209" i="32"/>
  <c r="G10" i="31"/>
  <c r="C48" i="31"/>
  <c r="K9" i="1"/>
  <c r="G46" i="30"/>
  <c r="B54" i="32"/>
  <c r="C55" i="32"/>
  <c r="B55" i="32"/>
  <c r="C54" i="32"/>
  <c r="E91" i="32"/>
  <c r="E93" i="32"/>
  <c r="E207" i="32"/>
  <c r="E213" i="32"/>
  <c r="O3" i="24"/>
  <c r="B17" i="32"/>
  <c r="C17" i="32"/>
  <c r="G45" i="32"/>
  <c r="E58" i="32"/>
  <c r="E59" i="32"/>
  <c r="E60" i="32"/>
  <c r="C86" i="32"/>
  <c r="B86" i="32"/>
  <c r="C151" i="32"/>
  <c r="B202" i="32"/>
  <c r="C202" i="32"/>
  <c r="D208" i="32"/>
  <c r="E210" i="32"/>
  <c r="C5" i="30"/>
  <c r="D210" i="32"/>
  <c r="D212" i="32"/>
  <c r="W3" i="35"/>
  <c r="G12" i="28"/>
  <c r="G31" i="29"/>
  <c r="M3" i="24"/>
  <c r="U6" i="36"/>
  <c r="G45" i="30"/>
  <c r="B30" i="25"/>
  <c r="B40" i="25"/>
  <c r="C5" i="27"/>
  <c r="C39" i="36"/>
  <c r="B6" i="34"/>
  <c r="E5" i="25"/>
  <c r="B25" i="25"/>
  <c r="B35" i="25"/>
  <c r="C7" i="33"/>
  <c r="M6" i="26"/>
  <c r="E211" i="32"/>
  <c r="E214" i="32"/>
  <c r="C7" i="35"/>
  <c r="C6" i="28"/>
  <c r="C32" i="27"/>
  <c r="K3" i="24"/>
  <c r="C32" i="36"/>
  <c r="E94" i="32"/>
  <c r="G37" i="31"/>
  <c r="G54" i="31"/>
  <c r="K4" i="1"/>
  <c r="C44" i="30"/>
  <c r="C45" i="30" s="1"/>
  <c r="F9" i="25"/>
  <c r="F6" i="25"/>
  <c r="F5" i="25"/>
  <c r="F7" i="25"/>
  <c r="F8" i="25"/>
  <c r="C8" i="33"/>
  <c r="G6" i="24" a="1"/>
  <c r="G6" i="24" s="1"/>
  <c r="B3" i="24" a="1"/>
  <c r="B3" i="24" s="1"/>
  <c r="B8" i="26" a="1"/>
  <c r="F92" i="32" a="1"/>
  <c r="F97" i="32" a="1"/>
  <c r="B17" i="35" a="1"/>
  <c r="F25" i="32" a="1"/>
  <c r="F90" i="32" a="1"/>
  <c r="F93" i="32" a="1"/>
  <c r="F23" i="32" a="1"/>
  <c r="F21" i="32" a="1"/>
  <c r="F24" i="32" a="1"/>
  <c r="F22" i="32" a="1"/>
  <c r="F26" i="32" a="1"/>
  <c r="F91" i="32" a="1"/>
  <c r="F94" i="32" a="1"/>
  <c r="G8" i="30" a="1"/>
  <c r="AA24" i="2" a="1"/>
  <c r="AA10" i="2" a="1"/>
  <c r="E30" i="25" a="1"/>
  <c r="AA18" i="2" a="1"/>
  <c r="V57" i="32" a="1"/>
  <c r="F58" i="32" a="1"/>
  <c r="B7" i="34" a="1"/>
  <c r="AA12" i="2" a="1"/>
  <c r="AA9" i="2" a="1"/>
  <c r="C33" i="36" a="1"/>
  <c r="B34" i="27" a="1"/>
  <c r="V60" i="32" a="1"/>
  <c r="AA16" i="2" a="1"/>
  <c r="AA13" i="2" a="1"/>
  <c r="AA23" i="2" a="1"/>
  <c r="V58" i="32" a="1"/>
  <c r="F59" i="32" a="1"/>
  <c r="B12" i="33" a="1"/>
  <c r="AA14" i="2" a="1"/>
  <c r="AA22" i="2" a="1"/>
  <c r="E40" i="25" a="1"/>
  <c r="AA7" i="2" a="1"/>
  <c r="AA15" i="2" a="1"/>
  <c r="F60" i="32" a="1"/>
  <c r="AA25" i="2" a="1"/>
  <c r="AA11" i="2" a="1"/>
  <c r="AA6" i="2" a="1"/>
  <c r="AA5" i="2" a="1"/>
  <c r="AA20" i="2" a="1"/>
  <c r="E25" i="25" a="1"/>
  <c r="AA4" i="2" a="1"/>
  <c r="B57" i="31" a="1"/>
  <c r="E35" i="25" a="1"/>
  <c r="AA17" i="2" a="1"/>
  <c r="AA21" i="2" a="1"/>
  <c r="V59" i="32" a="1"/>
  <c r="AA8" i="2" a="1"/>
  <c r="I7" i="38" a="1"/>
  <c r="F57" i="32" a="1"/>
  <c r="AA19" i="2" a="1"/>
  <c r="G31" i="30" a="1"/>
  <c r="C8" i="26" l="1"/>
  <c r="D8" i="26"/>
  <c r="B9" i="26"/>
  <c r="C9" i="26"/>
  <c r="D9" i="26"/>
  <c r="B8" i="26"/>
  <c r="I7" i="38"/>
  <c r="G8" i="30"/>
  <c r="F93" i="32"/>
  <c r="V59" i="32"/>
  <c r="F90" i="32"/>
  <c r="AA16" i="2"/>
  <c r="AA18" i="2"/>
  <c r="F57" i="32"/>
  <c r="E40" i="25"/>
  <c r="F60" i="32"/>
  <c r="F91" i="32"/>
  <c r="V58" i="32"/>
  <c r="AA23" i="2"/>
  <c r="AA7" i="2"/>
  <c r="AA5" i="2"/>
  <c r="F23" i="32"/>
  <c r="G31" i="30"/>
  <c r="F26" i="32"/>
  <c r="AA11" i="2"/>
  <c r="AA8" i="2"/>
  <c r="AA13" i="2"/>
  <c r="C59" i="31"/>
  <c r="B59" i="31"/>
  <c r="B62" i="31"/>
  <c r="B58" i="31"/>
  <c r="B60" i="31"/>
  <c r="C61" i="31"/>
  <c r="B61" i="31"/>
  <c r="C60" i="31"/>
  <c r="C57" i="31"/>
  <c r="B57" i="31"/>
  <c r="C58" i="31"/>
  <c r="C62" i="31"/>
  <c r="C33" i="36"/>
  <c r="C49" i="27"/>
  <c r="D46" i="27"/>
  <c r="B44" i="27"/>
  <c r="C41" i="27"/>
  <c r="D38" i="27"/>
  <c r="B36" i="27"/>
  <c r="D51" i="27"/>
  <c r="B49" i="27"/>
  <c r="C46" i="27"/>
  <c r="D43" i="27"/>
  <c r="B41" i="27"/>
  <c r="C38" i="27"/>
  <c r="D35" i="27"/>
  <c r="B51" i="27"/>
  <c r="C48" i="27"/>
  <c r="D45" i="27"/>
  <c r="B43" i="27"/>
  <c r="C40" i="27"/>
  <c r="D37" i="27"/>
  <c r="B35" i="27"/>
  <c r="D49" i="27"/>
  <c r="B47" i="27"/>
  <c r="C44" i="27"/>
  <c r="D41" i="27"/>
  <c r="B39" i="27"/>
  <c r="C36" i="27"/>
  <c r="B48" i="27"/>
  <c r="D42" i="27"/>
  <c r="C37" i="27"/>
  <c r="D47" i="27"/>
  <c r="C42" i="27"/>
  <c r="B37" i="27"/>
  <c r="C47" i="27"/>
  <c r="B42" i="27"/>
  <c r="D50" i="27"/>
  <c r="C45" i="27"/>
  <c r="B40" i="27"/>
  <c r="D34" i="27"/>
  <c r="C50" i="27"/>
  <c r="B45" i="27"/>
  <c r="D39" i="27"/>
  <c r="C34" i="27"/>
  <c r="B50" i="27"/>
  <c r="D44" i="27"/>
  <c r="C39" i="27"/>
  <c r="B34" i="27"/>
  <c r="C43" i="27"/>
  <c r="D40" i="27"/>
  <c r="D36" i="27"/>
  <c r="B38" i="27"/>
  <c r="C51" i="27"/>
  <c r="D48" i="27"/>
  <c r="C35" i="27"/>
  <c r="B46" i="27"/>
  <c r="C14" i="33"/>
  <c r="B14" i="33"/>
  <c r="C13" i="33"/>
  <c r="B13" i="33"/>
  <c r="C15" i="33"/>
  <c r="B15" i="33"/>
  <c r="C12" i="33"/>
  <c r="B12" i="33"/>
  <c r="F58" i="32"/>
  <c r="F22" i="32"/>
  <c r="AA12" i="2"/>
  <c r="AA24" i="2"/>
  <c r="AA21" i="2"/>
  <c r="F25" i="32"/>
  <c r="F24" i="32"/>
  <c r="E35" i="25"/>
  <c r="AA15" i="2"/>
  <c r="AA9" i="2"/>
  <c r="AA6" i="2"/>
  <c r="F21" i="32"/>
  <c r="F94" i="32"/>
  <c r="E30" i="25"/>
  <c r="F59" i="32"/>
  <c r="V57" i="32"/>
  <c r="E25" i="25"/>
  <c r="AA19" i="2"/>
  <c r="AA17" i="2"/>
  <c r="AA14" i="2"/>
  <c r="B17" i="35"/>
  <c r="AA4" i="2"/>
  <c r="AA25" i="2"/>
  <c r="AA22" i="2"/>
  <c r="F97" i="32"/>
  <c r="B7" i="34"/>
  <c r="C10" i="34" s="1" a="1"/>
  <c r="V60" i="32"/>
  <c r="F92" i="32"/>
  <c r="AA20" i="2"/>
  <c r="AA10" i="2"/>
  <c r="W18" i="2"/>
  <c r="W19" i="2"/>
  <c r="W20" i="2"/>
  <c r="W21" i="2"/>
  <c r="W22" i="2"/>
  <c r="W23" i="2"/>
  <c r="W24" i="2"/>
  <c r="W25" i="2"/>
  <c r="E9" i="26" a="1"/>
  <c r="X24" i="2" a="1"/>
  <c r="X23" i="2" a="1"/>
  <c r="X20" i="2" a="1"/>
  <c r="X22" i="2" a="1"/>
  <c r="X21" i="2" a="1"/>
  <c r="X25" i="2" a="1"/>
  <c r="H8" i="38" a="1"/>
  <c r="X18" i="2" a="1"/>
  <c r="AB4" i="2" a="1"/>
  <c r="X19" i="2" a="1"/>
  <c r="E9" i="26" l="1"/>
  <c r="I8" i="38"/>
  <c r="H8" i="38"/>
  <c r="X20" i="2"/>
  <c r="X18" i="2"/>
  <c r="X23" i="2"/>
  <c r="X22" i="2"/>
  <c r="X19" i="2"/>
  <c r="X25" i="2"/>
  <c r="X21" i="2"/>
  <c r="X24" i="2"/>
  <c r="AB4" i="2"/>
  <c r="C11" i="34"/>
  <c r="C10" i="34"/>
  <c r="C9" i="37"/>
  <c r="W17" i="2" l="1"/>
  <c r="X17" i="2" a="1"/>
  <c r="X17" i="2" l="1"/>
  <c r="AH178" i="36"/>
  <c r="AH177" i="36"/>
  <c r="AH176" i="36"/>
  <c r="AH175" i="36"/>
  <c r="AH174" i="36"/>
  <c r="AH173" i="36"/>
  <c r="AH172" i="36"/>
  <c r="AH171" i="36"/>
  <c r="AH170" i="36"/>
  <c r="AH169" i="36"/>
  <c r="AH168" i="36"/>
  <c r="AH167" i="36"/>
  <c r="AH166" i="36"/>
  <c r="AH165" i="36"/>
  <c r="AH164" i="36"/>
  <c r="AH163" i="36"/>
  <c r="AH162" i="36"/>
  <c r="AH161" i="36"/>
  <c r="AH160" i="36"/>
  <c r="AH159" i="36"/>
  <c r="AH158" i="36"/>
  <c r="AH157" i="36"/>
  <c r="AH156" i="36"/>
  <c r="AH155" i="36"/>
  <c r="AH154" i="36"/>
  <c r="AH153" i="36"/>
  <c r="AH152" i="36"/>
  <c r="AH151" i="36"/>
  <c r="AH150" i="36"/>
  <c r="AH149" i="36"/>
  <c r="AH148" i="36"/>
  <c r="AH147" i="36"/>
  <c r="AH146" i="36"/>
  <c r="AH145" i="36"/>
  <c r="AH144" i="36"/>
  <c r="AH143" i="36"/>
  <c r="AH142" i="36"/>
  <c r="AH141" i="36"/>
  <c r="AH140" i="36"/>
  <c r="AH139" i="36"/>
  <c r="AH138" i="36"/>
  <c r="AH137" i="36"/>
  <c r="AH136" i="36"/>
  <c r="AH135" i="36"/>
  <c r="AH134" i="36"/>
  <c r="AH133" i="36"/>
  <c r="AH132" i="36"/>
  <c r="AH131" i="36"/>
  <c r="AH130" i="36"/>
  <c r="AH129" i="36"/>
  <c r="AH128" i="36"/>
  <c r="AH127" i="36"/>
  <c r="AH126" i="36"/>
  <c r="AH125" i="36"/>
  <c r="AH124" i="36"/>
  <c r="AH123" i="36"/>
  <c r="AH122" i="36"/>
  <c r="AH121" i="36"/>
  <c r="AH120" i="36"/>
  <c r="AH119" i="36"/>
  <c r="AH118" i="36"/>
  <c r="AH117" i="36"/>
  <c r="AH116" i="36"/>
  <c r="AH115" i="36"/>
  <c r="AH114" i="36"/>
  <c r="AH113" i="36"/>
  <c r="AH112" i="36"/>
  <c r="AH111" i="36"/>
  <c r="AH110" i="36"/>
  <c r="AH109" i="36"/>
  <c r="AH108" i="36"/>
  <c r="AH107" i="36"/>
  <c r="AH106" i="36"/>
  <c r="AH105" i="36"/>
  <c r="AH104" i="36"/>
  <c r="AH103" i="36"/>
  <c r="AH102" i="36"/>
  <c r="AH101" i="36"/>
  <c r="AH100" i="36"/>
  <c r="AH99" i="36"/>
  <c r="AH98" i="36"/>
  <c r="AH97" i="36"/>
  <c r="AH96" i="36"/>
  <c r="AH95" i="36"/>
  <c r="AH94" i="36"/>
  <c r="AH93" i="36"/>
  <c r="AH92" i="36"/>
  <c r="AH91" i="36"/>
  <c r="AH90" i="36"/>
  <c r="AH89" i="36"/>
  <c r="AH88" i="36"/>
  <c r="AH87" i="36"/>
  <c r="AH86" i="36"/>
  <c r="AH85" i="36"/>
  <c r="AH84" i="36"/>
  <c r="AH83" i="36"/>
  <c r="AH82" i="36"/>
  <c r="AH81" i="36"/>
  <c r="AH80" i="36"/>
  <c r="AH79" i="36"/>
  <c r="AH78" i="36"/>
  <c r="AH77" i="36"/>
  <c r="AH76" i="36"/>
  <c r="AH75" i="36"/>
  <c r="AH74" i="36"/>
  <c r="AH73" i="36"/>
  <c r="AH72" i="36"/>
  <c r="AH71" i="36"/>
  <c r="AH70" i="36"/>
  <c r="AH69" i="36"/>
  <c r="AH68" i="36"/>
  <c r="AH67" i="36"/>
  <c r="AH66" i="36"/>
  <c r="AH65" i="36"/>
  <c r="AH64" i="36"/>
  <c r="AH63" i="36"/>
  <c r="AH62" i="36"/>
  <c r="AH61" i="36"/>
  <c r="AH60" i="36"/>
  <c r="AH59" i="36"/>
  <c r="AH58" i="36"/>
  <c r="AH57" i="36"/>
  <c r="AH56" i="36"/>
  <c r="AH55" i="36"/>
  <c r="AH54" i="36"/>
  <c r="AH53" i="36"/>
  <c r="AH52" i="36"/>
  <c r="AH51" i="36"/>
  <c r="AH50" i="36"/>
  <c r="AH49" i="36"/>
  <c r="AH48" i="36"/>
  <c r="AH47" i="36"/>
  <c r="AH46" i="36"/>
  <c r="AH45" i="36"/>
  <c r="AH44" i="36"/>
  <c r="AH43" i="36"/>
  <c r="AH42" i="36"/>
  <c r="AH41" i="36"/>
  <c r="AH40" i="36"/>
  <c r="AH39" i="36"/>
  <c r="AH38" i="36"/>
  <c r="AH37" i="36"/>
  <c r="AH36" i="36"/>
  <c r="AH35" i="36"/>
  <c r="AH34" i="36"/>
  <c r="AH33" i="36"/>
  <c r="AH32" i="36"/>
  <c r="AH6" i="36" l="1"/>
  <c r="AH7" i="36"/>
  <c r="AH8" i="36"/>
  <c r="AH9" i="36"/>
  <c r="AH10" i="36"/>
  <c r="AH11" i="36"/>
  <c r="AH12" i="36"/>
  <c r="AH13" i="36"/>
  <c r="AH14" i="36"/>
  <c r="AH15" i="36"/>
  <c r="AH16" i="36"/>
  <c r="AH17" i="36"/>
  <c r="AH18" i="36"/>
  <c r="AH19" i="36"/>
  <c r="AH20" i="36"/>
  <c r="AH21" i="36"/>
  <c r="AH22" i="36"/>
  <c r="AH23" i="36"/>
  <c r="AH24" i="36"/>
  <c r="AH25" i="36"/>
  <c r="AH26" i="36"/>
  <c r="AH27" i="36"/>
  <c r="AH28" i="36"/>
  <c r="AH29" i="36"/>
  <c r="AH30" i="36"/>
  <c r="AH31" i="36"/>
  <c r="AH5" i="36"/>
  <c r="U5" i="36" a="1"/>
  <c r="U5" i="36" l="1"/>
  <c r="C47" i="36"/>
  <c r="C27" i="36"/>
  <c r="C26" i="36"/>
  <c r="C46" i="36"/>
  <c r="C3" i="37" a="1"/>
  <c r="C3" i="37" l="1"/>
  <c r="C3" i="36"/>
  <c r="D19" i="34"/>
  <c r="D28" i="34"/>
  <c r="D20" i="34"/>
  <c r="D34" i="34"/>
  <c r="D35" i="34"/>
  <c r="D47" i="34"/>
  <c r="B11" i="37" a="1"/>
  <c r="C5" i="36" a="1"/>
  <c r="C5" i="36" l="1"/>
  <c r="C25" i="37"/>
  <c r="B25" i="37"/>
  <c r="C24" i="37"/>
  <c r="D25" i="37"/>
  <c r="D18" i="37"/>
  <c r="B16" i="37"/>
  <c r="C11" i="37"/>
  <c r="D24" i="37"/>
  <c r="D19" i="37"/>
  <c r="B19" i="37"/>
  <c r="B29" i="37"/>
  <c r="D20" i="37"/>
  <c r="C17" i="37"/>
  <c r="C16" i="37"/>
  <c r="D23" i="37"/>
  <c r="C31" i="37"/>
  <c r="D30" i="37"/>
  <c r="B31" i="37"/>
  <c r="D26" i="37"/>
  <c r="C27" i="37"/>
  <c r="D27" i="37"/>
  <c r="C28" i="37"/>
  <c r="B24" i="37"/>
  <c r="D12" i="37"/>
  <c r="D22" i="37"/>
  <c r="C22" i="37"/>
  <c r="D21" i="37"/>
  <c r="B23" i="37"/>
  <c r="C13" i="37"/>
  <c r="D31" i="37"/>
  <c r="C19" i="37"/>
  <c r="B14" i="37"/>
  <c r="B20" i="37"/>
  <c r="C20" i="37"/>
  <c r="C26" i="37"/>
  <c r="B22" i="37"/>
  <c r="B17" i="37"/>
  <c r="D17" i="37"/>
  <c r="B21" i="37"/>
  <c r="B30" i="37"/>
  <c r="C30" i="37"/>
  <c r="D29" i="37"/>
  <c r="C29" i="37"/>
  <c r="C23" i="37"/>
  <c r="B28" i="37"/>
  <c r="B27" i="37"/>
  <c r="C21" i="37"/>
  <c r="C15" i="37"/>
  <c r="D14" i="37"/>
  <c r="C14" i="37"/>
  <c r="D13" i="37"/>
  <c r="B15" i="37"/>
  <c r="C18" i="37"/>
  <c r="D15" i="37"/>
  <c r="D28" i="37"/>
  <c r="B18" i="37"/>
  <c r="B12" i="37"/>
  <c r="D11" i="37"/>
  <c r="B11" i="37"/>
  <c r="C12" i="37"/>
  <c r="B13" i="37"/>
  <c r="B26" i="37"/>
  <c r="D16" i="37"/>
  <c r="D48" i="34"/>
  <c r="E36" i="34"/>
  <c r="D36" i="34"/>
  <c r="D29" i="34"/>
  <c r="E21" i="34"/>
  <c r="D21" i="34"/>
  <c r="C42" i="36" a="1"/>
  <c r="C18" i="36" a="1"/>
  <c r="C42" i="36" l="1"/>
  <c r="C18" i="36"/>
  <c r="C109" i="32"/>
  <c r="C46" i="34"/>
  <c r="W4" i="2"/>
  <c r="W5" i="2"/>
  <c r="W6" i="2"/>
  <c r="W7" i="2"/>
  <c r="W8" i="2"/>
  <c r="W9" i="2"/>
  <c r="W10" i="2"/>
  <c r="W11" i="2"/>
  <c r="W12" i="2"/>
  <c r="W13" i="2"/>
  <c r="W14" i="2"/>
  <c r="W15" i="2"/>
  <c r="W16" i="2"/>
  <c r="C123" i="32"/>
  <c r="X8" i="2" a="1"/>
  <c r="X14" i="2" a="1"/>
  <c r="C110" i="32" a="1"/>
  <c r="I4" i="36" a="1"/>
  <c r="C47" i="34" a="1"/>
  <c r="X6" i="2" a="1"/>
  <c r="X4" i="2" a="1"/>
  <c r="X13" i="2" a="1"/>
  <c r="X10" i="2" a="1"/>
  <c r="X9" i="2" a="1"/>
  <c r="X15" i="2" a="1"/>
  <c r="X16" i="2" a="1"/>
  <c r="X12" i="2" a="1"/>
  <c r="C48" i="34" a="1"/>
  <c r="X5" i="2" a="1"/>
  <c r="X11" i="2" a="1"/>
  <c r="X7" i="2" a="1"/>
  <c r="X9" i="2" l="1"/>
  <c r="X16" i="2"/>
  <c r="X8" i="2"/>
  <c r="X14" i="2"/>
  <c r="X5" i="2"/>
  <c r="X15" i="2"/>
  <c r="X12" i="2"/>
  <c r="X4" i="2"/>
  <c r="X7" i="2"/>
  <c r="X13" i="2"/>
  <c r="X11" i="2"/>
  <c r="C48" i="34"/>
  <c r="C47" i="34"/>
  <c r="X6" i="2"/>
  <c r="X10" i="2"/>
  <c r="C110" i="32"/>
  <c r="M18" i="36"/>
  <c r="I6" i="36"/>
  <c r="J20" i="36"/>
  <c r="K7" i="36"/>
  <c r="L21" i="36"/>
  <c r="M8" i="36"/>
  <c r="I23" i="36"/>
  <c r="J10" i="36"/>
  <c r="I24" i="36"/>
  <c r="J11" i="36"/>
  <c r="K25" i="36"/>
  <c r="L12" i="36"/>
  <c r="M14" i="36"/>
  <c r="J13" i="36"/>
  <c r="J24" i="36"/>
  <c r="M9" i="36"/>
  <c r="J25" i="36"/>
  <c r="L26" i="36"/>
  <c r="M13" i="36"/>
  <c r="I28" i="36"/>
  <c r="J15" i="36"/>
  <c r="K29" i="36"/>
  <c r="L16" i="36"/>
  <c r="K30" i="36"/>
  <c r="I19" i="36"/>
  <c r="L14" i="36"/>
  <c r="J29" i="36"/>
  <c r="I30" i="36"/>
  <c r="J17" i="36"/>
  <c r="K4" i="36"/>
  <c r="L18" i="36"/>
  <c r="M5" i="36"/>
  <c r="I20" i="36"/>
  <c r="J7" i="36"/>
  <c r="K21" i="36"/>
  <c r="L8" i="36"/>
  <c r="K22" i="36"/>
  <c r="L9" i="36"/>
  <c r="M23" i="36"/>
  <c r="I11" i="36"/>
  <c r="K8" i="36"/>
  <c r="M6" i="36"/>
  <c r="M17" i="36"/>
  <c r="L6" i="36"/>
  <c r="J6" i="36"/>
  <c r="M10" i="36"/>
  <c r="J12" i="36"/>
  <c r="L13" i="36"/>
  <c r="I15" i="36"/>
  <c r="I16" i="36"/>
  <c r="K17" i="36"/>
  <c r="J8" i="36"/>
  <c r="M22" i="36"/>
  <c r="K28" i="36"/>
  <c r="L15" i="36"/>
  <c r="M29" i="36"/>
  <c r="I17" i="36"/>
  <c r="J4" i="36"/>
  <c r="K18" i="36"/>
  <c r="L5" i="36"/>
  <c r="M19" i="36"/>
  <c r="I7" i="36"/>
  <c r="M20" i="36"/>
  <c r="I8" i="36"/>
  <c r="J22" i="36"/>
  <c r="K9" i="36"/>
  <c r="K27" i="36"/>
  <c r="M30" i="36"/>
  <c r="K11" i="36"/>
  <c r="I29" i="36"/>
  <c r="K12" i="36"/>
  <c r="M4" i="36"/>
  <c r="I18" i="36"/>
  <c r="K19" i="36"/>
  <c r="L23" i="36"/>
  <c r="I25" i="36"/>
  <c r="K26" i="36"/>
  <c r="M27" i="36"/>
  <c r="M28" i="36"/>
  <c r="J30" i="36"/>
  <c r="L4" i="36"/>
  <c r="L11" i="36"/>
  <c r="J16" i="36"/>
  <c r="M26" i="36"/>
  <c r="I14" i="36"/>
  <c r="J28" i="36"/>
  <c r="K15" i="36"/>
  <c r="L29" i="36"/>
  <c r="M16" i="36"/>
  <c r="I4" i="36"/>
  <c r="J18" i="36"/>
  <c r="K5" i="36"/>
  <c r="J19" i="36"/>
  <c r="K6" i="36"/>
  <c r="L20" i="36"/>
  <c r="M7" i="36"/>
  <c r="I21" i="36"/>
  <c r="K24" i="36"/>
  <c r="I5" i="36"/>
  <c r="M25" i="36"/>
  <c r="L17" i="36"/>
  <c r="I22" i="36"/>
  <c r="J9" i="36"/>
  <c r="K23" i="36"/>
  <c r="L10" i="36"/>
  <c r="M24" i="36"/>
  <c r="I12" i="36"/>
  <c r="J26" i="36"/>
  <c r="K13" i="36"/>
  <c r="J27" i="36"/>
  <c r="K14" i="36"/>
  <c r="L28" i="36"/>
  <c r="M15" i="36"/>
  <c r="L27" i="36"/>
  <c r="I26" i="36"/>
  <c r="J5" i="36"/>
  <c r="K16" i="36"/>
  <c r="I13" i="36"/>
  <c r="K20" i="36"/>
  <c r="L7" i="36"/>
  <c r="M21" i="36"/>
  <c r="I9" i="36"/>
  <c r="J23" i="36"/>
  <c r="K10" i="36"/>
  <c r="L24" i="36"/>
  <c r="M11" i="36"/>
  <c r="L25" i="36"/>
  <c r="M12" i="36"/>
  <c r="I27" i="36"/>
  <c r="J14" i="36"/>
  <c r="J21" i="36"/>
  <c r="L19" i="36"/>
  <c r="L30" i="36"/>
  <c r="I10" i="36"/>
  <c r="L22" i="36"/>
  <c r="S60" i="32"/>
  <c r="C60" i="32"/>
  <c r="C35" i="36" a="1"/>
  <c r="B113" i="32" a="1"/>
  <c r="C31" i="36" a="1"/>
  <c r="C34" i="36" a="1"/>
  <c r="Y4" i="2" a="1"/>
  <c r="B45" i="34" a="1"/>
  <c r="Y4" i="2" l="1"/>
  <c r="B115" i="32"/>
  <c r="B114" i="32"/>
  <c r="B113" i="32"/>
  <c r="C120" i="32"/>
  <c r="B117" i="32"/>
  <c r="B120" i="32"/>
  <c r="B118" i="32"/>
  <c r="B121" i="32"/>
  <c r="C117" i="32"/>
  <c r="C118" i="32"/>
  <c r="C113" i="32"/>
  <c r="B119" i="32"/>
  <c r="C119" i="32"/>
  <c r="C115" i="32"/>
  <c r="C121" i="32"/>
  <c r="B116" i="32"/>
  <c r="C116" i="32"/>
  <c r="C114" i="32"/>
  <c r="B45" i="34"/>
  <c r="C34" i="36"/>
  <c r="C31" i="36"/>
  <c r="C35" i="36"/>
  <c r="C27" i="32"/>
  <c r="C33" i="34"/>
  <c r="C36" i="36" a="1"/>
  <c r="C37" i="36" a="1"/>
  <c r="W36" i="34" a="1"/>
  <c r="W48" i="34" a="1"/>
  <c r="W35" i="34" a="1"/>
  <c r="C35" i="34" a="1"/>
  <c r="W47" i="34" a="1"/>
  <c r="W34" i="34" a="1"/>
  <c r="C36" i="34" a="1"/>
  <c r="C34" i="34" a="1"/>
  <c r="C37" i="36" l="1"/>
  <c r="C36" i="36"/>
  <c r="W36" i="34"/>
  <c r="W34" i="34"/>
  <c r="W47" i="34"/>
  <c r="C36" i="34"/>
  <c r="C34" i="34"/>
  <c r="W48" i="34"/>
  <c r="C35" i="34"/>
  <c r="W35" i="34"/>
  <c r="C7" i="28"/>
  <c r="B32" i="34" a="1"/>
  <c r="B32" i="34" l="1"/>
  <c r="C8" i="28"/>
  <c r="C9" i="28" l="1"/>
  <c r="C10" i="28" l="1"/>
  <c r="G27" i="28" a="1"/>
  <c r="G27" i="28" l="1"/>
  <c r="C28" i="32"/>
  <c r="C18" i="34" l="1"/>
  <c r="C20" i="34" a="1"/>
  <c r="W21" i="34" a="1"/>
  <c r="W28" i="34" a="1"/>
  <c r="C28" i="34" a="1"/>
  <c r="W19" i="34" a="1"/>
  <c r="C21" i="34" a="1"/>
  <c r="W29" i="34" a="1"/>
  <c r="C29" i="34" a="1"/>
  <c r="W20" i="34" a="1"/>
  <c r="C19" i="34" a="1"/>
  <c r="C29" i="34" l="1"/>
  <c r="C21" i="34"/>
  <c r="C19" i="34"/>
  <c r="W28" i="34"/>
  <c r="W20" i="34"/>
  <c r="W29" i="34"/>
  <c r="W21" i="34"/>
  <c r="W19" i="34"/>
  <c r="C28" i="34"/>
  <c r="C20" i="34"/>
  <c r="C8" i="29"/>
  <c r="G9" i="29" a="1"/>
  <c r="B17" i="34" a="1"/>
  <c r="G9" i="29" l="1"/>
  <c r="B17" i="34"/>
  <c r="C49" i="31"/>
  <c r="J14" i="35"/>
  <c r="B5" i="35"/>
  <c r="C96" i="32"/>
  <c r="E95" i="32" a="1"/>
  <c r="E95" i="32" l="1"/>
  <c r="C97" i="32"/>
  <c r="C50" i="31"/>
  <c r="W5" i="32"/>
  <c r="Q6" i="35" a="1"/>
  <c r="Q7" i="35" a="1"/>
  <c r="E96" i="32" a="1"/>
  <c r="F95" i="32" a="1"/>
  <c r="Q7" i="35" l="1"/>
  <c r="Q6" i="35"/>
  <c r="F95" i="32"/>
  <c r="E96" i="32"/>
  <c r="C51" i="31"/>
  <c r="F120" i="32"/>
  <c r="F118" i="32"/>
  <c r="F121" i="32"/>
  <c r="F117" i="32"/>
  <c r="F119" i="32"/>
  <c r="P7" i="35" a="1"/>
  <c r="P6" i="35" a="1"/>
  <c r="C163" i="32" a="1"/>
  <c r="C9" i="32" a="1"/>
  <c r="C135" i="32" a="1"/>
  <c r="C195" i="32" a="1"/>
  <c r="F96" i="32" a="1"/>
  <c r="C195" i="32" l="1"/>
  <c r="C135" i="32"/>
  <c r="C9" i="32"/>
  <c r="C163" i="32"/>
  <c r="P7" i="35"/>
  <c r="P6" i="35"/>
  <c r="F96" i="32"/>
  <c r="C52" i="31"/>
  <c r="N17" i="35"/>
  <c r="C78" i="32" a="1"/>
  <c r="B20" i="35" a="1"/>
  <c r="G51" i="31" a="1"/>
  <c r="C78" i="32" l="1"/>
  <c r="B20" i="35"/>
  <c r="G51" i="31"/>
  <c r="G5" i="25"/>
  <c r="G6" i="25"/>
  <c r="G7" i="25"/>
  <c r="G8" i="25"/>
  <c r="G9" i="25"/>
  <c r="F114" i="32" l="1"/>
  <c r="F115" i="32" l="1"/>
  <c r="C18" i="33"/>
  <c r="C124" i="32" a="1"/>
  <c r="C124" i="32" l="1"/>
  <c r="B25" i="33" a="1"/>
  <c r="B25" i="33" s="1"/>
  <c r="C25" i="33" s="1" a="1"/>
  <c r="C25" i="33" s="1"/>
  <c r="B23" i="33" a="1"/>
  <c r="B23" i="33" s="1"/>
  <c r="C23" i="33" s="1" a="1"/>
  <c r="C23" i="33" s="1"/>
  <c r="C33" i="33" a="1"/>
  <c r="C33" i="33" s="1"/>
  <c r="B22" i="33" a="1"/>
  <c r="B22" i="33" s="1"/>
  <c r="C22" i="33" s="1" a="1"/>
  <c r="C22" i="33" s="1"/>
  <c r="B24" i="33" a="1"/>
  <c r="B24" i="33" s="1"/>
  <c r="C24" i="33" s="1" a="1"/>
  <c r="C24" i="33" s="1"/>
  <c r="G48" i="32"/>
  <c r="C29" i="33" a="1"/>
  <c r="G49" i="32" a="1"/>
  <c r="G49" i="32" l="1"/>
  <c r="C29" i="33"/>
  <c r="C6" i="30"/>
  <c r="B36" i="33" a="1"/>
  <c r="C47" i="33" l="1"/>
  <c r="E45" i="33"/>
  <c r="B44" i="33"/>
  <c r="D42" i="33"/>
  <c r="F40" i="33"/>
  <c r="C39" i="33"/>
  <c r="E37" i="33"/>
  <c r="B36" i="33"/>
  <c r="B47" i="33"/>
  <c r="D45" i="33"/>
  <c r="F43" i="33"/>
  <c r="C42" i="33"/>
  <c r="E40" i="33"/>
  <c r="B39" i="33"/>
  <c r="D37" i="33"/>
  <c r="F46" i="33"/>
  <c r="C45" i="33"/>
  <c r="E43" i="33"/>
  <c r="B42" i="33"/>
  <c r="D40" i="33"/>
  <c r="F38" i="33"/>
  <c r="C37" i="33"/>
  <c r="E46" i="33"/>
  <c r="B45" i="33"/>
  <c r="D43" i="33"/>
  <c r="F41" i="33"/>
  <c r="C40" i="33"/>
  <c r="E38" i="33"/>
  <c r="B37" i="33"/>
  <c r="E47" i="33"/>
  <c r="B46" i="33"/>
  <c r="D44" i="33"/>
  <c r="F42" i="33"/>
  <c r="C41" i="33"/>
  <c r="E39" i="33"/>
  <c r="B38" i="33"/>
  <c r="D36" i="33"/>
  <c r="D47" i="33"/>
  <c r="F45" i="33"/>
  <c r="C44" i="33"/>
  <c r="E42" i="33"/>
  <c r="B41" i="33"/>
  <c r="D39" i="33"/>
  <c r="F37" i="33"/>
  <c r="C36" i="33"/>
  <c r="E44" i="33"/>
  <c r="C38" i="33"/>
  <c r="C43" i="33"/>
  <c r="F36" i="33"/>
  <c r="B43" i="33"/>
  <c r="E36" i="33"/>
  <c r="F47" i="33"/>
  <c r="D41" i="33"/>
  <c r="D46" i="33"/>
  <c r="B40" i="33"/>
  <c r="C46" i="33"/>
  <c r="F39" i="33"/>
  <c r="F44" i="33"/>
  <c r="E41" i="33"/>
  <c r="D38" i="33"/>
  <c r="C57" i="32" a="1"/>
  <c r="S57" i="32" a="1"/>
  <c r="N4" i="25" a="1"/>
  <c r="I4" i="25" a="1"/>
  <c r="S57" i="32" l="1"/>
  <c r="C57" i="32"/>
  <c r="N5" i="25"/>
  <c r="O5" i="25" s="1"/>
  <c r="N8" i="25"/>
  <c r="O8" i="25" s="1"/>
  <c r="N9" i="25"/>
  <c r="O9" i="25" s="1"/>
  <c r="N7" i="25"/>
  <c r="O7" i="25" s="1"/>
  <c r="N6" i="25"/>
  <c r="O6" i="25" s="1"/>
  <c r="N4" i="25"/>
  <c r="I4" i="25"/>
  <c r="I9" i="25"/>
  <c r="I7" i="25"/>
  <c r="I8" i="25"/>
  <c r="I5" i="25"/>
  <c r="I6" i="25"/>
  <c r="C45" i="32" a="1"/>
  <c r="P4" i="25" a="1"/>
  <c r="C45" i="32" l="1"/>
  <c r="P7" i="25"/>
  <c r="P5" i="25"/>
  <c r="P6" i="25"/>
  <c r="P9" i="25"/>
  <c r="P4" i="25"/>
  <c r="P8"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C3" authorId="0" shapeId="0" xr:uid="{00000000-0006-0000-0100-000001000000}">
      <text>
        <r>
          <rPr>
            <b/>
            <sz val="9"/>
            <color indexed="81"/>
            <rFont val="Tahoma"/>
            <family val="2"/>
          </rPr>
          <t>In some settings, having Excel generate HTML from a range of cells can cause Excel's undo history to be lost. To avoid an inadvertent loss of Excel's undo history, these examples are disabled by default. Click ENABLE to the left to enable them.</t>
        </r>
      </text>
    </comment>
    <comment ref="C7" authorId="0" shapeId="0" xr:uid="{00000000-0006-0000-0100-000002000000}">
      <text>
        <r>
          <rPr>
            <b/>
            <sz val="9"/>
            <color indexed="81"/>
            <rFont val="Tahoma"/>
            <family val="2"/>
          </rPr>
          <t>For all of these examples to work, UWeb must be deployed and the user must have publish, view and interact permissions to the [ENTITY]/EXAMPLES report group.</t>
        </r>
      </text>
    </comment>
    <comment ref="C9" authorId="0" shapeId="0" xr:uid="{00000000-0006-0000-0100-000003000000}">
      <text>
        <r>
          <rPr>
            <b/>
            <sz val="9"/>
            <color indexed="81"/>
            <rFont val="Tahoma"/>
            <family val="2"/>
          </rPr>
          <t>Although there are a few ways that interactive Web reports can be setup, this example illustrates the way recommended for most usage scenarios. A formatted range is published using U.TWO_WAY_DATA, and the Web control indicators are provided in a distinct list. Since the control indicators are not embedded in their actual locations within the report range, the control indicators include a location indicator so that UWeb knows the cell to which each indicator applies.</t>
        </r>
      </text>
    </comment>
    <comment ref="C15" authorId="0" shapeId="0" xr:uid="{00000000-0006-0000-0100-000004000000}">
      <text>
        <r>
          <rPr>
            <b/>
            <sz val="9"/>
            <color indexed="81"/>
            <rFont val="Tahoma"/>
            <family val="2"/>
          </rPr>
          <t>The U.HAS_WEB_CONTROLS metadata with a value of "r" (for "range") is required for this setup. Here the corresponding helper method is used with TRUE passed as the parameter to create this metadata. The U.ALLOW_FAST_RESPONSE metadata ...created by passing TRUE to U.ALLOW_PUBLISH... is important to add in cases where Excel is responding to requests, since otherwise if Excel responds too quickly a response may be blocked by safeguards in U.TWO_WAY_DATA. The U.HTML_INCLUDED metadata is provided so that the report is published as an HTML report that retains the Excel formatting (not required, but nicer to view in a browser than a non-HTML report). The page name metadata is also optional, but is nice to include since then the page's tab will have a meaningful name when displayed in a browser.</t>
        </r>
      </text>
    </comment>
    <comment ref="C20" authorId="0" shapeId="0" xr:uid="{00000000-0006-0000-0100-000005000000}">
      <text>
        <r>
          <rPr>
            <b/>
            <sz val="9"/>
            <color indexed="81"/>
            <rFont val="Tahoma"/>
            <family val="2"/>
          </rPr>
          <t>Changes to these input values will be reflected in any browser viewing the report. Changes made in the browser will be reflected here in real-time if the sheet is open, or will be pasted in the next time the sheet is opened after the value is changed in the browser.
Since no SUBMIT button is included in this report, changes made in a browser will be published immediately (a small pause is set when the user is typing values to ensure they are done typing before values are published).</t>
        </r>
      </text>
    </comment>
    <comment ref="F21" authorId="0" shapeId="0" xr:uid="{00000000-0006-0000-0100-000006000000}">
      <text>
        <r>
          <rPr>
            <b/>
            <sz val="9"/>
            <color indexed="81"/>
            <rFont val="Tahoma"/>
            <family val="2"/>
          </rPr>
          <t>Here is the list of Web control indicators. Each is created using its corresponding helper method, which is technically optional but recommended. The location indicator for each is created using the U.WEB_CONTROL_LOCATION helper method -- those could have just been nested inside these control indicator equations, but were placed to the left to keep the equations shorter and simpler.</t>
        </r>
      </text>
    </comment>
    <comment ref="F26" authorId="0" shapeId="0" xr:uid="{00000000-0006-0000-0100-000007000000}">
      <text>
        <r>
          <rPr>
            <b/>
            <sz val="9"/>
            <color indexed="81"/>
            <rFont val="Tahoma"/>
            <family val="2"/>
          </rPr>
          <t>In this example the published range contains input values and also calculated output values. If the entire report range were updated when the report is changed in a browser, then the equations would be replaced with values. To prevent that, we need to tell U.TWO_WAY_DATA to paste updates to only a subset of the report range. That can be done by placing a special [UPDATE_SUBRANGE] indicator within the list of Web controls. When only the 5th parameter of U.TWO_WAY_DATA is set and it contains a valid control location indicator, it will return the UPDATE_SUBRANGE indicator in the proper format. Here again the actual report indicator was calculated to the left just to keep the equation simple. Notice that U.WEB_CONTROL_LOCATION returns a range indication (top-left and bottom-right cells) when a subrange is selected instead of a single cell -- report updates will be pasted only into this range, so will not cause the equations to be replaced with values.</t>
        </r>
      </text>
    </comment>
    <comment ref="C45" authorId="0" shapeId="0" xr:uid="{00000000-0006-0000-0100-000008000000}">
      <text>
        <r>
          <rPr>
            <b/>
            <sz val="9"/>
            <color indexed="81"/>
            <rFont val="Tahoma"/>
            <family val="2"/>
          </rPr>
          <t>In this example, SUBMIT and CANCEL buttons are included so that users can submit changes at once or revert them. This example also has rapidly ticking data in the report, so illustrates one strategy for managing that. Lastly, it includes two pages to illustrate the setup of a multi-page report.</t>
        </r>
      </text>
    </comment>
    <comment ref="G45" authorId="0" shapeId="0" xr:uid="{00000000-0006-0000-0100-000009000000}">
      <text>
        <r>
          <rPr>
            <b/>
            <sz val="9"/>
            <color indexed="81"/>
            <rFont val="Tahoma"/>
            <family val="2"/>
          </rPr>
          <t>Use of U.RANGE_REF is not actually required here since both pages are on the same tab. This is required when publishing pages on different tabs, though, so here just to illustrate the technique.</t>
        </r>
      </text>
    </comment>
    <comment ref="G49" authorId="0" shapeId="0" xr:uid="{00000000-0006-0000-0100-00000A000000}">
      <text>
        <r>
          <rPr>
            <b/>
            <sz val="9"/>
            <color indexed="81"/>
            <rFont val="Tahoma"/>
            <family val="2"/>
          </rPr>
          <t>This report contains a Current Debt counter that is repeatedly recalculating and causing the report to be re-published. These re-publishes could effectively blow away updates a user makes in the browser. To avoid this, this is subscribing to a special ".IS_MID_EDIT" report that is set to TRUE while the user is in the middle of editing values.</t>
        </r>
      </text>
    </comment>
    <comment ref="C57" authorId="0" shapeId="0" xr:uid="{00000000-0006-0000-0100-00000B000000}">
      <text>
        <r>
          <rPr>
            <b/>
            <sz val="9"/>
            <color indexed="81"/>
            <rFont val="Tahoma"/>
            <family val="2"/>
          </rPr>
          <t>Here is the data that is updating regularly. To prevent the report from overwriting user updates, it only changes its value if IS_MID_EDIT is FALSE.</t>
        </r>
      </text>
    </comment>
    <comment ref="R57" authorId="0" shapeId="0" xr:uid="{00000000-0006-0000-0100-00000C000000}">
      <text>
        <r>
          <rPr>
            <b/>
            <sz val="9"/>
            <color indexed="81"/>
            <rFont val="Tahoma"/>
            <family val="2"/>
          </rPr>
          <t>In practice, it may be cleaner to have different pages on different tabs in the workbook. In that case, the use of U.RANGE_REF illustrated in this example is required.</t>
        </r>
      </text>
    </comment>
    <comment ref="F58" authorId="0" shapeId="0" xr:uid="{00000000-0006-0000-0100-00000D000000}">
      <text>
        <r>
          <rPr>
            <b/>
            <sz val="9"/>
            <color indexed="81"/>
            <rFont val="Tahoma"/>
            <family val="2"/>
          </rPr>
          <t>As with the first example, here just applying updates to the specific subrange that has changes. Again, this is only required if the report range has equations that should be preserved.</t>
        </r>
      </text>
    </comment>
    <comment ref="F59" authorId="0" shapeId="0" xr:uid="{00000000-0006-0000-0100-00000E000000}">
      <text>
        <r>
          <rPr>
            <b/>
            <sz val="9"/>
            <color indexed="81"/>
            <rFont val="Tahoma"/>
            <family val="2"/>
          </rPr>
          <t>Both a SUBMIT and CANCEL button are included. When a SUBMIT button exists, by default all other controls will remain unsubmitted in the browser until the user clicks the SUBMIT button. If a CANCEL button is included, clicking it will revert any changes the user had made but not submitted. SUBMIT and CANCEL buttons are identified by setting the TYPE attribute appropriately.
By default buttons are text links, but here a SIZE tag is set which results in a rectangular button being displayed in the browser. For SUBMIT and CANCEL buttons the value parameter must be set but otherwise is not meaningful (here the value is just set to an empty string ("").
Although not shown here, multiple submit buttons are supported. If multiple submit buttons are included, each should have a TAG attribute applied. And then other controls should have a SUBMIT-TAG attribute applied that matches the TAG of the submit button that, when clicked, will cause changes to that control to be submitted. CANCEL buttons can similarly have a SUBMIT-TAG attribute to indicate the SUBMIT button to which it corresponds.</t>
        </r>
      </text>
    </comment>
    <comment ref="C68" authorId="0" shapeId="0" xr:uid="{00000000-0006-0000-0100-00000F000000}">
      <text>
        <r>
          <rPr>
            <b/>
            <sz val="9"/>
            <color indexed="81"/>
            <rFont val="Tahoma"/>
            <family val="2"/>
          </rPr>
          <t>Set this to TRUE for live ticking of debt counters. Note that in some cases publishing HTML can blow away Excel's undo history, so do this in a new instance of Excel if that is a concern.</t>
        </r>
      </text>
    </comment>
    <comment ref="C76" authorId="0" shapeId="0" xr:uid="{00000000-0006-0000-0100-000010000000}">
      <text>
        <r>
          <rPr>
            <b/>
            <sz val="9"/>
            <color indexed="81"/>
            <rFont val="Tahoma"/>
            <family val="2"/>
          </rPr>
          <t>This example illustrates how interactive Web reports can be created in Excel, but then a simple server app could be used to actually respond to user inputs so that Excel does not have to be open for the Web page to function.</t>
        </r>
      </text>
    </comment>
    <comment ref="C84" authorId="0" shapeId="0" xr:uid="{00000000-0006-0000-0100-000011000000}">
      <text>
        <r>
          <rPr>
            <b/>
            <sz val="9"/>
            <color indexed="81"/>
            <rFont val="Tahoma"/>
            <family val="2"/>
          </rPr>
          <t>U.ALLOW_FAST_RESPONSE metadata not required here since a server app, not Excel, would be responding to browser changes made in a browser.
However, to make this example work consistently (with Excel publishing the .OUTPUT_CONTROL_VALS) it would need to be added.</t>
        </r>
      </text>
    </comment>
    <comment ref="F90" authorId="0" shapeId="0" xr:uid="{00000000-0006-0000-0100-000012000000}">
      <text>
        <r>
          <rPr>
            <b/>
            <sz val="9"/>
            <color indexed="81"/>
            <rFont val="Tahoma"/>
            <family val="2"/>
          </rPr>
          <t>The setup of most controls is like in the first example except that each has a TAG attribute applied. The TAG is what a server will use to retrieve and set report values.</t>
        </r>
      </text>
    </comment>
    <comment ref="L90" authorId="0" shapeId="0" xr:uid="{00000000-0006-0000-0100-000013000000}">
      <text>
        <r>
          <rPr>
            <b/>
            <sz val="9"/>
            <color indexed="81"/>
            <rFont val="Tahoma"/>
            <family val="2"/>
          </rPr>
          <t>Options for a dropdown can be in a range of cells instead of hard-coded into the equation. In this example, the Payments Per Year dropdown is referencing this range.</t>
        </r>
      </text>
    </comment>
    <comment ref="F95" authorId="0" shapeId="0" xr:uid="{00000000-0006-0000-0100-000014000000}">
      <text>
        <r>
          <rPr>
            <b/>
            <sz val="9"/>
            <color indexed="81"/>
            <rFont val="Tahoma"/>
            <family val="2"/>
          </rPr>
          <t>Here the output values are also identified as TEXTAREA controls, given TAG attributes, and also given an OUTPUT attribute to indicate that it is a calculated output value. The DISABLED attribute is automatically applied to OUTPUT values so that users cannot interact with them in a browser.</t>
        </r>
      </text>
    </comment>
    <comment ref="C96" authorId="0" shapeId="0" xr:uid="{00000000-0006-0000-0100-000015000000}">
      <text>
        <r>
          <rPr>
            <b/>
            <sz val="9"/>
            <color indexed="81"/>
            <rFont val="Tahoma"/>
            <family val="2"/>
          </rPr>
          <t>Although the server will provide the results, this example still contains equations …and also a subrange indicator to the right so that the equations are preserved during updates. This is because when the user updates a value in the browser, the input value will have changed but the output value will not change until the server receives the input and publishes new outputs. If these cells contain stale values (before the server has calculated updates), then a slow Excel sheet could overwrite the server results with the stale values. This is only a concern if the sheet is actually open and responding, which would generally not be the case, but still best to avoid the risk. See the alternate setup in Example 4 below to for a simpler solution for this.</t>
        </r>
      </text>
    </comment>
    <comment ref="E112" authorId="0" shapeId="0" xr:uid="{00000000-0006-0000-0100-000016000000}">
      <text>
        <r>
          <rPr>
            <b/>
            <sz val="9"/>
            <color indexed="81"/>
            <rFont val="Tahoma"/>
            <family val="2"/>
          </rPr>
          <t>This area down here is simulating a server. In practice it would be a custom app that is always running on some server, but its functioning would be the same as what is being done here.
Whenever a report containing Web controls is updated, a special ".INPUT_CONTROL_VALS" report is published that shows the value for each tag. As shown here, an application can subscribe to that report to retrieve the changed inputs, and it can then publish a similar report but with output values using the special ".OUTPUT_CONTROL_VALS" topic suffix. UpTickXLWeb listens for this report, and if the report is received and was published by a sufficiently permissioned user than the tagged values are applied to both the raw data and HTML versions of the report.
Note that in this example the calculations are referring to looked-up values rather than to the report itself only to ensure that it pulls the correct input for each part of the calculation.
The UWeb server also listens for the .INPUT_CONTROL_VALS report and will apply any changes published to that. In most scenarios, though, it is best to restrict server results to the OUTPUT report so that publishing to the INPUT report does not interfere with changes users are entering manually in a browser.
As seen in this example, the number formatting of the output is preserved even though it is not explicitly specified. UWeb attempts to identify and preserve the most basic types of formats, but where a different handling is required the control should have a FORMAT attribute added when first published from Excel where the value of the FORMAT attribute indicates the number format to apply (using .NET number formats).
In cases where reports contain very fast updating data and the IS_MID_EDIT mechanism is not perfect in preventing interference between server updates and user inputs ...possibly because of a slow network connection... the .INPUT_CONTROL_VALS report could be used as a more robust update mechanism either by itself or in addition to IS_MID_EDIT. In short, the sheet could subscribe to the INPUTS report and, when an update is received, paste those updated values over its own cells containing inputs.
Due to precautions in the UWeb server that check report timestamps before applying values from control value reports, the U.ALLOW_FAST_RESPONSE metadata may needed to be added above to make this illustration functional (would not be needed in a real-world case where a server app is publishing the output control values).</t>
        </r>
      </text>
    </comment>
    <comment ref="J139" authorId="0" shapeId="0" xr:uid="{00000000-0006-0000-0100-000017000000}">
      <text>
        <r>
          <rPr>
            <b/>
            <sz val="9"/>
            <color indexed="81"/>
            <rFont val="Tahoma"/>
            <family val="2"/>
          </rPr>
          <t>For some use cases, users may prefer the alt setup described to the left but still want values set in the Web available in Excel and to be able to have changes to values in Excel reflected in UWeb. That can be achieved as follows:
(1) Setup the report just as it is to the left, with controls placed in the exact cells where they should be shown in the browser, but using U.TWO_WAY_DATA instead of U.PUBLISH (no need to change any parameters at all, just change the method to U.TWO_WAY_DATA)
(2) Create another range where the parsed values, suitable for use in Excel equations and manual updating, will reside (this comment is in the top of that range for this example)
(3) Use U.SYNC_CELLS to keep the values in sync. U.SYNC_CELLS will automatically translate between the control indicator and the value contained in the control indicator. If you uncomment the SYNC_CELLS call above and update a value in this range it will be reflected in the control indicator to the left (the equation will be replaced by the full indicator text), and if a user were to update a value in a browser it would be reflected here.
In this example U.SYNC_CELLS is used to keep the entire range of input cells in sync. It's equally fine to use a different U.SYNC_CELLS call for each input, which would allow the range of Excel-friendly values to be laid out differently from how the Web controls are laid out in the published range.</t>
        </r>
      </text>
    </comment>
    <comment ref="C147" authorId="0" shapeId="0" xr:uid="{00000000-0006-0000-0100-000018000000}">
      <text>
        <r>
          <rPr>
            <b/>
            <sz val="9"/>
            <color indexed="81"/>
            <rFont val="Tahoma"/>
            <family val="2"/>
          </rPr>
          <t>When using UWeb simply to design a Web interface without the need to have Excel receive values updated by a browser user, it can be simpler to just publish the report instead of using U.TWO_WAY_DATA.
When publishing, place the control indicators in the proper location within the report. They must still be given some value, but it could be just a blank string ("") if desired. No location information is required since the control is already located where it will be rendered in the browser. The U.HAS_WEB_CONTROLS metadata must not have TRUE passed in; instead it must have it's default value of "c" to indicate that the controls are in the content of the report.
When setup this way, Excel will not put formatting details for numbers in its HTML (so no currency symbols, percent signs, etc). If a specific number format is desired for a field, it must be provided explicitly in a FORMAT attribute as shown here.
The functioning of a server that responds to this report is not shown since it is identical to that in Example 3 above.</t>
        </r>
      </text>
    </comment>
    <comment ref="B161" authorId="0" shapeId="0" xr:uid="{00000000-0006-0000-0100-000019000000}">
      <text>
        <r>
          <rPr>
            <b/>
            <sz val="9"/>
            <color indexed="81"/>
            <rFont val="Tahoma"/>
            <family val="2"/>
          </rPr>
          <t>Interactive reports do not have to be published as HTML. For simple cases where retaining Excel's formatting is not required, it can be more efficient to just publish the report as raw data.
When publishing interactive reports as raw data, the layouts described in examples 1 - 3 above will work fine. This example shows a simpler alternative layout that is available.</t>
        </r>
      </text>
    </comment>
    <comment ref="C169" authorId="0" shapeId="0" xr:uid="{00000000-0006-0000-0100-00001A000000}">
      <text>
        <r>
          <rPr>
            <b/>
            <sz val="9"/>
            <color indexed="81"/>
            <rFont val="Tahoma"/>
            <family val="2"/>
          </rPr>
          <t>By not including the U.HTML_INCLUDED metadata, the report will be published as raw data only.
The U.HAS_WEB_CONTROLS metadata has its default value of "c" to indicate that Web controls are laid out in columns.
The U.WEB_STYLE metadata is optional, and is included only so that some basic default styling will be applied in the browser since the raw data will otherwise have no style information. The default styling will just put a border around cells, make the top row look like column labels, and apply some rounding to any numeric values in the data.
The U.ALLOW_FAST_PUBLISH metadata was not included here since Excel is not responding to the control updates.</t>
        </r>
      </text>
    </comment>
    <comment ref="E176" authorId="0" shapeId="0" xr:uid="{00000000-0006-0000-0100-00001B000000}">
      <text>
        <r>
          <rPr>
            <b/>
            <sz val="9"/>
            <color indexed="81"/>
            <rFont val="Tahoma"/>
            <family val="2"/>
          </rPr>
          <t>Here the Web control indicators are laid out in columns. Columns containing control indicators must contain ONLY Web control indicators and blank cells. There is no need to specify a value for the controls, since they are assumed to apply to the cell immediately to their left unless a location indication is provided. In this example only the SUBMIT button -- the last control indicator in the right-most column -- has a location indicator. The location indicator tells UWeb to place the button in the "Done" column instead of immediately to the left of the cell containing the control indicator.
When this example is displayed in a browser, only the Done and Chore columns will be shown, and they will contain checkboxes and textareas, respectively. When values are updated in a browser, they will be updated in this range.
A report could alternatively be laid out horizontally, where control indicators apply to the cells directly above them instead of the cells to their left. In that case, the rows containing control indicators must only contain control indicators and blanks. Also a TRUE must be passed to the U.HAS_WEB_CONTROLS helper method so that the metadata has a value of "r" to indicate that control indicators are laid out in rows.</t>
        </r>
      </text>
    </comment>
    <comment ref="C195" authorId="0" shapeId="0" xr:uid="{00000000-0006-0000-0100-00001C000000}">
      <text>
        <r>
          <rPr>
            <b/>
            <sz val="9"/>
            <color indexed="81"/>
            <rFont val="Tahoma"/>
            <family val="2"/>
          </rPr>
          <t>Here a paste range is provided that is a subset of the published report range</t>
        </r>
      </text>
    </comment>
    <comment ref="C201" authorId="0" shapeId="0" xr:uid="{00000000-0006-0000-0100-00001D000000}">
      <text>
        <r>
          <rPr>
            <b/>
            <sz val="9"/>
            <color indexed="81"/>
            <rFont val="Tahoma"/>
            <family val="2"/>
          </rPr>
          <t>Metadata same as above</t>
        </r>
      </text>
    </comment>
    <comment ref="E206" authorId="0" shapeId="0" xr:uid="{00000000-0006-0000-0100-00001E000000}">
      <text>
        <r>
          <rPr>
            <b/>
            <sz val="9"/>
            <color indexed="81"/>
            <rFont val="Tahoma"/>
            <family val="2"/>
          </rPr>
          <t xml:space="preserve">In Example 5 above, the control indicators were in columns that were mixed within the report. This was necessary because, without location information being provided, the controls were assumed to apply to the cell immediately to their left. One implication of doing this is that, if Web control helper methods were used to create the Web control indicators, those helper methods will be replaced with values when updated are pasted back onto the report after a user makes a change in a browser. That's not much of a problem since the indicators are simpler in this layout (so use of the helper methods to create them less necessary). But still, users may wish to have those methods preserved and/or may just prefer that control indicators not be comingled with the report data.
In this alternate layout, all of the control indicators are placed to the far right side of the report. Since they no longer apply to the cell immediately to their left, each must have a location indicator so UWeb knows to which each control applies. In the U.TWO_WAY_DATA call above, a separate paste range of just the leftmost 2 columns is provided -- this means that, when a user updates a value in the browser, those updates will only be pasted over the first 2 columns instead of the entire report. That means the equations will be preserved, and there's no issue with only updating those columns since only those contain values that change.
Just for the sake of illustration, this examples adds a SCALE attribute of 2 to each checkbox to make them twice as large as they would be by default. It also adds a COLS attribute with a value of 30 to the first textarea indicator to ensure the textarea is at least 30 columns wide. It would be fine to copy that down and have the COLS indicator in all rows, but is only necessary in any one row since all textareas in a given column will be set to the width of the widest textarea in that column.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B6" authorId="0" shapeId="0" xr:uid="{00000000-0006-0000-0900-000001000000}">
      <text>
        <r>
          <rPr>
            <b/>
            <sz val="9"/>
            <color indexed="81"/>
            <rFont val="Tahoma"/>
            <family val="2"/>
          </rPr>
          <t>This call is what the green LAUNCH cell above into a button that, when clicked, toggles cell B6 between TRUE and FALSE.
If you want to be able to click on the LAUNCH button above in order to edit it (ie, so it doesn't act as a button) then hold the Control key down when clicking with the mouse.</t>
        </r>
      </text>
    </comment>
    <comment ref="C10" authorId="0" shapeId="0" xr:uid="{00000000-0006-0000-0900-000002000000}">
      <text>
        <r>
          <rPr>
            <b/>
            <sz val="9"/>
            <color indexed="81"/>
            <rFont val="Tahoma"/>
            <family val="2"/>
          </rPr>
          <t>This array formula will attempt to launch the 2 specified workbooks, each in its own process, if not already open.
The workbook names to the left could be the full paths to any workbook. When only a workbook name is specified ...as is the case here... the add-In will search for the workbook within the folder (and subfolders) containing this workbook. In this example the workbooks are found in the same C:\Runline\U\Current directory that this workbook is in (unless this workbook was opened from somewhere else).
Note that there can be a delay in launching the workbooks That is because by default U.LAUNCH_EXCEL will open each workbook in its own instance of Excel, so it will take however long Excel normally takes to launch. Workbooks can optionally be launched in the current instance.</t>
        </r>
      </text>
    </comment>
    <comment ref="B17" authorId="0" shapeId="0" xr:uid="{00000000-0006-0000-0900-000003000000}">
      <text>
        <r>
          <rPr>
            <b/>
            <sz val="9"/>
            <color indexed="81"/>
            <rFont val="Tahoma"/>
            <family val="2"/>
          </rPr>
          <t>These ranges contain some controls for the workbooks being launched. After launching the workbooks by clicking the LAUNCH button, try altering some of these values to see how they modify the workbooks that were launched. Workbooks will only respond to these settings if they are in a "control-enabled" state. Workbooks are automatically placed in a control-enabled state when launched using U.LAUNCH_EXCEL. To put a workbook opened manually into a control-enabled state, enter =U.ENABLE_CONTROL() into any cell in the workbook (note this will enable every workbook in that instance of Excel). You can see the control-enabled status of a workbook by entering =U.IS_CONTROL_ENABLED() into any cell.
Many other Excel settings are supported beyond those shown here, and of course the imagination is the limit with regard to how this is laid out. For example, you could have a single button that causes a group of related workbooks to be made visible/invisible ...and/or you could put everything except the button itself off to the side to keep the view containing the buttons very slick and clean ...you could setup click-based scrolling or active worksheet selection if desired ...etc, etc.
In this case I've included several fields that toggle between TRUE and FALSE, several fields where you can just manually input a number, and also a Zoom field whose value can be incremented/decremented by clicking on the green and red "Zoom" buttons, respectively. The goal here was for buttons to have clean, consistent names for all controlled workbooks ...but each CLICK_VALS range needs a unique name, so a 2nd "display name" was passed in the 1st parameter to U.SET_CLICKVALS in addition to the unique key -- that's there can be two buttons that say "CLEAN" but each refers to a different click range.
You can change these settings before the workbooks are launched, and they will be applied once the workbook is launched. You can change them while the workbooks are opened, and you will see them take effect immediately.
Here the example is only controlling the workbooks it is launching. If no WorkbookName setting is provided to U.CONTROL_EXCEL, then the settings will apply to the current workbook (i.e. it will control itself). Even in this case, the current workbook must be in a control-enabled state for it to apply new control settings.
One caveat: in this example I have a "Close" field that you can toggle to TRUE to close the workbooks, but the workbook will not be saved first when closing this way. If you want to save the workbook, have a "Save" field in the range whose value is set to TRUE -- then when you toggle Close to TRUE the presence of the Save will cause the workbook to first be saved.
The reason I have these methods nested inside of an U.DO call with U.NOW as the trigger is because U.NOW is one of several U methods that is guaranteed to recalculate when a workbook opens. By setting it up this way, the settings saved in the workbook are guaranteed to be published when the workbook opens. I do this mostly because people may be opening this example workbook on a machine for the first time, and without the existence of published settings the other workbooks will not open in the pre-defined locations. Having the settings published automatically like this in normal production use is not required and in many cases may not be desirable.</t>
        </r>
      </text>
    </comment>
    <comment ref="C46" authorId="0" shapeId="0" xr:uid="{00000000-0006-0000-0900-000004000000}">
      <text>
        <r>
          <rPr>
            <b/>
            <sz val="9"/>
            <color indexed="81"/>
            <rFont val="Tahoma"/>
            <family val="2"/>
          </rPr>
          <t>There is no need to have every setting for a given sheet included in the same range passed to U.CONTROL_EXCEL. Here a couple of the settings are broken out into a different range just for illustration. No settings are lost when only one or a few are published at a time.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B3" authorId="0" shapeId="0" xr:uid="{00000000-0006-0000-0A00-000001000000}">
      <text>
        <r>
          <rPr>
            <b/>
            <sz val="9"/>
            <color indexed="81"/>
            <rFont val="Tahoma"/>
            <family val="2"/>
          </rPr>
          <t>Here the first thing the logic does is check if the ID field has been populated, and if it has not then nothing is done. As described in another comment, the ID will only show a value if all of the trade fields have been populated.
Once the ID field becomes non-blank, it will contain a unique value (because U.UUID returns a universally unique ID, so essentially impossible that it will match an existing ID). The logic is that if the ID is different from the ID just beneath it, in row 7 ...which it will be for a new trade... then it copies all of the trade rows, including the entry row, down 1 row. Note that the size of the range copied is detected dynamically using the U.REGION method, so it will grow automatically as new trades are added. If you look at the definitions of the names used in the data validation of the Symbol, Strategy and Broker fields you'll see that U.REGION is also used in those to dynamically select only available values.
Once the trades have been copied down, the trade that was in the entry row now also exists in the first blotter row (row 7). At that point cell H6 will match cell H7, which causes different logic to be invoked in this cell. Specifically, when those cells are equal then the range B6:F6 cleared ...and that causes the ID (and Time) to disappear, so the form is essentially reset with the most recently entered trade appearing at the top of the blotter.
Basic Excel conditional formatting is used to color the rows in the blotter based on the sign of the quantity.</t>
        </r>
      </text>
    </comment>
    <comment ref="D3" authorId="0" shapeId="0" xr:uid="{00000000-0006-0000-0A00-000002000000}">
      <text>
        <r>
          <rPr>
            <b/>
            <sz val="9"/>
            <color indexed="81"/>
            <rFont val="Tahoma"/>
            <family val="2"/>
          </rPr>
          <t>The imagination is really the only limit with regard to the sophistication of the workflow. Here is some relatively simple logic that seeds the price field. Dummy market data is hard-coded to the right, but in practice this could come from a published U report or any other live source.
This logic is mildly more nuanced than one might expect for the following reason: if the user updates the price to be something different from the seed value, the method should not re-paste the seed value over that user-input number when something else changes.</t>
        </r>
      </text>
    </comment>
    <comment ref="K3" authorId="0" shapeId="0" xr:uid="{00000000-0006-0000-0A00-000003000000}">
      <text>
        <r>
          <rPr>
            <b/>
            <sz val="9"/>
            <color indexed="81"/>
            <rFont val="Tahoma"/>
            <family val="2"/>
          </rPr>
          <t>This shows how lists that drive the dropdown lists in the trade entry form can be created easily (of course maintaining lists this way could serve any other number of purposes beyond trade entry).
What is happening is that a newly entered symbol is made uppercase and appended to existing symbols. Then unique values are pasted back into the list. The reason for getting unique values is so that the same symbol does not appear in the list twice if the user accidentally enters a symbol that already exists; also, by default U.VUNIQUE will sort its result alphabetically.
Note that if you delete values from the middle or top of the list, blank spaces are automatically removed ...unless you delete a symbol that also still exists in the "New Symbol" box, since then it will immediately be re-added.
Check out the defined names to see how the list used for data validation is created. For example, if you go to Formulas =&gt; Name Manager you can see how SymbolSelectionList is defined (it uses U.REGION to get all of the symbols in the list but not the blank spaces beneath them).
Because in this example the data being pasted is being retrieved partly from the target range (i.e. it's getting data from ...and pasting data to... the same range) the optional final parameter of "TRUE" is set to prevent any loss of data from race conditions that occur as a result of multi-threaded calculations in Excel. This is only required in cases where the first row is subject to change (if doing this sort of "recursive" PASTE to a table with column headers that do not change, then setting this parameter is not necessary).</t>
        </r>
      </text>
    </comment>
    <comment ref="B6" authorId="0" shapeId="0" xr:uid="{00000000-0006-0000-0A00-000004000000}">
      <text>
        <r>
          <rPr>
            <b/>
            <sz val="9"/>
            <color indexed="81"/>
            <rFont val="Tahoma"/>
            <family val="2"/>
          </rPr>
          <t>Enter fields of new trades on this line. Some fields are dropdowns.</t>
        </r>
      </text>
    </comment>
    <comment ref="H6" authorId="0" shapeId="0" xr:uid="{00000000-0006-0000-0A00-000005000000}">
      <text>
        <r>
          <rPr>
            <b/>
            <sz val="9"/>
            <color indexed="81"/>
            <rFont val="Tahoma"/>
            <family val="2"/>
          </rPr>
          <t>U.UUID is called only if there are no non-blank values in the range B6:F6. In other words, a unique ID will only show up once all of the trade fields have been filled in.
Note that the Time field just to the left will also only be populated if all fields are populated because it references the ID field.</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I4" authorId="0" shapeId="0" xr:uid="{00000000-0006-0000-0B00-000001000000}">
      <text>
        <r>
          <rPr>
            <b/>
            <sz val="9"/>
            <color indexed="81"/>
            <rFont val="Tahoma"/>
            <family val="2"/>
          </rPr>
          <t>Here a list of desks is being created dynamically from the content of the snapshot reports so that they can be used in a drop down to the right.
The U.VAPPEND Method references the list of existing snapshots, returns a report that is the content of all the snapshot reports (the first pages of each if multi-page) stacked vertically.
This stacked report is nested inside of an U.VLOOKUP call that does not specify any lookup parameters but does specify a return column of "Desk" ...which results in the entire "Desk" column being returned.
The single "Desk" column is then nested inside of U.VUNIQUE with the optional 2nd parameter set to TRUE so that the unique values are returned in the order of first appearance instead of alphabetically. This ensures that the column label of "Desk" remains on top.
Note the use of "config(topics)" as the first parameter of U.VAPPEND. This is necessary here because, by default, U.VAPPEND will only treat inputs as a list of topics if every item is an existing report. So if there is some date in the list for which no snapshot is available, U.VAPPEND would not treat the individual values as topics. The use of the special config() parameter value here and elsewhere in this example tells VAPPEND to assume all inputs are topics, even if some are missing data. (See the U_UsageExamples.xlsx sheet for the full range of U.VAPPEND configuration options).</t>
        </r>
      </text>
    </comment>
    <comment ref="N4" authorId="0" shapeId="0" xr:uid="{00000000-0006-0000-0B00-000002000000}">
      <text>
        <r>
          <rPr>
            <b/>
            <sz val="9"/>
            <color indexed="81"/>
            <rFont val="Tahoma"/>
            <family val="2"/>
          </rPr>
          <t>Here the list of dates from the content of the snapshot reports is displayed. This is pretty much identical to the method used to create the list of Desks in column J. The only differences are as follows:
(1) The entire call is wrapped in an U.PAD method so that blanks are displayed at the bottom instead of #N/A errors.
(2) U.SUBRANGE is used to grab the "Date" column (versus U.VLOOKUP used to grab the "Desk" column). This is just to show that either could be used in this case. U.SUBRANGE always returns a contiguous subset of a range, whereas with U.VLOOKUP any non-contiguous columns can be returned. Since we are only returning a single column in both cases, either method would work.
As illustrated in this example, it's a good idea to include the date explicitly in the content of reports you intend to snapshot so that you can use the date values to support time series analysis.</t>
        </r>
      </text>
    </comment>
    <comment ref="P4" authorId="0" shapeId="0" xr:uid="{00000000-0006-0000-0B00-000003000000}">
      <text>
        <r>
          <rPr>
            <b/>
            <sz val="9"/>
            <color indexed="81"/>
            <rFont val="Tahoma"/>
            <family val="2"/>
          </rPr>
          <t>And finally, here is the Delta being displayed for each date for the selected desk. This is done using U.VLOOKUP with multiple lookup columns …both the date and the desk… against the entire, stacked multi-day content returned by U.VAPPEND. It is just returning a single Delta column, but multiple Greeks could be specified in the order desired if the report content contains them.
The U.VLOOKUP call is wrapped in Excel's IFERROR method so that a blank is displayed (instead of an error) when no data exists for a given date for the selected desk.</t>
        </r>
      </text>
    </comment>
    <comment ref="F5" authorId="0" shapeId="0" xr:uid="{00000000-0006-0000-0B00-000004000000}">
      <text>
        <r>
          <rPr>
            <b/>
            <sz val="9"/>
            <color indexed="81"/>
            <rFont val="Tahoma"/>
            <family val="2"/>
          </rPr>
          <t>In U, snapshots are just regular topics but with a date appended in YYYYMMDD format.
Here U.TOPIC is used to create the base topic for the report, and U.SEQUENCE is used to create a list of dates that does not contain weekends or holidays.
(See U_UsageExamples.xlsx for detailed examples and explanations of specific UpTickXL methods.)</t>
        </r>
      </text>
    </comment>
    <comment ref="G5" authorId="0" shapeId="0" xr:uid="{00000000-0006-0000-0B00-000005000000}">
      <text>
        <r>
          <rPr>
            <b/>
            <sz val="9"/>
            <color indexed="81"/>
            <rFont val="Tahoma"/>
            <family val="2"/>
          </rPr>
          <t>The base topic and the list of dates are combined to create the snapshot topic for each date in column G.
Sidebar: we considered a simpler, single method that takes a topic and range of dates as an input and returns all topics that contain data ...or even just automatically does the U.VAPPEND and returns the data itself. We opted against that due to the risk of hammering the U server if a user inadvertently inputs a massive range of dates. By forcing the dates to be rendered within a range of cells, the number of server requests is limited to the size of the range the user uses to display dates ...and typically users will not display more than several hundred or a few thousand dates, since the need to scan more than one or a few years of report data is rare (for true time series analysis of price data over many years, U reports are not an optimal solution).</t>
        </r>
      </text>
    </comment>
    <comment ref="L5" authorId="0" shapeId="0" xr:uid="{00000000-0006-0000-0B00-000006000000}">
      <text>
        <r>
          <rPr>
            <b/>
            <sz val="9"/>
            <color indexed="81"/>
            <rFont val="Tahoma"/>
            <family val="2"/>
          </rPr>
          <t>Select a desk from the dropdown here to drive which Desk's data is displayed in the box to the right.
Check out the defined names to see how the list used for data validation is created. For example, if you go to Formulas =&gt; Name Manager you can see how DeskSelectionList is defined (it uses U.REGION to get all of the desks in the list but not the #N/A errors beneath them).</t>
        </r>
      </text>
    </comment>
    <comment ref="E25" authorId="0" shapeId="0" xr:uid="{00000000-0006-0000-0B00-000007000000}">
      <text>
        <r>
          <rPr>
            <b/>
            <sz val="9"/>
            <color indexed="81"/>
            <rFont val="Tahoma"/>
            <family val="2"/>
          </rPr>
          <t>Just publishing some dummy data for different dates here so there is something to use for this scenario.</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C4" authorId="0" shapeId="0" xr:uid="{00000000-0006-0000-0C00-000001000000}">
      <text>
        <r>
          <rPr>
            <b/>
            <sz val="9"/>
            <color indexed="81"/>
            <rFont val="Tahoma"/>
            <family val="2"/>
          </rPr>
          <t>This example shows one way that U can be used to automate the processing of file-based information. When an expected number of files matching a certain pattern have been written after some specified earliest time, the contents are concatenated and sorted and the results are written to another file.
The processing in this example is deliberately simplistic. In practice the full suite of Excel and U functionality can be used to process the file data.
In this top section, information about the input files is specified. If you create a C:\Test directory on your machine and begin to create text files with names like "group_1_vals.txt" then you will start to see information fill in below. Once at least 2 such files exist, they will be processed and the output file will be written. Try putting a few random csv lines in each file you create (e.g.  a row a,b,c and another 1,2,3 below it).</t>
        </r>
      </text>
    </comment>
    <comment ref="C12" authorId="0" shapeId="0" xr:uid="{00000000-0006-0000-0C00-000002000000}">
      <text>
        <r>
          <rPr>
            <b/>
            <sz val="9"/>
            <color indexed="81"/>
            <rFont val="Tahoma"/>
            <family val="2"/>
          </rPr>
          <t>This is retrieving all files in the specified directory that have been written after the specified time. U.FIND_FILE needs to be recalculated to update its results. That could be done by using a ticking time as the trigger for U.DO …for example, U.NOW(10) to have it check every 10 seconds... but it's more efficient to only redo the check when some relevant file has actually changed. Th Directory Watch above will update to the current time when there is a relevant change, and that will cause these results to refresh.</t>
        </r>
      </text>
    </comment>
    <comment ref="C18" authorId="0" shapeId="0" xr:uid="{00000000-0006-0000-0C00-000003000000}">
      <text>
        <r>
          <rPr>
            <b/>
            <sz val="9"/>
            <color indexed="81"/>
            <rFont val="Tahoma"/>
            <family val="2"/>
          </rPr>
          <t>Here just checking whether the minimum number of expected files exist. Subsequent processing is conditional on this being TRUE.</t>
        </r>
      </text>
    </comment>
    <comment ref="C22" authorId="0" shapeId="0" xr:uid="{00000000-0006-0000-0C00-000004000000}">
      <text>
        <r>
          <rPr>
            <b/>
            <sz val="9"/>
            <color indexed="81"/>
            <rFont val="Tahoma"/>
            <family val="2"/>
          </rPr>
          <t>Here reading the contents of each file and having them automatically placed in a cache so I can process them without having to actually display them. The filenames are used for the cache keys, but cache keys could be anything. If the files are massive such that memory usage is a concern, a read-once cache could have been used instead.</t>
        </r>
      </text>
    </comment>
    <comment ref="C29" authorId="0" shapeId="0" xr:uid="{00000000-0006-0000-0C00-000005000000}">
      <text>
        <r>
          <rPr>
            <b/>
            <sz val="9"/>
            <color indexed="81"/>
            <rFont val="Tahoma"/>
            <family val="2"/>
          </rPr>
          <t>Just doing some simple processing for illustration here. If you've created appropriately-named text files containing some comma-delimited lines in C:\Test then the rows in those files will be appended together then sorted alphanumerically by the first column and the result cached.
Alternatively, the data from multiple file paths could be read directly ...instead of first reading each file into its own cache... by using U.VAPPEND("config(files)",B12:B15). See documentation of U.VAPPEND in the U_UsageExamples.xlsx workbook for all U.VAPPEND config options.</t>
        </r>
      </text>
    </comment>
    <comment ref="C33" authorId="0" shapeId="0" xr:uid="{00000000-0006-0000-0C00-000006000000}">
      <text>
        <r>
          <rPr>
            <b/>
            <sz val="9"/>
            <color indexed="81"/>
            <rFont val="Tahoma"/>
            <family val="2"/>
          </rPr>
          <t>Writing to an output file here. It will create the directory if it doesn't already exist provided the user has permission to do so.</t>
        </r>
      </text>
    </comment>
    <comment ref="F36" authorId="0" shapeId="0" xr:uid="{00000000-0006-0000-0C00-000007000000}">
      <text>
        <r>
          <rPr>
            <b/>
            <sz val="9"/>
            <color indexed="81"/>
            <rFont val="Tahoma"/>
            <family val="2"/>
          </rPr>
          <t>Cached information is available for any sort of processing until it is deleted (except for read-once caches, which as the name implies are deleted after being read once). Here just displaying the contents of the cache.
Use of caching is optional, but it can make workbooks much smaller and more efficient. It's especially useful when the incoming data may be very large, but the resulting output is relatively small since it contains summary or aggregated/filtered details. When caches are used, very large input data can be processed without ever having to actually render it in a range of cells.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M6" authorId="0" shapeId="0" xr:uid="{00000000-0006-0000-0D00-000002000000}">
      <text>
        <r>
          <rPr>
            <b/>
            <sz val="9"/>
            <color indexed="81"/>
            <rFont val="Tahoma"/>
            <family val="2"/>
          </rPr>
          <t>This side is used to represent a publisher of the data. Try adding and removing rows of data and see how the range to the left properly reflects changes, even blowing away data as necessary as the report shrinks.
The U.PUBLISH call wraps the data in U.SUBRANGE without any additional subrange parameters specified, which has the effect of trimming all blank rows from the bottom so that only rows actually containing data are published.
This is just here to facilitate this example. In most cases the publisher may be some other Excel sheet, probably running on another machine or even in another office. The publisher might also be a programmatic app that is feeding trades from a trading system or centralized positions database.</t>
        </r>
      </text>
    </comment>
    <comment ref="E8" authorId="0" shapeId="0" xr:uid="{39E28D41-F9A8-4815-9D30-CB859B8DB039}">
      <text>
        <r>
          <rPr>
            <b/>
            <sz val="9"/>
            <color indexed="81"/>
            <rFont val="Tahoma"/>
            <family val="2"/>
          </rPr>
          <t>It is simple to create ranges that efficiently expand and contract dynamically using U.PAD -- review the U.PAD documentation in U_UsageExamples.xlsx for details. This example illustrates how U.COPY_PASTE can be combined with U.PAD so that equations in adjacent cells can also expand and contract dynamically. As described in the U.PAD documentation, cell formats can optionally be copied down/across as the data expands.
Try entering new rows of data to the right, and see how the array formula displaying the report adjusts automatically. Once an entire row is filled in, the "Capital" equation is also copied down automatically. If a newly entered row is deleted, the array formula will be shrunk and also the Capital equation from the removed row will also be removed.
The only reason U.COPY_PASTE references multiple rows (e.g. B10:D15 instead of B10:D10) is so that the equation will be copied down and removed correctly even if there are blank rows within the data to the right. This is optional and not generally needed in the common case where data does not contain blank rows.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I6" authorId="0" shapeId="0" xr:uid="{DACDFCD6-0968-4863-B2EB-B5748FCBAE6C}">
      <text>
        <r>
          <rPr>
            <b/>
            <sz val="9"/>
            <color indexed="81"/>
            <rFont val="Tahoma"/>
            <family val="2"/>
          </rPr>
          <t>Using the hover support in U.SET_CLICKVALS along with conditional formatting, it is possible to highlight the row/column labels …and optionally the entire row/column… when hovering over a cell in a grid.
Enable this example by changing the Enabled value at the top to TRUE, then try moving the mouse over the values in the grid to the left. The cell directly under the mouse is receiving the formats specified in the U.SET_CLICKVALS equation above, while the other cells are being formatted using conditional formatting. The conditional formatting logic is referencing the row and column numbers being hovered over, which are available because the return value of the U.SET_CLICKVALS call is "return(rowcol)" (note that the returned value is the comma-delimited row and column numbers, so those are being split and converted to numbers ...and those numbers are referenced by the conditional formatting logic).
The cell under the cursor could optionally have also been formatted with conditional formatting. The embedded formats are used only for variety in this example and to show that it supports formats not available with conditional formatting (such as changing the text alignment and size of the containing row). Because the row height of the cell under the mouse is changed for illustration, this example is a bit jumpy (also a bit jumpy in the example because the nested formats are applied a bit quicker than the conditional formats). In practice the formatting chosen would likely be simpler and more pleasing to view.</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M4" authorId="0" shapeId="0" xr:uid="{F3AC0ED5-1477-4DF3-A764-4A005E20DE61}">
      <text>
        <r>
          <rPr>
            <b/>
            <sz val="9"/>
            <color indexed="81"/>
            <rFont val="Tahoma"/>
            <family val="2"/>
          </rPr>
          <t>Here just inserting the detail where it belongs, and also trimming the date labels to make it easier to read. Click anywhere in the grid and see how the detail for the clicked row is inserted. click in the top row to clear the detail. Conditional formatting is used to clearly distinguish the strategy total rows from the detail rows.
Since the size of the result will change as the user selection changes, the entire function is nested in U.PAD with the 2nd parameter set to TRUE -- that makes it a dynamic array that adjusts automatically as the size of the data changes. The 2nd parameter also passes -1 as 2nd and 3rd columns, which prevents the array formula from being resized smaller when the data shrinks (that is optional, but to resize an array formula it is first deleted then re-entered ...which can create a quick, visible flash; preventing resizing down will prevent such flashes). If all users are on a very recent version of Excel, this equation could instead be placed in a single cell and Excel's native dynamic arrays functionality could be used (in which case other functions in this recipe could refer to the dynamic range as I3# instead of using U.REGION(I3:M3).
In the detail, blanks are replaced with zeros, but that isn't necessary. In the outer pivot see how on August 14th Strategy 1 is blank for Adam. That is because there are no such trades. That blank could similarly have been replaced with a zero, or in the detail the cells could be left blank to indicate there are no trades (done both ways at different levels here just for variety in the example).
If there is a desire to have additional data displayed below this main grid that moves up/down automatically as the grid is resized, the U.VINSERT could simply be nested inside of a VAPPEND that appends any other desired data.</t>
        </r>
      </text>
    </comment>
    <comment ref="C5" authorId="0" shapeId="0" xr:uid="{FE245DFA-AD29-4B2E-A1AB-D0BFDFEE0AC9}">
      <text>
        <r>
          <rPr>
            <b/>
            <sz val="9"/>
            <color indexed="81"/>
            <rFont val="Tahoma"/>
            <family val="2"/>
          </rPr>
          <t>This is converting the trades report into a grid with the date and Strategy as 2-level row labels, the Broker as the column labels, and the sum PnL as the values. The report only has a Time column, so trunc(Time) is used to strip the time portion to get the date. Summing values is the default U.TABLE_TO_GRID behavior, but other options are available (see doc for that function in U_UsageExamples.xlsx).
After the grid is created, it is sorted to put the most recent dates first while keeping the broker names on top. The result is then cached so it is available to other functions.</t>
        </r>
      </text>
    </comment>
    <comment ref="U5" authorId="0" shapeId="0" xr:uid="{6166939A-F263-4DA1-AA01-BBE17ADCF387}">
      <text>
        <r>
          <rPr>
            <b/>
            <sz val="9"/>
            <color indexed="81"/>
            <rFont val="Tahoma"/>
            <family val="2"/>
          </rPr>
          <t>This is here simply to cache some data that simulates a trades report that might be received by the workbook via U.SUBSCRIBE. It's caching the dummy data to the right every 5 seconds, randomly tweaking the PnL numbers a little with each cache. The cached data is used in the example to the left.</t>
        </r>
      </text>
    </comment>
    <comment ref="C18" authorId="0" shapeId="0" xr:uid="{BACB7EA3-3C04-4BFE-92F6-F5F19C383B90}">
      <text>
        <r>
          <rPr>
            <b/>
            <sz val="9"/>
            <color indexed="81"/>
            <rFont val="Tahoma"/>
            <family val="2"/>
          </rPr>
          <t>Here another grid similar to the main one above is created, but it has Symbol as the single row label. Also, the raw data is filtered to include only the selected date and strategy before the grid is created, since the detail must only include that selected info. The result is cached so that it is available to be inserted at the appropriate location in the grid above.
One could call =U.GET(&lt;cell&gt;) over a range of cells for either grid (cell C4 or C17) to explicitly view what is actually being cached. Being able to see interim results like that can be helpful when building functionality.</t>
        </r>
      </text>
    </comment>
    <comment ref="C31" authorId="0" shapeId="0" xr:uid="{DA8246D1-5755-41D4-9BA5-88F7F8372DF4}">
      <text>
        <r>
          <rPr>
            <b/>
            <sz val="9"/>
            <color indexed="81"/>
            <rFont val="Tahoma"/>
            <family val="2"/>
          </rPr>
          <t>This recipe is a tricky since it is inherently circular: the displayed result depends on where the user clicks, but the user clicks somewhere in the displayed result. To manage this, the values at the time of the click must be captured in a way that does not create a circular that will cause Excel to cancel the recalculation. In this example, the values are captured be setting them using U.OVERWRITE_CLICKVALS so that they can be retrieved using U.GET_CLICKVALS. U.EVENT is used so that the clickvals are only overwritten when a user actually does perform a click.
Since a user could click on a row that contains details, rather than on a row that has a strategy total, an additional check is added to only change the selected strategy if a strategy row is clicked.</t>
        </r>
      </text>
    </comment>
    <comment ref="C42" authorId="0" shapeId="0" xr:uid="{890A4B7F-DE22-4308-8576-A6AEEAE4CB99}">
      <text>
        <r>
          <rPr>
            <b/>
            <sz val="9"/>
            <color indexed="81"/>
            <rFont val="Tahoma"/>
            <family val="2"/>
          </rPr>
          <t>This is computing the location to insert the detail within the main grid using U.VFILTER configured to return the row number that matches the filter. It includes a check to see whether there should be any insertion performed at all (i.e. whether the date or strategy is blank).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B3" authorId="0" shapeId="0" xr:uid="{00000000-0006-0000-0200-000001000000}">
      <text>
        <r>
          <rPr>
            <b/>
            <sz val="9"/>
            <color indexed="81"/>
            <rFont val="Tahoma"/>
            <family val="2"/>
          </rPr>
          <t>Clicking this button will recalculate cell C8, which runs the script below.</t>
        </r>
      </text>
    </comment>
    <comment ref="C7" authorId="0" shapeId="0" xr:uid="{00000000-0006-0000-0200-000002000000}">
      <text>
        <r>
          <rPr>
            <b/>
            <sz val="9"/>
            <color indexed="81"/>
            <rFont val="Tahoma"/>
            <family val="2"/>
          </rPr>
          <t>This creates the script. The script's name can be anything. The script itself is just a list of functions to calculate in order.
Note that the #init() indicator is automatically added to the worksheet's name. This is important so that UpTickXL knows there is a script on the page and can prevent script steps from calculating prematurely when a workbook is first opened.</t>
        </r>
      </text>
    </comment>
    <comment ref="N7" authorId="0" shapeId="0" xr:uid="{00000000-0006-0000-0200-000003000000}">
      <text>
        <r>
          <rPr>
            <b/>
            <sz val="9"/>
            <color indexed="81"/>
            <rFont val="Tahoma"/>
            <family val="2"/>
          </rPr>
          <t>This is the list of tickers and some dummy data for the example. A query delay is simulated in the logic to the right.</t>
        </r>
      </text>
    </comment>
    <comment ref="H11" authorId="0" shapeId="0" xr:uid="{00000000-0006-0000-0200-000005000000}">
      <text>
        <r>
          <rPr>
            <b/>
            <sz val="9"/>
            <color indexed="81"/>
            <rFont val="Tahoma"/>
            <family val="2"/>
          </rPr>
          <t>Here are the final results. This results and completion time are cleared as the 2nd step in the script. The results are re-populated as data for each ticker is available during the loop.
The completion time is written as the final step in the script. The presence of a completion time is used as an indicator for whether the script is currently running -- having something like that is entirely optional. In general the logic around execution of a script will be driven by the specifics of the script, which can vary widely. Because this example is simulating queries and pasting values into the sheet, there are a couple redundant checks to try and avoid any race conditions related to copying and pasting.</t>
        </r>
      </text>
    </comment>
    <comment ref="N14" authorId="0" shapeId="0" xr:uid="{00000000-0006-0000-0200-000006000000}">
      <text>
        <r>
          <rPr>
            <b/>
            <sz val="9"/>
            <color indexed="81"/>
            <rFont val="Tahoma"/>
            <family val="2"/>
          </rPr>
          <t>This ticker index is reset to zero as the first step of the script, and is incremented in each loop. Data for the corresponding ticker is retrieved and appended to the results.</t>
        </r>
      </text>
    </comment>
    <comment ref="B15" authorId="0" shapeId="0" xr:uid="{00000000-0006-0000-0200-000007000000}">
      <text>
        <r>
          <rPr>
            <b/>
            <sz val="9"/>
            <color indexed="81"/>
            <rFont val="Tahoma"/>
            <family val="2"/>
          </rPr>
          <t>Each step of the script is simple by itself. It resets the ticker counter and clears the prior results, then it has a loop (shaded blue) that captures info for each ticker one at time. The completion time is then recorded as a last step.
The ticker data and such here is just dummy data and dummy logic simulating a delay in receiving data for the ticker. The logic for determining when data is ready/available during a given iteration will naturally vary from sheet to sheet based on the nature of the data and how it is calculated/queried.</t>
        </r>
      </text>
    </comment>
    <comment ref="B23" authorId="0" shapeId="0" xr:uid="{00000000-0006-0000-0200-000008000000}">
      <text>
        <r>
          <rPr>
            <b/>
            <sz val="9"/>
            <color indexed="81"/>
            <rFont val="Tahoma"/>
            <family val="2"/>
          </rPr>
          <t>A script can optionally have 1 finally() step that cannot be in a loop. If the script is terminated for any reason, it will jump to a finally() line if one exists and continue running. This can be seen by typing =U.RUN_SCRIPT(FALSE) into any cell while this script is running -- it will still record the completion time. If you delete the finally() step and try that again, the script will just end. If the script is terminated again while in the finally line, it will terminate. A finally() step can be helpful to ensure some state is restored after a script is run, such as default files being copied back into some location.</t>
        </r>
      </text>
    </comment>
    <comment ref="B27" authorId="0" shapeId="0" xr:uid="{00000000-0006-0000-0200-000009000000}">
      <text>
        <r>
          <rPr>
            <b/>
            <sz val="9"/>
            <color indexed="81"/>
            <rFont val="Tahoma"/>
            <family val="2"/>
          </rPr>
          <t>A log of script activity is pasted here. This is optional, but can be very helpful especially when building a script to see what it is doing.
One trick (not done in this example) is to set a configurable sleep(x) step between each real step in the script. Having a pause between individual step makes it easier to see what the script is doing as it executes, which can also be very helpful when building a new script (and if the "x" is a variable, it could be set to zero during normal execution so the script still executes fast).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C3" authorId="0" shapeId="0" xr:uid="{C9E67D15-DA29-484C-A40B-6A19F7190B14}">
      <text>
        <r>
          <rPr>
            <b/>
            <sz val="9"/>
            <color indexed="81"/>
            <rFont val="Tahoma"/>
            <family val="2"/>
          </rPr>
          <t>This example uses the dummy data created in the Expandable Grid example, but appends a "Date" column created from the Time column in the data using U.REPLACE on  the Time column.</t>
        </r>
      </text>
    </comment>
    <comment ref="N3" authorId="0" shapeId="0" xr:uid="{D049663F-1B66-48A7-8303-E74E5498B8E9}">
      <text>
        <r>
          <rPr>
            <b/>
            <sz val="9"/>
            <color indexed="81"/>
            <rFont val="Tahoma"/>
            <family val="2"/>
          </rPr>
          <t>Here just creating the columns to be available as drop-down settings for the pivot table.</t>
        </r>
      </text>
    </comment>
    <comment ref="C5" authorId="0" shapeId="0" xr:uid="{4910B716-E779-46B6-BE81-42787686A65C}">
      <text>
        <r>
          <rPr>
            <b/>
            <sz val="9"/>
            <color indexed="81"/>
            <rFont val="Tahoma"/>
            <family val="2"/>
          </rPr>
          <t>Users can select the row axis, column axis and the values to be displayed in the grid. By default values would be summed, but in this example there is also the ability to select some other output (of course not all types are meaningful for all values; users can add logic to show errors for certain combinations as deemed necessary).</t>
        </r>
      </text>
    </comment>
    <comment ref="B11" authorId="0" shapeId="0" xr:uid="{DED77138-5B45-47E8-B502-4B493C986B69}">
      <text>
        <r>
          <rPr>
            <b/>
            <sz val="9"/>
            <color indexed="81"/>
            <rFont val="Tahoma"/>
            <family val="2"/>
          </rPr>
          <t>The actual pivot table is very simple -- it's just an U.TABLE_TO_GRID, nested here in an U.PAD with the 2nd parameter set to TRUE so that the array formula will automatically resize as the size of the result changes. If users are on the latest version of Excel that supports dynamic arrays, the U.PAD could be removed and the formula could just be entered like any other formula into a single cell (by using U.PAD, this will work for all versions of Excel).
Conditional formatting is used to modify how the labels and values are displayed as the grid is resized. If a combination of selections is made that results in an error ...such as selecting the same value for both the Rows and Columns... then an error message is returned.
Cells where there are no records have blank values, but the blanks could easily be replaced with zeros if desired using U.REPLACE.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G10" authorId="0" shapeId="0" xr:uid="{A3629A38-5768-4E98-82AC-DC5A5506E814}">
      <text>
        <r>
          <rPr>
            <b/>
            <sz val="9"/>
            <color indexed="81"/>
            <rFont val="Tahoma"/>
            <family val="2"/>
          </rPr>
          <t>In many situations a user does not care about receiving updates as quickly as they are being published. For example, a sheet that computes risk metrics may receive a report with updated positions many times per second but the risk user only cares about seeing updates every 10 seconds. Throttling the rate at which updates are processed is one of the quickest and easiest ways to realize major performance benefits in big sheets that are using a lot of CPU.
A simple way to throttle subscriptions is to use U.REFRESH to refresh the data from the server on a specified interval. Here U.REFRESH is updated every 5 seconds (because U.REFRESH is blocking itself, and then allowed to update every 5 seconds when triggered by the U.RECALC method). Other methods could refer to this cell just like they would refer to a cell containing U.SUBSCRIBE, and those cells will receive updated data to process at most once every 5 seconds.
Note that if the desire is to throttle subscribes for every U topic, that is more easily accomplished by setting a global throttle with U.RTD_THROTTLE_MILLIS. Refer to documentation on that method in the U_UsageExamples.xlsx workbook.
In a nonstandard setup where the publisher of the data is also in the same instance of Excel ...or if the Excel instance also has an U.SUBSCRIBE call for the same topic... this approach will not work. That's because there is only a single copy of the topic stored behind the scenes, and U.REFRESH will recalculate whenever there is new data available in the add-in. The example below describes a way to throttle subscribes in such a setup.
One minor annoyance with using U.RECALC is that Excel will revert cut/copy mode when asked to recalculate a range, which can make it hard to be copying/pasting in the workbook if U.RECALC is firing regularly. So best to disable the U.RECALC call when editing the workbook ...or use one of the approaches below. The U.RECAL method is commented out here so that it does not interfere with Excel's cut/copy mode if the user opens this workbook in an Excel instance where another workbook is being edited.</t>
        </r>
      </text>
    </comment>
    <comment ref="G30" authorId="0" shapeId="0" xr:uid="{0206AAB9-A8BE-441C-94E5-033D6705B08C}">
      <text>
        <r>
          <rPr>
            <b/>
            <sz val="9"/>
            <color indexed="81"/>
            <rFont val="Tahoma"/>
            <family val="2"/>
          </rPr>
          <t>U.REFRESH could alternatively be used without blocking itself. In this example it still refreshes every 5 seconds. However, in a nonstandard setup where the publisher of the data is also in the same instance of Excel ...or if the Excel instance also has an U.SUBSCRIBE call for the same topic... this approach will not work. That's because U.REFRESH will calculate whenever there is new data available in the add-in. If there is no chance of another publisher/subscriber call for the topic existing in the Excel instance, this simpler method can be used.</t>
        </r>
      </text>
    </comment>
    <comment ref="G37" authorId="0" shapeId="0" xr:uid="{26EF9EC7-D9A7-451C-90A1-9F4661718FDD}">
      <text>
        <r>
          <rPr>
            <b/>
            <sz val="9"/>
            <color indexed="81"/>
            <rFont val="Tahoma"/>
            <family val="2"/>
          </rPr>
          <t>Simply for illustration, here is another way to setup a throttle. In this example the "block" parameter is set to a number of seconds to throttle the U.REFRESH call. The method is set to be automatically recalculated (the U.DO with a trigger that fires every second), but the actual U.REFRESH call will only occur every 5 seconds. Here the throttle of 5 seconds is passed in as a negative number so that the add-in does not automatically recalculate the range after the 5 seconds has elapsed (an automatic recalc is not needed since the method is already recalculating itself every second).</t>
        </r>
      </text>
    </comment>
    <comment ref="G54" authorId="0" shapeId="0" xr:uid="{00000000-0006-0000-0300-000001000000}">
      <text>
        <r>
          <rPr>
            <b/>
            <sz val="9"/>
            <color indexed="81"/>
            <rFont val="Tahoma"/>
            <family val="2"/>
          </rPr>
          <t>This example shows how to setup a subscription throttle in the unlikely event that a subscribe needs to be throttled in an Excel instance that is also publishing to the same topic, and for any reason there is a desire to avoid the self-blocking method above. Here some random data is being published every second, but the U.GET call is only receiving updated values every 5 seconds. This is accomplished by using U.NOW(5), instead of U.SUBSCRIBE, to drive the retrieval of updated data (see equation in cells updating every 5 seconds to the left).
As seen here, the timestamp that U.SUBSCRIBE appends to UpTickXL topic is optional. Any method that would normally refer to the cell containing U.SUBSCRIBE can instead refer to this cell that updates on a schedule. Here U.TOPIC is used to simplify the creation of a properly-formatted topic, but the topic could be fully hard-coded if desired.
The U.SUBSCRIBE in the cell above isn't required, it's just there to show the timestamp and that the data is actually updating. However, it doesn't hurt to actually have an U.SUBSCRIBE call in some random cell like this -- in that case, the data is sure to be updating behind the scenes even if the workbook is no longer publishing the topic.</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G12" authorId="0" shapeId="0" xr:uid="{00000000-0006-0000-0400-000001000000}">
      <text>
        <r>
          <rPr>
            <b/>
            <sz val="9"/>
            <color indexed="81"/>
            <rFont val="Tahoma"/>
            <family val="2"/>
          </rPr>
          <t>To the left is data that is changing every second (the prices are just using Excel's volatile RANDBETWEEN() method to generate numbers, and the first row has an U.NOW(1) in it to cause a recalc event once per second).
If this range of data were published using U.PUBLISH, by default it will be published each time it recalcs ...so once per second. A good way to throttle the publishes so that they occur less frequently is to have U.PUBLISH block itself and then use U.RECALC to have it recalculated periodically.
In this example the 5th "block" parameter in U.PUBLISH is set to TRUE. That will cause the publish to block itself until it is explicitly allowed to proceed. U.RECALC is used to calculate the cell containing U.PUBLISH every 5 seconds, and because the calculation is triggered by U.RECALC the publish is allowed to proceed for a single calc cycle. (There are other ways to allow self-blocked methods to proceed, such as an U.EVENT triggering or a user clicking a button or menu item).
Note that if the desire is to throttle publishes for every UpTickXL topic, that is more easily accomplished by setting a global throttle with U.PUB_THROTTLE_MILLIS. Refer to documentation on that method in the U_UsageExamples.xlsx workbook.
One minor annoyance with using U.RECALC is that Excel will revert cut/copy mode when asked to recalculate a range, which can make it hard to be copying/pasting in the workbook if U.RECALC is firing regularly. So best to disable the U.RECALC call when editing the workbook ...or use the simpler approach below.</t>
        </r>
      </text>
    </comment>
    <comment ref="G27" authorId="0" shapeId="0" xr:uid="{801FCA89-29BF-4CE9-ABE7-C44AAFA5597F}">
      <text>
        <r>
          <rPr>
            <b/>
            <sz val="9"/>
            <color indexed="81"/>
            <rFont val="Tahoma"/>
            <family val="2"/>
          </rPr>
          <t>But there is an even easier way available. The block parameter can also be given a number to indicate the how many seconds to throttle the calculation of the method. In this example the method will similarly only publish once every 5 seconds.
By default, when the method is blocked it will be automatically recalculated once the 5-second interval has elapsed. That's not really needed here since the data is changing constantly. That's why there the value provided is actually negative 5. When a negative number is passed it is still a throttle in seconds, but then an automatic recalc after a block will not be attempted.
All U methods that have a block parameter support being throttled this way.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G14" authorId="0" shapeId="0" xr:uid="{00000000-0006-0000-0500-000001000000}">
      <text>
        <r>
          <rPr>
            <b/>
            <sz val="9"/>
            <color indexed="81"/>
            <rFont val="Tahoma"/>
            <family val="2"/>
          </rPr>
          <t>It is often desirable to setup email or text notifications when certain data thresholds (risk metrics, price levels, etc) are breached. But users risk being spammed if U.SEND_EMAIL() continues to recalculate while the defined threshold is breached. U.EVENT can be used to precisely control the logic for sending such notifications.
In this example the user wants to be notified by email if any Delta in a list of Deltas is greater than 4000 (or less than -4000). To do that, the U.EMAIL is setup to only compute if U.EVENT returns TRUE.
In U.EVENT, a threshold of 4000 that must be breached in the upward direction is defined. Also "max events" is set to 1, so the event will not re-trigger even if the offending Delta drops back below 4000 and then re-crosses that threshold. (Technically, since the max events is set to 1, it is not necessary to bother also setting a "direction"). The "calc on trigger" param is set to the cell with U.SEND_EMAIL, and U.SEND_EMAIL is configured to block itself. When the event triggers, it will recalculate that cell and U.SEND_EMAIL will unblock itself for exactly 1 calc cycle. The method references a Reset field which can be used to easily reset the event whenever desired (by changing the reset value to TRUE then back to FALSE).
Because this example uses Excel's ABS() method to get the absolute values of the Deltas, the equation is entered as a formula array (press Control-Shift-Enter instead of just Enter after typing the formula, which creates those curly braces around the equation in the formula bar). Entering as a formula array is necessary to force Excel to send the entire array of absolute values to the U.EVENT method.
By using other available EVENT.UPTICK parameters, and potentially using multiple calls to U.EVENT, trigger scenarios of arbitrary complexity can be defined.
The U.SEND_EMAIL calls are commented out in these examples to prevent an email from being sent inadvertently.</t>
        </r>
      </text>
    </comment>
    <comment ref="G33" authorId="0" shapeId="0" xr:uid="{00000000-0006-0000-0500-000002000000}">
      <text>
        <r>
          <rPr>
            <b/>
            <sz val="9"/>
            <color indexed="81"/>
            <rFont val="Tahoma"/>
            <family val="2"/>
          </rPr>
          <t>If users instead wish to have a message sent at a particular time of day, the approach is very similar. In this example the time of day is used as the trigger, again with the breach set in the upward direction. Instead of including the "upward direction" indicator of 1 in a distinct cell, it is instead applied within the method by using U.HAPPEND (it could just as easily have been in the cell right of the time as in the example above).
Here there is no max number of triggers set because the user wants the email sent at 4:00 PM each day. Specifying that the direction of triggering is upward is important because otherwise it would trigger at midnight when the time goes from 23:59:59 back to zero (so crosses 4:00 PM in a downward direction).
The U.EVENT method is watching the time of day as returned by U.TIME, which does not have a date value. That is necessary, since otherwise the trigger would only apply to a specific day. This is compared to the specified time, which to ensure the cell has only a time (and note a date) is referenced using the idiom [Value - TRUNC(Value)] to get the fractional part of the datetime. U.TIME is set to update every 5 seconds, so the email will be sent within 5 seconds of 4:00 PM even if the data in the range being emailed does not change around that time.
The 5th parameter of U.EVENT is set to {0,0,1}, which is telling the method to completely ignore the 1st calculation after the workbook is opened. Without this, the event would return TRUE on the 1st calculation after the workbook is opened since the time value goes from blank to the current time. To understand why it must do that, consider that the event could be watching a risk limit instead of a time ...and in that case, a breach of the risk limit should trigger the event (times are just numbers in Excel, so to UpTickXL a time and a risk limit both just look like numbers).
As with the example above, U.EVENT is configured to unblock (for a single calculation cycle) and recalculate the cell containing U.SEND_EMAIL, which is otherwise blocking itself so that it won't generate emails inadvertently.
This technique, as with the one above, could also be used to send text messages or to control any other type of recalculation or action in Excel.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C5" authorId="0" shapeId="0" xr:uid="{00000000-0006-0000-0600-000001000000}">
      <text>
        <r>
          <rPr>
            <b/>
            <sz val="9"/>
            <color indexed="81"/>
            <rFont val="Tahoma"/>
            <family val="2"/>
          </rPr>
          <t>There may be times where a given cell should be recalculated when a workbook is opened, and possibly also at periodic intervals. This can be accomplished using U.DO with an appropriate trigger.
In this example, U.REGION is used to detect a range of cells to be published. Because nothing in the equation references any of the cells in the range below the column labels, adding a new row of data will not force a recalc. So the U.PUBLISH call is nested inside of an U.DO call, and U.NOW with an interval of 5 seconds is used as the trigger parameter. U.NOW will therefore recalculate every 5 seconds, which will force a republish every 5 seconds.
If the need is only to force a recalculation when opening the workbook, then the parameter in U.NOW could have been omitted (or any other U method that is guaranteed to recalc when a workbook opens could have been used: U.USERNAME, U.MACHINENAME, U.TODAY, etc).
Note that if a workbook is in manual recalc mode then these scheduled calculations will not take place. To force recalculation of a sheet in manual recalc mode requires VBA (though watch for an U.RECALC method in a future version that makes this possible without the use of VBA).
An alternate approach would be to have U.PUBLISH in its own cell, configured to block itself (by setting its "block" parameter to TRUE). Then use U.RECALC() to recalculate the cell containing U.PUBLISH on some interval. When U.RECALC is used to recalculate a cell, that cell will unblock itself for a single calc cycle to allow that forced calculation to proceed. See the Controlling Messages example in this workbook for an example of a self-blocking method.</t>
        </r>
      </text>
    </comment>
    <comment ref="C32" authorId="0" shapeId="0" xr:uid="{00000000-0006-0000-0600-000002000000}">
      <text>
        <r>
          <rPr>
            <b/>
            <sz val="9"/>
            <color indexed="81"/>
            <rFont val="Tahoma"/>
            <family val="2"/>
          </rPr>
          <t>Just subscribing here to show that the data is published. Add some data to a new row above and see that within 5 seconds it has been published even though nothing in the publish call directly references the data being published.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K4" authorId="0" shapeId="0" xr:uid="{00000000-0006-0000-0700-000001000000}">
      <text>
        <r>
          <rPr>
            <b/>
            <sz val="9"/>
            <color indexed="81"/>
            <rFont val="Tahoma"/>
            <family val="2"/>
          </rPr>
          <t>Here is the U.INCREMENT call that enables the position increment functionality.</t>
        </r>
      </text>
    </comment>
    <comment ref="D6" authorId="0" shapeId="0" xr:uid="{00000000-0006-0000-0700-000002000000}">
      <text>
        <r>
          <rPr>
            <b/>
            <sz val="9"/>
            <color indexed="81"/>
            <rFont val="Tahoma"/>
            <family val="2"/>
          </rPr>
          <t>Here is a range of positions that may be updated by any of several traders on a desk.
If you open this sheet in different Excel processes (2nd time will be read-only if on same machine) you can see how values can be changed in either sheet and all changes are retained on both sheets.
To make this example a little more interesting, the U.INCREMENT method is also used so that users can optionally type a position change in the 3rd column instead of a new total position in the 2nd column (with log of recent incremental changes pasted below).
Note: there is a small risk that a user's change could be lost if multiple users attempt to change the range at exactly the same time (within about 100 milliseconds of each other). In the rare event that this happens, it should be obvious to the user whose change is not applied since it will appear to have reverted immediately after being entered.</t>
        </r>
      </text>
    </comment>
    <comment ref="K9" authorId="0" shapeId="0" xr:uid="{00000000-0006-0000-0700-000003000000}">
      <text>
        <r>
          <rPr>
            <b/>
            <sz val="9"/>
            <color indexed="81"/>
            <rFont val="Tahoma"/>
            <family val="2"/>
          </rPr>
          <t>To configure a topic that multiple users can edit, use U.TWO_WAY_DATA.
Using U.TWO_WAY_DATA is just as simple as publishing data: just provide a report group, a report name, and select the range of data that contains the range that holds the data.
An alternative approach that allows for some finer-grained control is use the following methods in combination: U.PUBLISH, U.SUBSCRIBE and U.PASTE. Using U.TWO_WAY_DATA is recommended for most cases, though, since it simplifies the setup and reduces the risk of setup errors. The alternative approach is described in the UpTickXL_UsageExamples.xlsx sheet that can be found in the UpTickXL Add-In directory.
U.TWO_WAY_DATA has logic to prevent stale data saved with a sheet from being published when the sheet is opened -- it ensures the latest data from the server is pasted in before it allows a publish to occur. If this is the first time this test sheet has been opened in this environment, an initial attempt to publish the report could be blocked for that reason (until the add-in confirms that the report does not yet even exist, so allows the publish to go through).</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Brian Pierce</author>
  </authors>
  <commentList>
    <comment ref="G7" authorId="0" shapeId="0" xr:uid="{00000000-0006-0000-0800-000001000000}">
      <text>
        <r>
          <rPr>
            <b/>
            <sz val="9"/>
            <color indexed="81"/>
            <rFont val="Tahoma"/>
            <family val="2"/>
          </rPr>
          <t>Often there is a need to create a button that, when clicked, causes an action to be performed once. Using U.SET_CLICKVALS and U.GET_CLICKVAL it is easy to create a button that will toggle a TRUE/FALSE value, but once toggled to TRUE the user must click the button again to change it back to FALSE. That creates the risk that a user could inadvertently leave a cell in a TRUE state in a way that causes an action ...that was intended to be performed once... to be performed repeatedly.
In many cases the action to be performed is itself an U method that supports blocking itself. When that is the case, use of the self-blocking support in that method is the best way to ensure a single calculation (see the "Controlling Messages" example in this workbook for an example). In other cases, strategies like those described here may be needed.
Creating a toggle that automatically reverts to FALSE after the desired action has been performed is easy to achieve by using U.EVENT along with the clickvals functionality.
In this example, there are some changing values (top values to the left) that the user wishes to have copied whenever he presses a button (to lower range on the left). The green "COPY VALS" cell above, when clicked, will cause the current values to be copied and pasted.
This works by using a simple U.EVENT call that just watches for a value to change (because no threshold levels are defined) in conjunction with clickvals that toggle between values when clicked. So whenever the COPY VALS cell is clicked, the U.GET_CLICKVAL call changes by cycling to the next value, and because the value changed the U.EVENT call returns TRUE. U.EVENT is configured to automatically revert itself to FALSE by setting its 8th parameter to TRUE. The U.PASTE call is conditional upon the value returned by U.EVENT ...so it will calculate once when the event turns TRUE, but then will be blocked again when the event immediately reverts to FALSE.</t>
        </r>
      </text>
    </comment>
    <comment ref="G30" authorId="0" shapeId="0" xr:uid="{ECF4E19C-E93D-4D32-B465-21E67B233C3D}">
      <text>
        <r>
          <rPr>
            <b/>
            <sz val="9"/>
            <color indexed="81"/>
            <rFont val="Tahoma"/>
            <family val="2"/>
          </rPr>
          <t>Another approach is to nest U.EVENT inside of an U.DO and set the trigger of the U.DO to something that will change as a result of the event. This approach leverages Excel's natural calc dependency handling, rather than relying on Excel responding to a request to recalculate a cell, so may be more suitable in spreadsheets that are prone to performance or stability issues ...or where having the event revert in response to the action occurring seems more natural and intuitive.
This example also shows how the cell is toggling even if it happens so fast that the toggle cannot be seen. You may not be able to see the Reverting Toggle flip to TRUE and then back to FALSE, but the "Toggle Occurred" field proves that it does flip and that functions referencing the toggle are recalculated (see how the value changes when clicking COPY VALS above).</t>
        </r>
      </text>
    </comment>
    <comment ref="G45" authorId="0" shapeId="0" xr:uid="{DE8EAA30-3E20-401E-9D5A-C8A6C9E0AA53}">
      <text>
        <r>
          <rPr>
            <b/>
            <sz val="9"/>
            <color indexed="81"/>
            <rFont val="Tahoma"/>
            <family val="2"/>
          </rPr>
          <t>In most cases, though, a reverting toggle isn't actually what is even needed. It can be simpler to have the action block itself (by setting its "block" parameter to TRUE) and then allow it to be unblocked for a single calc cycle when a button is clicked.
In this example, the U.PASTE method is configured to block itself ...so the paste does not occur even though the values being referenced are changing regularly. The clickval has the special "return(calc)" value and a reference to the cell containing U.PASTE, so the PASTE cell will be unblocked and recalculated for a single calc cycle when the button is clicked.
In general, this is the best pattern to use when the desire is to have an equation calculate exactly once in response to a user action.</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<sst xmlns="http://schemas.openxmlformats.org/spreadsheetml/2006/main" count="1482" uniqueCount="541">
  <si>
    <t>Description</t>
  </si>
  <si>
    <t>Symbol</t>
  </si>
  <si>
    <t>Report Group</t>
  </si>
  <si>
    <t>Report Name</t>
  </si>
  <si>
    <t>Price</t>
  </si>
  <si>
    <t/>
  </si>
  <si>
    <t>Broker</t>
  </si>
  <si>
    <t>AAPL</t>
  </si>
  <si>
    <t>IBM</t>
  </si>
  <si>
    <t>Publish</t>
  </si>
  <si>
    <t>Subscribe</t>
  </si>
  <si>
    <t>Position</t>
  </si>
  <si>
    <t>AMZN</t>
  </si>
  <si>
    <t>GOOG</t>
  </si>
  <si>
    <t>Increment</t>
  </si>
  <si>
    <t>FB</t>
  </si>
  <si>
    <t>Recipe</t>
  </si>
  <si>
    <t>*click on recipe name below to go to an annotated example</t>
  </si>
  <si>
    <t>EQUITIES</t>
  </si>
  <si>
    <t>OTC_POSITIONS</t>
  </si>
  <si>
    <t>Concurrent Publishers</t>
  </si>
  <si>
    <t>Multiple users update data in the same topic and all changes are retained</t>
  </si>
  <si>
    <t>Change</t>
  </si>
  <si>
    <t>NewVal</t>
  </si>
  <si>
    <t>PriorVal</t>
  </si>
  <si>
    <t>Location</t>
  </si>
  <si>
    <t>Time</t>
  </si>
  <si>
    <t>Increment Log</t>
  </si>
  <si>
    <t>Position Management</t>
  </si>
  <si>
    <t>New Symbol</t>
  </si>
  <si>
    <t>New Broker</t>
  </si>
  <si>
    <t>STRATEGY 1</t>
  </si>
  <si>
    <t>Qty</t>
  </si>
  <si>
    <t>Px</t>
  </si>
  <si>
    <t>Strategy</t>
  </si>
  <si>
    <t>ID</t>
  </si>
  <si>
    <t>STRATEGY 2</t>
  </si>
  <si>
    <t>STRATEGY 3</t>
  </si>
  <si>
    <t>Symbols</t>
  </si>
  <si>
    <t>Brokers</t>
  </si>
  <si>
    <t>BDGE</t>
  </si>
  <si>
    <t>ADAM</t>
  </si>
  <si>
    <t>STRATEGY 4</t>
  </si>
  <si>
    <t>BOB</t>
  </si>
  <si>
    <t>TOM</t>
  </si>
  <si>
    <t>BRK.B</t>
  </si>
  <si>
    <t xml:space="preserve"> </t>
  </si>
  <si>
    <t>MSFT</t>
  </si>
  <si>
    <t>NFLX</t>
  </si>
  <si>
    <t>Trade Entry Form</t>
  </si>
  <si>
    <t>TRADE ENTRY FORM</t>
  </si>
  <si>
    <t>New Strategy</t>
  </si>
  <si>
    <t>Strategies</t>
  </si>
  <si>
    <t>CCNE</t>
  </si>
  <si>
    <t>EEFT</t>
  </si>
  <si>
    <t>FNSR</t>
  </si>
  <si>
    <t>GRMN</t>
  </si>
  <si>
    <t>LIVE</t>
  </si>
  <si>
    <t>MCHP</t>
  </si>
  <si>
    <t>NOBH</t>
  </si>
  <si>
    <t>NXST</t>
  </si>
  <si>
    <t>ONEQ</t>
  </si>
  <si>
    <t>ORBC</t>
  </si>
  <si>
    <t>PNRA</t>
  </si>
  <si>
    <t>SCHW</t>
  </si>
  <si>
    <t>TOWN</t>
  </si>
  <si>
    <t>Fake Market Data</t>
  </si>
  <si>
    <t>84a92a51-0ddc-4d52-9fe0-b2d84bf85eb6</t>
  </si>
  <si>
    <t>56807206-4b53-4a80-9459-dfb8b8cf95bd</t>
  </si>
  <si>
    <t>27105de3-7185-4d8d-b4a6-edd62df3aa61</t>
  </si>
  <si>
    <t>Time Series Report Data</t>
  </si>
  <si>
    <t>Enter trade that is then automatically assigned a unique ID and copied to a trade list without need for VBA</t>
  </si>
  <si>
    <t>Show a piece of data from several reports, which can be dated snapshots of the same report</t>
  </si>
  <si>
    <t>Start Date</t>
  </si>
  <si>
    <t>Holidays</t>
  </si>
  <si>
    <t>Dates</t>
  </si>
  <si>
    <t>Num Days</t>
  </si>
  <si>
    <t>Skip Weekends</t>
  </si>
  <si>
    <t>RISK</t>
  </si>
  <si>
    <t>Topic</t>
  </si>
  <si>
    <t>Snapshot Topic</t>
  </si>
  <si>
    <t>Desk1</t>
  </si>
  <si>
    <t>Delta</t>
  </si>
  <si>
    <t>Desk2</t>
  </si>
  <si>
    <t>Desk</t>
  </si>
  <si>
    <t>Desk3</t>
  </si>
  <si>
    <t>Date</t>
  </si>
  <si>
    <t>Desk Selection</t>
  </si>
  <si>
    <t>Dynamically-Sized Ranges</t>
  </si>
  <si>
    <t>TRADE_LIST</t>
  </si>
  <si>
    <t>Quantity</t>
  </si>
  <si>
    <t>Dynamically-Sized Range</t>
  </si>
  <si>
    <t>Forced Recalculation</t>
  </si>
  <si>
    <t>REF_DATA</t>
  </si>
  <si>
    <t>Dividends</t>
  </si>
  <si>
    <t>Next Option Expiry</t>
  </si>
  <si>
    <t>C</t>
  </si>
  <si>
    <t>Force the recalculation of a cell whenever a workbook is opened or at a specified interval</t>
  </si>
  <si>
    <t>Throttling Publishes</t>
  </si>
  <si>
    <t>Only publish data periodically even though it is changing constantly</t>
  </si>
  <si>
    <t>RANDOM_DATA</t>
  </si>
  <si>
    <t>Publish Interval</t>
  </si>
  <si>
    <t>Send emails and/or text messages only when some specified data threshold is breached or at a certain time of day</t>
  </si>
  <si>
    <t>Controlling Messages</t>
  </si>
  <si>
    <t>Event</t>
  </si>
  <si>
    <t>Direction</t>
  </si>
  <si>
    <t>Trigger</t>
  </si>
  <si>
    <t>Threshold</t>
  </si>
  <si>
    <t>Max Events</t>
  </si>
  <si>
    <t>Reset</t>
  </si>
  <si>
    <t>Email To</t>
  </si>
  <si>
    <t>bob@abcorp.com</t>
  </si>
  <si>
    <t>Email</t>
  </si>
  <si>
    <t>Subject</t>
  </si>
  <si>
    <t>Delta Limit Breached</t>
  </si>
  <si>
    <t>Send Time</t>
  </si>
  <si>
    <t>Reverting Toggle</t>
  </si>
  <si>
    <t>Defines a button that results in a value of TRUE for a single calc cycle then reverts to false</t>
  </si>
  <si>
    <t>abc</t>
  </si>
  <si>
    <t>xyz</t>
  </si>
  <si>
    <t>Pasted Values</t>
  </si>
  <si>
    <t>Changing Source Values</t>
  </si>
  <si>
    <t>Paste Values</t>
  </si>
  <si>
    <t>Throttling Subscribes</t>
  </si>
  <si>
    <t>Only receive data periodically even though it is being published constantly</t>
  </si>
  <si>
    <t>Get Trigger</t>
  </si>
  <si>
    <t>Value</t>
  </si>
  <si>
    <t>VALS</t>
  </si>
  <si>
    <t>FAKE_POSITIONS</t>
  </si>
  <si>
    <t>Two Way Data</t>
  </si>
  <si>
    <t>Interactive Web Reports</t>
  </si>
  <si>
    <t>Input</t>
  </si>
  <si>
    <t>Payments Per Year</t>
  </si>
  <si>
    <t>Annual Rate (%)</t>
  </si>
  <si>
    <t>Loan Amount</t>
  </si>
  <si>
    <t>Closing Date</t>
  </si>
  <si>
    <t>Last Payment Date</t>
  </si>
  <si>
    <t>Payment</t>
  </si>
  <si>
    <t>Control Location</t>
  </si>
  <si>
    <t>Control Indicator</t>
  </si>
  <si>
    <t>Group</t>
  </si>
  <si>
    <t>Examples</t>
  </si>
  <si>
    <t>Inputs Report</t>
  </si>
  <si>
    <t>Loan_Calculator</t>
  </si>
  <si>
    <t>Publish Inputs Report</t>
  </si>
  <si>
    <t>Avg Payment Per Month</t>
  </si>
  <si>
    <t>EXAMPLE 1: SIMPLE LOAN CALCULATOR</t>
  </si>
  <si>
    <t>Publish an Excel sheet as an interactive report that can be updated in a browser with changes reflected back into Excel in real-time</t>
  </si>
  <si>
    <t>EXAMPLE 2: NATIONAL DEBT COUNTER</t>
  </si>
  <si>
    <t>Debt_Counter</t>
  </si>
  <si>
    <t>As of</t>
  </si>
  <si>
    <t>Daily Increase</t>
  </si>
  <si>
    <t>China Debt Start</t>
  </si>
  <si>
    <t>USA Debt Start</t>
  </si>
  <si>
    <t>Is Mid Edit</t>
  </si>
  <si>
    <t>Mid Edit Report</t>
  </si>
  <si>
    <t>As Of Date</t>
  </si>
  <si>
    <t>Server_Loan_Calculator</t>
  </si>
  <si>
    <t>EXAMPLE 3: SERVER LOAN CALCULATOR</t>
  </si>
  <si>
    <t>Current Debt (USD)</t>
  </si>
  <si>
    <t>Current Debt (CNY)</t>
  </si>
  <si>
    <t>Projected Debt (CNY)</t>
  </si>
  <si>
    <t>Projected Debt (USD)</t>
  </si>
  <si>
    <t>Input Values Report</t>
  </si>
  <si>
    <t>Output Values Report</t>
  </si>
  <si>
    <t>Tag</t>
  </si>
  <si>
    <t>PAYMENT</t>
  </si>
  <si>
    <t>AVG_MONTH_PMT</t>
  </si>
  <si>
    <t>SERVER OUTPUT</t>
  </si>
  <si>
    <t>Metadata</t>
  </si>
  <si>
    <t>INPUT CONTROL VALS REPORT</t>
  </si>
  <si>
    <t>AMOUNT</t>
  </si>
  <si>
    <t>CLOSE_DATE</t>
  </si>
  <si>
    <t>LAST_PMT_DATE</t>
  </si>
  <si>
    <t>PMTS_PER_YEAR</t>
  </si>
  <si>
    <t>RATE</t>
  </si>
  <si>
    <t>EXAMPLE 4: SERVER LOAN CALCULATOR - ALT SETUP</t>
  </si>
  <si>
    <t>Server_Loan_Calculator_Alt</t>
  </si>
  <si>
    <t>Options</t>
  </si>
  <si>
    <t>Page 2 report range ref</t>
  </si>
  <si>
    <t>Page 2 controls range ref</t>
  </si>
  <si>
    <t>EXAMPLE 4: VARIATION</t>
  </si>
  <si>
    <t>Sync</t>
  </si>
  <si>
    <t>Take out papers and trash</t>
  </si>
  <si>
    <t>Scrub kitchen floor</t>
  </si>
  <si>
    <t>Clean room</t>
  </si>
  <si>
    <t>Take out garbage</t>
  </si>
  <si>
    <t>Do laundry</t>
  </si>
  <si>
    <t>Bring in dog and put out cat</t>
  </si>
  <si>
    <t>Done</t>
  </si>
  <si>
    <t>Chore</t>
  </si>
  <si>
    <t>EXAMPLE 5: TODO LIST (NON-HTML)</t>
  </si>
  <si>
    <t>To_Do_List.Non_HTML</t>
  </si>
  <si>
    <t>EXAMPLE 5: TODO LIST (NON-HTML) - VARIATION</t>
  </si>
  <si>
    <t>[HTML::TEXTAREA][R3C2]</t>
  </si>
  <si>
    <t>[HTML::TEXTAREA][R4C2]</t>
  </si>
  <si>
    <t>[HTML::TEXTAREA][R5C2]</t>
  </si>
  <si>
    <t>[HTML::TEXTAREA][R6C2]</t>
  </si>
  <si>
    <t>[HTML::TEXTAREA][R7C2]</t>
  </si>
  <si>
    <t>[HTML::BUTTON TYPE=SUBMIT][R8C1]</t>
  </si>
  <si>
    <t>[HTML::BUTTON TYPE=CANCEL][R8C2]</t>
  </si>
  <si>
    <t>[HTML::CHECKBOX SCALE=2][R2C1]</t>
  </si>
  <si>
    <t>[HTML::CHECKBOX SCALE=2][R3C1]</t>
  </si>
  <si>
    <t>[HTML::CHECKBOX SCALE=2][R4C1]</t>
  </si>
  <si>
    <t>[HTML::CHECKBOX SCALE=2][R5C1]</t>
  </si>
  <si>
    <t>[HTML::CHECKBOX SCALE=2][R6C1]</t>
  </si>
  <si>
    <t>[HTML::CHECKBOX SCALE=2][R7C1]</t>
  </si>
  <si>
    <t>[HTML::TEXTAREA COLS=30][R2C2]</t>
  </si>
  <si>
    <t>Processing CSV Files</t>
  </si>
  <si>
    <t>Earliest Write Time</t>
  </si>
  <si>
    <t>Input File Directory</t>
  </si>
  <si>
    <t>C:\Test</t>
  </si>
  <si>
    <t>Directory Watch</t>
  </si>
  <si>
    <t>group_*_vals.txt</t>
  </si>
  <si>
    <t>Input File Pattern</t>
  </si>
  <si>
    <t>Num Files Expected</t>
  </si>
  <si>
    <t>Path</t>
  </si>
  <si>
    <t>Last Write Time</t>
  </si>
  <si>
    <t>Output File Path</t>
  </si>
  <si>
    <t>C:\Test\Output\group_vals.txt</t>
  </si>
  <si>
    <t>All Files Available?</t>
  </si>
  <si>
    <t>Cache Key</t>
  </si>
  <si>
    <t>Read File To Cache</t>
  </si>
  <si>
    <t>Input File Details</t>
  </si>
  <si>
    <t>Available Files</t>
  </si>
  <si>
    <t>Ready Check</t>
  </si>
  <si>
    <t>Load Files Into Caches</t>
  </si>
  <si>
    <t>Process File Data and Cache Results</t>
  </si>
  <si>
    <t>Output Cache Key</t>
  </si>
  <si>
    <t>Process Files</t>
  </si>
  <si>
    <t>Write Results to Output File</t>
  </si>
  <si>
    <t>Write File</t>
  </si>
  <si>
    <t>Review Results</t>
  </si>
  <si>
    <t>sorted_group_vals</t>
  </si>
  <si>
    <t>Detect when input files are available, then automatically process them and generate an output file with results</t>
  </si>
  <si>
    <t>Remote Controlling Excel</t>
  </si>
  <si>
    <t>Launch and control Excel workbooks from another workbook</t>
  </si>
  <si>
    <t>LAUNCH</t>
  </si>
  <si>
    <t>WorkbookName</t>
  </si>
  <si>
    <t>Workbooks</t>
  </si>
  <si>
    <t>Clean</t>
  </si>
  <si>
    <t>Zoom</t>
  </si>
  <si>
    <t>FromTop</t>
  </si>
  <si>
    <t>FromLeft</t>
  </si>
  <si>
    <t>Height</t>
  </si>
  <si>
    <t>Width</t>
  </si>
  <si>
    <t>ScrollRow</t>
  </si>
  <si>
    <t>ScrollColumn</t>
  </si>
  <si>
    <t>Formulas</t>
  </si>
  <si>
    <t>Close</t>
  </si>
  <si>
    <t>Minimized</t>
  </si>
  <si>
    <t>Report Range Name</t>
  </si>
  <si>
    <t>Report Range Ref</t>
  </si>
  <si>
    <t>Return Cell</t>
  </si>
  <si>
    <t>Return Range Ref</t>
  </si>
  <si>
    <t>Back to Index</t>
  </si>
  <si>
    <t>Live Calc</t>
  </si>
  <si>
    <t>Configure Navigation</t>
  </si>
  <si>
    <t>Toggle Config</t>
  </si>
  <si>
    <t>ENABLE</t>
  </si>
  <si>
    <t>DISABLE</t>
  </si>
  <si>
    <t>Set Sheet Navigation</t>
  </si>
  <si>
    <t>Set Back Navigation</t>
  </si>
  <si>
    <t>2019-09-06</t>
  </si>
  <si>
    <t>2029-09-06</t>
  </si>
  <si>
    <t>2029-11-06</t>
  </si>
  <si>
    <t>2019-09-12</t>
  </si>
  <si>
    <t>2019-09-25</t>
  </si>
  <si>
    <t>Iterative Calculations</t>
  </si>
  <si>
    <t>Calculate results for inputs one at a time and capture the results of each iteration</t>
  </si>
  <si>
    <t>Tickers and Dummy Data</t>
  </si>
  <si>
    <t>Dummy Query Data</t>
  </si>
  <si>
    <t>Simulating Query Delay</t>
  </si>
  <si>
    <t>Script Name</t>
  </si>
  <si>
    <t>Tickers</t>
  </si>
  <si>
    <t>Prices</t>
  </si>
  <si>
    <t>Ticker</t>
  </si>
  <si>
    <t>Create Script</t>
  </si>
  <si>
    <t>Run Script</t>
  </si>
  <si>
    <t>BABA</t>
  </si>
  <si>
    <t>All Results</t>
  </si>
  <si>
    <t>Step</t>
  </si>
  <si>
    <t>Reset Curr Ticker Idx</t>
  </si>
  <si>
    <t>Clear prior results</t>
  </si>
  <si>
    <t>Enter ticker loop</t>
  </si>
  <si>
    <t>Num Tickers</t>
  </si>
  <si>
    <t>Update ticker index</t>
  </si>
  <si>
    <t>Current Ticker Index</t>
  </si>
  <si>
    <t>Clear current ticker info</t>
  </si>
  <si>
    <t>Curr Ticker</t>
  </si>
  <si>
    <t>Wait for query info to populate</t>
  </si>
  <si>
    <t>Paste ticker info to bottom of results</t>
  </si>
  <si>
    <t>Curr Ticker Data Ready</t>
  </si>
  <si>
    <t>Continue looping…</t>
  </si>
  <si>
    <t>Completion Time</t>
  </si>
  <si>
    <t>Record Completion time</t>
  </si>
  <si>
    <t>Script In Progress</t>
  </si>
  <si>
    <t>CAPTURE_TICKER_INFO</t>
  </si>
  <si>
    <t>FX</t>
  </si>
  <si>
    <t>About to record completion time</t>
  </si>
  <si>
    <t>2019-09-07</t>
  </si>
  <si>
    <t>loop()</t>
  </si>
  <si>
    <t>finally()</t>
  </si>
  <si>
    <t>RUN SCRIPT</t>
  </si>
  <si>
    <t>Button Config</t>
  </si>
  <si>
    <t>COPY VALS</t>
  </si>
  <si>
    <t>Button Configs</t>
  </si>
  <si>
    <t>Refresh</t>
  </si>
  <si>
    <t>VALS_2</t>
  </si>
  <si>
    <t>f0c6adda-dc09-41c2-b37b-251385dfb3f8</t>
  </si>
  <si>
    <t>7a2cc539-7691-49e9-a688-c1d6e115a9ed</t>
  </si>
  <si>
    <t>Capital</t>
  </si>
  <si>
    <t>Trade Px</t>
  </si>
  <si>
    <t>Live Px</t>
  </si>
  <si>
    <t>PnL</t>
  </si>
  <si>
    <t>Main Pivot</t>
  </si>
  <si>
    <t>Cache</t>
  </si>
  <si>
    <t>SALLY</t>
  </si>
  <si>
    <t>235e6a04-548f-427e-ac72-10505f974b80</t>
  </si>
  <si>
    <t>b3eb8626-dbb1-4f7f-99ef-9add9c1f99da</t>
  </si>
  <si>
    <t>Main Pivot Params</t>
  </si>
  <si>
    <t>a9dbcbeb-c6d4-481e-9a3e-4205c8c9dc04</t>
  </si>
  <si>
    <t>Rows</t>
  </si>
  <si>
    <t>Cols</t>
  </si>
  <si>
    <t>Val</t>
  </si>
  <si>
    <t>55de8f45-5cef-48a9-b33d-d9bedbbd3fce</t>
  </si>
  <si>
    <t>trunc(Time)</t>
  </si>
  <si>
    <t>946c4e61-c500-4dc5-87e6-de18ec534244</t>
  </si>
  <si>
    <t>42e73b8b-717b-44c8-b4d9-02004a99e4c2</t>
  </si>
  <si>
    <t>312891fa-2d0f-439d-a74a-81661edcc4f1</t>
  </si>
  <si>
    <t>Main Pivot Sort</t>
  </si>
  <si>
    <t>3723c0db-b0df-4f48-83c7-f4ac5aa5dfd3</t>
  </si>
  <si>
    <t>after(1)</t>
  </si>
  <si>
    <t>4158009a-7b44-47df-bf9c-abc9639a95a4</t>
  </si>
  <si>
    <t>d3f417db-5d6f-4c62-af75-6372a43bc3ad</t>
  </si>
  <si>
    <t>0651474b-1c88-49e9-bd16-e5e69dbd9057</t>
  </si>
  <si>
    <t>e8148f16-d9f4-4518-a836-fc30eee364c5</t>
  </si>
  <si>
    <t>33059876-b561-45c8-b461-f01a4e4d2e5d</t>
  </si>
  <si>
    <t>98ba4428-cf0d-4829-846c-ecbf012f0c3c</t>
  </si>
  <si>
    <t>1d4e8842-a5d7-418b-88b0-1c09bb1d7e8e</t>
  </si>
  <si>
    <t>Detail Pivot Params</t>
  </si>
  <si>
    <t>35f91e5b-3ddc-4b47-a18e-4c746ebcb2c3</t>
  </si>
  <si>
    <t>abb2c50d-717e-46ba-93ea-717b71026c3d</t>
  </si>
  <si>
    <t>43a216e2-dc39-445f-ba3d-5e8fd8a6c0fd</t>
  </si>
  <si>
    <t>Detail Filter Params</t>
  </si>
  <si>
    <t>dcfdba6c-78c6-410c-9c31-3db2f58a5a7b</t>
  </si>
  <si>
    <t>Column</t>
  </si>
  <si>
    <t>77089349-6658-4db4-b2d9-4b635fe3026b</t>
  </si>
  <si>
    <t>52a939f7-d35a-4c10-8e38-72eec67e602e</t>
  </si>
  <si>
    <t>11c56c9c-a638-49ed-853c-1c242f1751f5</t>
  </si>
  <si>
    <t>5d98cf33-6d6f-4626-8eda-b97f9c129388</t>
  </si>
  <si>
    <t>78d03399-475f-4d5b-a3b2-d55616958b33</t>
  </si>
  <si>
    <t>0cc832d4-c68d-4b88-b630-27ce73c82c30</t>
  </si>
  <si>
    <t>RowClicked</t>
  </si>
  <si>
    <t>d3490729-cf63-4c02-aa42-004f58949ace</t>
  </si>
  <si>
    <t>Row Clicked</t>
  </si>
  <si>
    <t>Date Clicked</t>
  </si>
  <si>
    <t>093361e3-c232-478f-858d-4a5b989327df</t>
  </si>
  <si>
    <t>Strat Clicked</t>
  </si>
  <si>
    <t>2b3e82df-5375-4477-bebd-524d9110a896</t>
  </si>
  <si>
    <t>d68eb0db-58bf-44ac-8b4c-8ff4b2210cd4</t>
  </si>
  <si>
    <t>Set Date</t>
  </si>
  <si>
    <t>f28aa2af-49fe-458a-83fd-b60083bf16a1</t>
  </si>
  <si>
    <t>Set Strategy</t>
  </si>
  <si>
    <t>9aef591c-d013-4463-bd48-f8b410bbd830</t>
  </si>
  <si>
    <t>Get Date</t>
  </si>
  <si>
    <t>2b986476-54f3-4e19-88f6-bbfcf7d02308</t>
  </si>
  <si>
    <t>fda6c4cc-3e7b-4a63-bd35-e3f3bb74daee</t>
  </si>
  <si>
    <t>6e18a87e-81d1-4638-a91f-292692a91743</t>
  </si>
  <si>
    <t>96565ef0-8725-4504-b10f-ad03eb194d82</t>
  </si>
  <si>
    <t>Insert Row</t>
  </si>
  <si>
    <t>6c893e7e-032d-4e99-8958-be27f39d53d2</t>
  </si>
  <si>
    <t>1f779dcf-a107-46ee-9f58-8eba69091d02</t>
  </si>
  <si>
    <t>Insert Row Filter Params</t>
  </si>
  <si>
    <t>get_index()</t>
  </si>
  <si>
    <t>ef1ace5d-cd6b-42c3-9ed3-fdad296b4ddd</t>
  </si>
  <si>
    <t>3cb2589c-f88d-428b-9c11-43b3fb4a07ec</t>
  </si>
  <si>
    <t>92798a3f-80e7-485d-bf12-44210080bc41</t>
  </si>
  <si>
    <t>5b13cf37-a6ef-4cbf-a0ab-6aa0deaa8d42</t>
  </si>
  <si>
    <t>f2f8817f-c30b-4601-9f5b-613e4c9cd83a</t>
  </si>
  <si>
    <t>970747d0-fccb-4506-8294-beeaceb37343</t>
  </si>
  <si>
    <t>ab35226e-1881-45d8-bca7-80ed15cac786</t>
  </si>
  <si>
    <t>7c461465-5ac2-4ee8-bb48-7bedba5d8449</t>
  </si>
  <si>
    <t>1cff58c9-3748-4b8f-8879-c38aaaa77796</t>
  </si>
  <si>
    <t>fc8e9a0a-ca87-4997-a4e5-16cac700be77</t>
  </si>
  <si>
    <t>e85dce11-a08f-4499-a04d-2116751def1d</t>
  </si>
  <si>
    <t>7f1c0377-5676-4c43-810b-dfb823df0fdb</t>
  </si>
  <si>
    <t>90d2925f-749e-4da2-9583-033d3099679a</t>
  </si>
  <si>
    <t>60c458f2-a7f8-4477-ae7e-da73235b0a14</t>
  </si>
  <si>
    <t>d5055f9d-1b55-4cf7-93e3-e310cc1662fa</t>
  </si>
  <si>
    <t>dbcb09a1-fa5f-4313-b66a-9fff525fc6fb</t>
  </si>
  <si>
    <t>b38500f2-e384-4d0f-aee5-7ab99cbc4709</t>
  </si>
  <si>
    <t>2c96e65b-8dbe-4f4a-832c-557b231901a7</t>
  </si>
  <si>
    <t>208418cf-544c-44b1-9cfc-8587a2929c50</t>
  </si>
  <si>
    <t>eba321a1-c3ba-4ee7-9674-b85aadbac11f</t>
  </si>
  <si>
    <t>abdaeab5-35d9-4fe2-9280-0a1db379b8a6</t>
  </si>
  <si>
    <t>07636130-98dc-4ad4-957e-f2766f6d4e46</t>
  </si>
  <si>
    <t>44c4e74c-a97a-4f13-81bb-009dac170c97</t>
  </si>
  <si>
    <t>8b48cd42-6aa3-4a03-bb93-0fa15987a97e</t>
  </si>
  <si>
    <t>740d4834-1485-4f70-b8a9-6b928011ffd2</t>
  </si>
  <si>
    <t>9bed7e21-1bf9-43f0-be6d-6d9ce10bf57c</t>
  </si>
  <si>
    <t>1558c402-5020-4c85-8aa0-e311e489f14a</t>
  </si>
  <si>
    <t>bf43cf21-252e-4533-8a12-751b1ea2497a</t>
  </si>
  <si>
    <t>7498653a-d92b-46af-86b2-24c8660b66a9</t>
  </si>
  <si>
    <t>e2d4b2e4-21f5-4ef5-a3bb-45df94c9637a</t>
  </si>
  <si>
    <t>36ec78c1-8b0e-42da-9924-f8854856cb5e</t>
  </si>
  <si>
    <t>0bced8c5-d0e1-4a48-aadf-f40aef07fe91</t>
  </si>
  <si>
    <t>c7007ddb-7ab9-414c-bd4f-f3026b12d029</t>
  </si>
  <si>
    <t>d0a556f3-8dd0-4951-b6c3-207e01fd5e5e</t>
  </si>
  <si>
    <t>c97fd63f-7cd2-4ff0-b719-7d30d69d4647</t>
  </si>
  <si>
    <t>2364b9d6-8c17-46fa-ae26-45f85e55654e</t>
  </si>
  <si>
    <t>88bbeefe-57b3-449b-9c00-6f92bf4e7d3e</t>
  </si>
  <si>
    <t>31d3efac-2b3d-447d-aee9-5aafbbef3e5f</t>
  </si>
  <si>
    <t>b8056111-3f3a-405d-99c4-de11c5f2cc6d</t>
  </si>
  <si>
    <t>5731c7d5-b4fa-4456-82db-839d7448bd92</t>
  </si>
  <si>
    <t>f65fd04a-a918-4af2-b345-26fc200a5db9</t>
  </si>
  <si>
    <t>0f5407a9-c20f-446a-840e-2a725ce1899c</t>
  </si>
  <si>
    <t>817e9416-6bbb-44a5-9b6c-d193a8e4c899</t>
  </si>
  <si>
    <t>7e9cd5c5-9860-4eea-a5b2-e2ed42851679</t>
  </si>
  <si>
    <t>7b4580f8-16b0-4ea5-810b-6ce84f1a56ad</t>
  </si>
  <si>
    <t>5265d907-def7-4f57-b632-032fd46e0c32</t>
  </si>
  <si>
    <t>bdae81a6-0bc5-43c6-bfa6-9cd660872bd8</t>
  </si>
  <si>
    <t>41af3dd4-26cd-4d2f-a7f9-3c03daecaa1e</t>
  </si>
  <si>
    <t>f98591e2-54eb-4dff-b18f-5a101b26e45b</t>
  </si>
  <si>
    <t>8682635c-49e9-4eae-babb-0360f9ff0196</t>
  </si>
  <si>
    <t>6228c492-97d5-4363-9356-4df146b4661d</t>
  </si>
  <si>
    <t>32f94ebf-1eab-4d1a-be83-042ee125df53</t>
  </si>
  <si>
    <t>4fa2e56b-15f1-492b-a653-d720fb5a3278</t>
  </si>
  <si>
    <t>9f75e8f5-657c-47a0-b35e-783f967db777</t>
  </si>
  <si>
    <t>61582277-199a-4a8b-88f2-7f0151e02345</t>
  </si>
  <si>
    <t>d7e24526-0dde-4fe3-98ca-575964943234</t>
  </si>
  <si>
    <t>0e70109f-0b75-4a3f-9091-d0c94a0f4df7</t>
  </si>
  <si>
    <t>fef7d56a-c4e6-49ec-8070-5b6c1d7876af</t>
  </si>
  <si>
    <t>9abcd606-c9bd-4494-aa7c-fa211b13b019</t>
  </si>
  <si>
    <t>79d34786-0bc2-4e48-a77d-b338d3ca8d1b</t>
  </si>
  <si>
    <t>3ee85a27-62a6-477a-8fd9-814ab73ebabb</t>
  </si>
  <si>
    <t>9b68c48d-c32c-4242-b574-ab8c603ec742</t>
  </si>
  <si>
    <t>e437297a-0ad7-4cab-9779-2fae8b16674c</t>
  </si>
  <si>
    <t>b991d785-ab28-4010-afac-554099b2163a</t>
  </si>
  <si>
    <t>2b4108f9-45d9-4b73-bb47-b8e6c7ed5d4b</t>
  </si>
  <si>
    <t>6ce6706b-85d2-49a1-a390-7926118653fa</t>
  </si>
  <si>
    <t>6396f59c-7d73-46b7-b12a-a2096c38e190</t>
  </si>
  <si>
    <t>36d98eeb-f689-4bab-9c7b-1e1f7ec41271</t>
  </si>
  <si>
    <t>adc2ec53-1fdf-47af-a2c1-97e17512b7a5</t>
  </si>
  <si>
    <t>aa447a09-eb10-429e-a378-1fb9bb9077b5</t>
  </si>
  <si>
    <t>3cc1226e-1d9b-46d6-bcf4-07146b78cce5</t>
  </si>
  <si>
    <t>d9a9f29f-f6ad-4357-bc15-771af3651fea</t>
  </si>
  <si>
    <t>22ea3528-9243-4c01-9852-3dd12e2c6111</t>
  </si>
  <si>
    <t>70914103-c10c-442a-b3ee-489c7f5a4d35</t>
  </si>
  <si>
    <t>cc2d87bc-8559-4c0c-a33e-c4e44fdf4b56</t>
  </si>
  <si>
    <t>ad2b55ce-18cd-4fe7-b557-be74475cd8d6</t>
  </si>
  <si>
    <t>65c2818b-b17b-40ef-9c2e-f8620df433fc</t>
  </si>
  <si>
    <t>adf62946-4d84-4d77-8564-ce9aaf760b00</t>
  </si>
  <si>
    <t>a4f934fe-3553-4233-99f4-492a884875e0</t>
  </si>
  <si>
    <t>9bb6a0a1-32ac-4ca8-9d76-cdf1c085a217</t>
  </si>
  <si>
    <t>42ca6029-b9c6-44db-a0b4-b2699c335a17</t>
  </si>
  <si>
    <t>7fd90b6b-8cd4-49cd-9440-84ac3f8602ee</t>
  </si>
  <si>
    <t>1590957e-6c12-4e8f-85b3-4d3dc8301d8f</t>
  </si>
  <si>
    <t>2159f668-47a8-44ed-9586-66ed60591877</t>
  </si>
  <si>
    <t>0e65447c-e954-4022-af67-2b31f8897eec</t>
  </si>
  <si>
    <t>d99bc998-4d68-41d1-b91c-016c67d147a8</t>
  </si>
  <si>
    <t>3e794813-ee51-42c8-bb43-345aa15b94d2</t>
  </si>
  <si>
    <t>b9f869b3-8c5b-4cd7-86b6-2d745ee3cde8</t>
  </si>
  <si>
    <t>569f9733-880a-458c-8681-edd6c9dc194e</t>
  </si>
  <si>
    <t>b7951a18-66ec-4c55-b020-e7ba12a2c3ab</t>
  </si>
  <si>
    <t>097de005-1eee-4eaa-8472-f7b5def9c7f8</t>
  </si>
  <si>
    <t>da96939c-3caf-4933-88a5-3bf5f8facb8c</t>
  </si>
  <si>
    <t>f2e86267-10cf-4c89-85da-275d8cac6b29</t>
  </si>
  <si>
    <t>8c1c4614-a199-42cb-b802-91b4af9d6ccc</t>
  </si>
  <si>
    <t>bb8ab227-84e5-452f-b911-67ae19abf84b</t>
  </si>
  <si>
    <t>b0601d89-c1cb-489e-bc10-dd4b87b4af19</t>
  </si>
  <si>
    <t>0ac2db97-f07e-48f7-a841-244d397b7497</t>
  </si>
  <si>
    <t>3ee6d797-e692-4a13-b545-dff5396bd429</t>
  </si>
  <si>
    <t>0fd497f9-7c16-445a-b519-1e7f02f344c9</t>
  </si>
  <si>
    <t>ce0c9d37-3f53-4445-a73e-7d908982ef7d</t>
  </si>
  <si>
    <t>99db3c4c-344d-470e-82c9-b5c090716bf2</t>
  </si>
  <si>
    <t>140c2c13-ab6d-4d2e-97a4-cd934f0a36a1</t>
  </si>
  <si>
    <t>fbbe30fe-1956-4055-83da-0193974fde9a</t>
  </si>
  <si>
    <t>face931a-f46a-4263-9284-75e50e0b4419</t>
  </si>
  <si>
    <t>4f5f6397-54ff-4fda-90ce-ea6970b11791</t>
  </si>
  <si>
    <t>Trades Report</t>
  </si>
  <si>
    <t>Trades_Report</t>
  </si>
  <si>
    <t>Random PnL Changes</t>
  </si>
  <si>
    <t>Cache Changing Values</t>
  </si>
  <si>
    <t>Row Changed</t>
  </si>
  <si>
    <t>Click Detail</t>
  </si>
  <si>
    <t>Get Strat</t>
  </si>
  <si>
    <t>Toggle Occurred</t>
  </si>
  <si>
    <t>Date and Strategy Selection</t>
  </si>
  <si>
    <t>Expandable Grid</t>
  </si>
  <si>
    <t>Columns</t>
  </si>
  <si>
    <t>Values</t>
  </si>
  <si>
    <t>Live Pivot Table</t>
  </si>
  <si>
    <t>Sum</t>
  </si>
  <si>
    <t>Min</t>
  </si>
  <si>
    <t>Max</t>
  </si>
  <si>
    <t>Last</t>
  </si>
  <si>
    <t>AbsMax</t>
  </si>
  <si>
    <t>Value Type</t>
  </si>
  <si>
    <t>With Date Column</t>
  </si>
  <si>
    <t>*</t>
  </si>
  <si>
    <t>Replace Params</t>
  </si>
  <si>
    <t>trunc()</t>
  </si>
  <si>
    <t>Mean</t>
  </si>
  <si>
    <t>Value to Display</t>
  </si>
  <si>
    <t>View data as a customizable pivot table that updates in real-time</t>
  </si>
  <si>
    <t>Transform tabular data into a summary grid that can be clicked to reveal the details under a summary row</t>
  </si>
  <si>
    <t>Highlight the full row/column when hovering over a value in a grid</t>
  </si>
  <si>
    <t>Highlighted Hover</t>
  </si>
  <si>
    <t>Tom</t>
  </si>
  <si>
    <t>Nancy</t>
  </si>
  <si>
    <t>Bill</t>
  </si>
  <si>
    <t>Jean</t>
  </si>
  <si>
    <t>Ernest</t>
  </si>
  <si>
    <t>Flo</t>
  </si>
  <si>
    <t>Age</t>
  </si>
  <si>
    <t>Height (in)</t>
  </si>
  <si>
    <t>Employee ID</t>
  </si>
  <si>
    <t>Jim</t>
  </si>
  <si>
    <t>John</t>
  </si>
  <si>
    <t>Zach</t>
  </si>
  <si>
    <t>Ellen</t>
  </si>
  <si>
    <t>Mary</t>
  </si>
  <si>
    <t>Maureen</t>
  </si>
  <si>
    <t>Favorite Number</t>
  </si>
  <si>
    <t>Set Hover</t>
  </si>
  <si>
    <t>Row,Col</t>
  </si>
  <si>
    <t>Enabled</t>
  </si>
  <si>
    <t>Recalc</t>
  </si>
  <si>
    <t>Interval</t>
  </si>
  <si>
    <t>COPY VALS 2</t>
  </si>
  <si>
    <t>Unblocking Click</t>
  </si>
  <si>
    <t>=U.SYNC_CELLS(C147:C151,J139:J143)</t>
  </si>
  <si>
    <t>=U.RECALC(G7,G10)</t>
  </si>
  <si>
    <t>=U.RECALC(G9,G12)</t>
  </si>
  <si>
    <t>2023-01-21 07:44:31.113 | [CAPTURE_TICKER_INFO] User has elected not to run script CAPTURE_TICKER_INFO</t>
  </si>
  <si>
    <t>* this sheet illustrates a few advanced usages that require a combination of U methods. Additional scenarios will be added over time</t>
  </si>
  <si>
    <t>Receive U report values to a range that automatically resizes with the data</t>
  </si>
  <si>
    <t>U_InstallTest_Pub.xlsx</t>
  </si>
  <si>
    <t>U_InstallTest_Sub.xlsx</t>
  </si>
  <si>
    <t>=U.SEND_EMAIL(G11,G12,B5:C10,,,,,,,TRUE)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</si>
</sst>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 #,##0_);_(* \(#,##0\);_(* &quot;-&quot;??_);_(@_)"/>
    <numFmt numFmtId="165" formatCode="[$-F400]h:mm:ss\ AM/PM"/>
    <numFmt numFmtId="166" formatCode="[$-409]h:mm:ss\ AM/PM;@"/>
    <numFmt numFmtId="167" formatCode="[$-409]h:mm\ AM/PM;@"/>
    <numFmt numFmtId="168" formatCode="yyyy\-mm\-dd;@"/>
    <numFmt numFmtId="169" formatCode="[$-409]m/d/yy\ h:mm\ AM/PM;@"/>
    <numFmt numFmtId="170" formatCode="_(* #,##0.0000_);_(* \(#,##0.0000\);_(* &quot;-&quot;??_);_(@_)"/>
    <numFmt numFmtId="171" formatCode="[$-409]mmmm\ d\,\ yyyy;@"/>
  </numFmts>
  <fonts count="33"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9"/>
      <color indexed="81"/>
      <name val="Tahoma"/>
      <family val="2"/>
    </font>
    <font>
      <b/>
      <sz val="24"/>
      <color theme="1"/>
      <name val="Calibri"/>
      <family val="2"/>
      <scheme val="minor"/>
    </font>
    <font>
      <sz val="11"/>
      <color theme="8" tint="-0.249977111117893"/>
      <name val="Calibri"/>
      <family val="2"/>
      <scheme val="minor"/>
    </font>
    <font>
      <sz val="11"/>
      <color theme="0"/>
      <name val="Calibri"/>
      <family val="2"/>
      <scheme val="minor"/>
    </font>
    <font>
      <i/>
      <sz val="11"/>
      <color theme="1"/>
      <name val="Calibri"/>
      <family val="2"/>
      <scheme val="minor"/>
    </font>
    <font>
      <sz val="11"/>
      <color theme="4" tint="-0.249977111117893"/>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name val="Calibri"/>
      <family val="2"/>
      <scheme val="minor"/>
    </font>
    <font>
      <b/>
      <sz val="11"/>
      <name val="Calibri"/>
      <family val="2"/>
      <scheme val="minor"/>
    </font>
    <font>
      <b/>
      <i/>
      <sz val="11"/>
      <color theme="0"/>
      <name val="Calibri"/>
      <family val="2"/>
      <scheme val="minor"/>
    </font>
    <font>
      <u/>
      <sz val="11"/>
      <color theme="1"/>
      <name val="Calibri"/>
      <family val="2"/>
      <scheme val="minor"/>
    </font>
    <font>
      <b/>
      <u/>
      <sz val="14"/>
      <color theme="1" tint="0.499984740745262"/>
      <name val="Calibri"/>
      <family val="2"/>
      <scheme val="minor"/>
    </font>
    <font>
      <b/>
      <i/>
      <sz val="11"/>
      <color theme="1"/>
      <name val="Calibri"/>
      <family val="2"/>
      <scheme val="minor"/>
    </font>
    <font>
      <b/>
      <u/>
      <sz val="12"/>
      <color theme="1"/>
      <name val="Calibri"/>
      <family val="2"/>
      <scheme val="minor"/>
    </font>
    <font>
      <u/>
      <sz val="11"/>
      <color theme="8" tint="-0.249977111117893"/>
      <name val="Calibri"/>
      <family val="2"/>
      <scheme val="minor"/>
    </font>
    <font>
      <sz val="11"/>
      <color rgb="FF000000"/>
      <name val="Calibri"/>
      <family val="2"/>
      <scheme val="minor"/>
    </font>
  </fonts>
  <fills count="53">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0"/>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249977111117893"/>
        <bgColor indexed="64"/>
      </patternFill>
    </fill>
    <fill>
      <patternFill patternType="solid">
        <fgColor theme="1"/>
        <bgColor indexed="64"/>
      </patternFill>
    </fill>
    <fill>
      <patternFill patternType="solid">
        <fgColor theme="0" tint="-0.34998626667073579"/>
        <bgColor indexed="64"/>
      </patternFill>
    </fill>
    <fill>
      <patternFill patternType="solid">
        <fgColor theme="8" tint="0.39997558519241921"/>
        <bgColor indexed="64"/>
      </patternFill>
    </fill>
    <fill>
      <patternFill patternType="solid">
        <fgColor rgb="FFFFFF99"/>
        <bgColor indexed="64"/>
      </patternFill>
    </fill>
    <fill>
      <patternFill patternType="solid">
        <fgColor theme="4" tint="-0.249977111117893"/>
        <bgColor indexed="64"/>
      </patternFill>
    </fill>
    <fill>
      <patternFill patternType="solid">
        <fgColor theme="1" tint="0.34998626667073579"/>
        <bgColor indexed="64"/>
      </patternFill>
    </fill>
    <fill>
      <patternFill patternType="solid">
        <fgColor rgb="FFFF7575"/>
        <bgColor indexed="64"/>
      </patternFill>
    </fill>
    <fill>
      <patternFill patternType="solid">
        <fgColor rgb="FFFF00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FFFF"/>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6">
    <xf numFmtId="0" fontId="0" fillId="0" borderId="0"/>
    <xf numFmtId="43" fontId="1" fillId="0" borderId="0" applyFont="0" applyFill="0" applyBorder="0" applyAlignment="0" applyProtection="0"/>
    <xf numFmtId="0" fontId="3" fillId="0" borderId="0" applyNumberFormat="0" applyFill="0" applyBorder="0" applyAlignment="0" applyProtection="0"/>
    <xf numFmtId="0" fontId="10" fillId="0" borderId="0" applyNumberFormat="0" applyFill="0" applyBorder="0" applyAlignment="0" applyProtection="0"/>
    <xf numFmtId="0" fontId="11" fillId="0" borderId="18" applyNumberFormat="0" applyFill="0" applyAlignment="0" applyProtection="0"/>
    <xf numFmtId="0" fontId="12" fillId="0" borderId="19" applyNumberFormat="0" applyFill="0" applyAlignment="0" applyProtection="0"/>
    <xf numFmtId="0" fontId="13" fillId="0" borderId="20" applyNumberFormat="0" applyFill="0" applyAlignment="0" applyProtection="0"/>
    <xf numFmtId="0" fontId="13" fillId="0" borderId="0" applyNumberFormat="0" applyFill="0" applyBorder="0" applyAlignment="0" applyProtection="0"/>
    <xf numFmtId="0" fontId="14" fillId="9" borderId="0" applyNumberFormat="0" applyBorder="0" applyAlignment="0" applyProtection="0"/>
    <xf numFmtId="0" fontId="15" fillId="10" borderId="0" applyNumberFormat="0" applyBorder="0" applyAlignment="0" applyProtection="0"/>
    <xf numFmtId="0" fontId="16" fillId="11" borderId="0" applyNumberFormat="0" applyBorder="0" applyAlignment="0" applyProtection="0"/>
    <xf numFmtId="0" fontId="17" fillId="12" borderId="21" applyNumberFormat="0" applyAlignment="0" applyProtection="0"/>
    <xf numFmtId="0" fontId="18" fillId="13" borderId="22" applyNumberFormat="0" applyAlignment="0" applyProtection="0"/>
    <xf numFmtId="0" fontId="19" fillId="13" borderId="21" applyNumberFormat="0" applyAlignment="0" applyProtection="0"/>
    <xf numFmtId="0" fontId="20" fillId="0" borderId="23" applyNumberFormat="0" applyFill="0" applyAlignment="0" applyProtection="0"/>
    <xf numFmtId="0" fontId="21" fillId="14" borderId="24" applyNumberFormat="0" applyAlignment="0" applyProtection="0"/>
    <xf numFmtId="0" fontId="22" fillId="0" borderId="0" applyNumberFormat="0" applyFill="0" applyBorder="0" applyAlignment="0" applyProtection="0"/>
    <xf numFmtId="0" fontId="1" fillId="15" borderId="25" applyNumberFormat="0" applyFont="0" applyAlignment="0" applyProtection="0"/>
    <xf numFmtId="0" fontId="23" fillId="0" borderId="0" applyNumberFormat="0" applyFill="0" applyBorder="0" applyAlignment="0" applyProtection="0"/>
    <xf numFmtId="0" fontId="2" fillId="0" borderId="26" applyNumberFormat="0" applyFill="0" applyAlignment="0" applyProtection="0"/>
    <xf numFmtId="0" fontId="7"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7" fillId="39" borderId="0" applyNumberFormat="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23">
    <xf numFmtId="0" fontId="0" fillId="0" borderId="0" xfId="0"/>
    <xf numFmtId="0" fontId="0" fillId="0" borderId="1" xfId="0" applyBorder="1"/>
    <xf numFmtId="0" fontId="2" fillId="4" borderId="1" xfId="0" applyFont="1" applyFill="1" applyBorder="1"/>
    <xf numFmtId="43" fontId="2" fillId="5" borderId="1" xfId="1" applyFont="1" applyFill="1" applyBorder="1"/>
    <xf numFmtId="43" fontId="2" fillId="2" borderId="1" xfId="1" applyFont="1" applyFill="1" applyBorder="1"/>
    <xf numFmtId="0" fontId="0" fillId="7" borderId="7" xfId="0" applyFill="1" applyBorder="1"/>
    <xf numFmtId="0" fontId="0" fillId="7" borderId="9" xfId="0" applyFill="1" applyBorder="1"/>
    <xf numFmtId="0" fontId="0" fillId="7" borderId="8" xfId="0" applyFill="1" applyBorder="1"/>
    <xf numFmtId="0" fontId="0" fillId="7" borderId="10" xfId="0" applyFill="1" applyBorder="1"/>
    <xf numFmtId="0" fontId="0" fillId="7" borderId="0" xfId="0" applyFill="1"/>
    <xf numFmtId="0" fontId="0" fillId="7" borderId="11" xfId="0" applyFill="1" applyBorder="1"/>
    <xf numFmtId="0" fontId="0" fillId="7" borderId="12" xfId="0" applyFill="1" applyBorder="1"/>
    <xf numFmtId="0" fontId="0" fillId="7" borderId="13" xfId="0" applyFill="1" applyBorder="1"/>
    <xf numFmtId="0" fontId="5" fillId="7" borderId="0" xfId="0" applyFont="1" applyFill="1" applyAlignment="1">
      <alignment horizontal="center" vertical="center"/>
    </xf>
    <xf numFmtId="0" fontId="8" fillId="7" borderId="7" xfId="0" applyFont="1" applyFill="1" applyBorder="1"/>
    <xf numFmtId="165" fontId="0" fillId="5" borderId="1" xfId="0" applyNumberFormat="1" applyFill="1" applyBorder="1"/>
    <xf numFmtId="0" fontId="6" fillId="0" borderId="1" xfId="0" applyFont="1" applyBorder="1" applyProtection="1">
      <protection locked="0"/>
    </xf>
    <xf numFmtId="0" fontId="6" fillId="7" borderId="1" xfId="0" applyFont="1" applyFill="1" applyBorder="1" applyProtection="1">
      <protection locked="0"/>
    </xf>
    <xf numFmtId="164" fontId="6" fillId="7" borderId="1" xfId="1" applyNumberFormat="1" applyFont="1" applyFill="1" applyBorder="1" applyProtection="1">
      <protection locked="0"/>
    </xf>
    <xf numFmtId="43" fontId="6" fillId="7" borderId="1" xfId="1" applyFont="1" applyFill="1" applyBorder="1" applyProtection="1">
      <protection locked="0"/>
    </xf>
    <xf numFmtId="0" fontId="2" fillId="2" borderId="1" xfId="0" applyFont="1" applyFill="1" applyBorder="1"/>
    <xf numFmtId="0" fontId="9" fillId="6" borderId="1" xfId="0" applyFont="1" applyFill="1" applyBorder="1" applyProtection="1">
      <protection locked="0"/>
    </xf>
    <xf numFmtId="165" fontId="0" fillId="5" borderId="1" xfId="0" quotePrefix="1" applyNumberFormat="1" applyFill="1" applyBorder="1"/>
    <xf numFmtId="0" fontId="0" fillId="5" borderId="1" xfId="0" applyFill="1" applyBorder="1" applyProtection="1">
      <protection locked="0"/>
    </xf>
    <xf numFmtId="0" fontId="0" fillId="7" borderId="1" xfId="0" applyFill="1" applyBorder="1" applyProtection="1">
      <protection locked="0"/>
    </xf>
    <xf numFmtId="0" fontId="3" fillId="7" borderId="14" xfId="2" applyFill="1" applyBorder="1"/>
    <xf numFmtId="0" fontId="2" fillId="2" borderId="1" xfId="0" applyFont="1" applyFill="1" applyBorder="1" applyProtection="1">
      <protection locked="0"/>
    </xf>
    <xf numFmtId="164" fontId="0" fillId="5" borderId="1" xfId="1" applyNumberFormat="1" applyFont="1" applyFill="1" applyBorder="1" applyProtection="1">
      <protection locked="0"/>
    </xf>
    <xf numFmtId="165" fontId="0" fillId="5" borderId="1" xfId="0" applyNumberFormat="1" applyFill="1" applyBorder="1" applyProtection="1">
      <protection locked="0"/>
    </xf>
    <xf numFmtId="164" fontId="0" fillId="0" borderId="0" xfId="1" applyNumberFormat="1" applyFont="1"/>
    <xf numFmtId="43" fontId="0" fillId="0" borderId="0" xfId="1" applyFont="1"/>
    <xf numFmtId="165" fontId="8" fillId="7" borderId="0" xfId="0" applyNumberFormat="1" applyFont="1" applyFill="1"/>
    <xf numFmtId="164" fontId="0" fillId="7" borderId="0" xfId="1" applyNumberFormat="1" applyFont="1" applyFill="1"/>
    <xf numFmtId="43" fontId="0" fillId="7" borderId="0" xfId="1" applyFont="1" applyFill="1"/>
    <xf numFmtId="164" fontId="0" fillId="7" borderId="12" xfId="1" applyNumberFormat="1" applyFont="1" applyFill="1" applyBorder="1"/>
    <xf numFmtId="43" fontId="0" fillId="7" borderId="12" xfId="1" applyFont="1" applyFill="1" applyBorder="1"/>
    <xf numFmtId="0" fontId="0" fillId="7" borderId="30" xfId="0" applyFill="1" applyBorder="1"/>
    <xf numFmtId="0" fontId="0" fillId="7" borderId="29" xfId="0" applyFill="1" applyBorder="1"/>
    <xf numFmtId="0" fontId="3" fillId="7" borderId="7" xfId="2" applyFill="1" applyBorder="1"/>
    <xf numFmtId="0" fontId="0" fillId="7" borderId="28" xfId="0" applyFill="1" applyBorder="1" applyProtection="1">
      <protection locked="0"/>
    </xf>
    <xf numFmtId="0" fontId="0" fillId="7" borderId="31" xfId="0" applyFill="1" applyBorder="1" applyProtection="1">
      <protection locked="0"/>
    </xf>
    <xf numFmtId="43" fontId="0" fillId="7" borderId="1" xfId="1" applyFont="1" applyFill="1" applyBorder="1" applyProtection="1">
      <protection locked="0"/>
    </xf>
    <xf numFmtId="165" fontId="0" fillId="5" borderId="1" xfId="1" applyNumberFormat="1" applyFont="1" applyFill="1" applyBorder="1" applyProtection="1">
      <protection locked="0"/>
    </xf>
    <xf numFmtId="43" fontId="0" fillId="5" borderId="1" xfId="1" applyFont="1" applyFill="1" applyBorder="1" applyAlignment="1" applyProtection="1">
      <alignment horizontal="right"/>
      <protection locked="0"/>
    </xf>
    <xf numFmtId="0" fontId="0" fillId="40" borderId="29" xfId="0" applyFill="1" applyBorder="1" applyProtection="1">
      <protection locked="0"/>
    </xf>
    <xf numFmtId="164" fontId="0" fillId="40" borderId="0" xfId="1" applyNumberFormat="1" applyFont="1" applyFill="1" applyProtection="1">
      <protection locked="0"/>
    </xf>
    <xf numFmtId="43" fontId="0" fillId="40" borderId="0" xfId="1" applyFont="1" applyFill="1" applyProtection="1">
      <protection locked="0"/>
    </xf>
    <xf numFmtId="0" fontId="0" fillId="40" borderId="0" xfId="0" applyFill="1" applyProtection="1">
      <protection locked="0"/>
    </xf>
    <xf numFmtId="165" fontId="0" fillId="40" borderId="0" xfId="0" applyNumberFormat="1" applyFill="1" applyProtection="1">
      <protection locked="0"/>
    </xf>
    <xf numFmtId="43" fontId="0" fillId="40" borderId="30" xfId="1" applyFont="1" applyFill="1" applyBorder="1" applyAlignment="1" applyProtection="1">
      <alignment horizontal="right"/>
      <protection locked="0"/>
    </xf>
    <xf numFmtId="0" fontId="0" fillId="40" borderId="15" xfId="0" applyFill="1" applyBorder="1" applyProtection="1">
      <protection locked="0"/>
    </xf>
    <xf numFmtId="164" fontId="0" fillId="40" borderId="27" xfId="1" applyNumberFormat="1" applyFont="1" applyFill="1" applyBorder="1" applyProtection="1">
      <protection locked="0"/>
    </xf>
    <xf numFmtId="43" fontId="0" fillId="40" borderId="27" xfId="1" applyFont="1" applyFill="1" applyBorder="1" applyProtection="1">
      <protection locked="0"/>
    </xf>
    <xf numFmtId="0" fontId="0" fillId="40" borderId="27" xfId="0" applyFill="1" applyBorder="1" applyProtection="1">
      <protection locked="0"/>
    </xf>
    <xf numFmtId="165" fontId="0" fillId="40" borderId="27" xfId="0" applyNumberFormat="1" applyFill="1" applyBorder="1" applyProtection="1">
      <protection locked="0"/>
    </xf>
    <xf numFmtId="43" fontId="0" fillId="40" borderId="16" xfId="1" applyFont="1" applyFill="1" applyBorder="1" applyAlignment="1" applyProtection="1">
      <alignment horizontal="right"/>
      <protection locked="0"/>
    </xf>
    <xf numFmtId="0" fontId="8" fillId="7" borderId="0" xfId="0" quotePrefix="1" applyFont="1" applyFill="1"/>
    <xf numFmtId="14" fontId="0" fillId="7" borderId="0" xfId="0" applyNumberFormat="1" applyFill="1"/>
    <xf numFmtId="14" fontId="0" fillId="7" borderId="1" xfId="0" applyNumberFormat="1" applyFill="1" applyBorder="1"/>
    <xf numFmtId="14" fontId="6" fillId="0" borderId="1" xfId="0" applyNumberFormat="1" applyFont="1" applyBorder="1" applyProtection="1">
      <protection locked="0"/>
    </xf>
    <xf numFmtId="164" fontId="6" fillId="0" borderId="1" xfId="1" applyNumberFormat="1" applyFont="1" applyBorder="1" applyProtection="1">
      <protection locked="0"/>
    </xf>
    <xf numFmtId="14" fontId="0" fillId="0" borderId="1" xfId="0" applyNumberFormat="1" applyBorder="1"/>
    <xf numFmtId="0" fontId="0" fillId="7" borderId="1" xfId="0" applyFill="1" applyBorder="1"/>
    <xf numFmtId="164" fontId="0" fillId="7" borderId="1" xfId="1" applyNumberFormat="1" applyFont="1" applyFill="1" applyBorder="1"/>
    <xf numFmtId="166" fontId="8" fillId="5" borderId="1" xfId="0" applyNumberFormat="1" applyFont="1" applyFill="1" applyBorder="1"/>
    <xf numFmtId="0" fontId="0" fillId="41" borderId="1" xfId="0" applyFill="1" applyBorder="1"/>
    <xf numFmtId="0" fontId="0" fillId="7" borderId="1" xfId="0" quotePrefix="1" applyFill="1" applyBorder="1"/>
    <xf numFmtId="0" fontId="2" fillId="2" borderId="1" xfId="0" quotePrefix="1" applyFont="1" applyFill="1" applyBorder="1"/>
    <xf numFmtId="0" fontId="0" fillId="8" borderId="0" xfId="0" applyFill="1"/>
    <xf numFmtId="164" fontId="0" fillId="0" borderId="1" xfId="1" applyNumberFormat="1" applyFont="1" applyBorder="1"/>
    <xf numFmtId="0" fontId="0" fillId="8" borderId="14" xfId="0" applyFill="1" applyBorder="1"/>
    <xf numFmtId="0" fontId="0" fillId="8" borderId="7" xfId="0" applyFill="1" applyBorder="1"/>
    <xf numFmtId="0" fontId="0" fillId="8" borderId="8" xfId="0" applyFill="1" applyBorder="1"/>
    <xf numFmtId="0" fontId="0" fillId="8" borderId="9" xfId="0" applyFill="1" applyBorder="1"/>
    <xf numFmtId="0" fontId="0" fillId="8" borderId="10" xfId="0" applyFill="1" applyBorder="1"/>
    <xf numFmtId="0" fontId="0" fillId="8" borderId="11" xfId="0" applyFill="1" applyBorder="1"/>
    <xf numFmtId="0" fontId="0" fillId="8" borderId="12" xfId="0" applyFill="1" applyBorder="1"/>
    <xf numFmtId="0" fontId="0" fillId="8" borderId="13" xfId="0" applyFill="1" applyBorder="1"/>
    <xf numFmtId="0" fontId="9" fillId="0" borderId="1" xfId="0" applyFont="1" applyBorder="1" applyProtection="1">
      <protection locked="0"/>
    </xf>
    <xf numFmtId="164" fontId="9" fillId="0" borderId="1" xfId="1" applyNumberFormat="1" applyFont="1" applyBorder="1" applyProtection="1">
      <protection locked="0"/>
    </xf>
    <xf numFmtId="0" fontId="0" fillId="41" borderId="7" xfId="0" applyFill="1" applyBorder="1"/>
    <xf numFmtId="0" fontId="0" fillId="41" borderId="0" xfId="0" applyFill="1"/>
    <xf numFmtId="14" fontId="9" fillId="0" borderId="1" xfId="1" applyNumberFormat="1" applyFont="1" applyBorder="1" applyProtection="1">
      <protection locked="0"/>
    </xf>
    <xf numFmtId="0" fontId="2" fillId="42" borderId="1" xfId="0" applyFont="1" applyFill="1" applyBorder="1"/>
    <xf numFmtId="0" fontId="0" fillId="5" borderId="1" xfId="0" applyFill="1" applyBorder="1"/>
    <xf numFmtId="14" fontId="0" fillId="5" borderId="1" xfId="0" applyNumberFormat="1" applyFill="1" applyBorder="1"/>
    <xf numFmtId="0" fontId="24" fillId="0" borderId="1" xfId="0" applyFont="1" applyBorder="1" applyProtection="1">
      <protection locked="0"/>
    </xf>
    <xf numFmtId="0" fontId="3" fillId="0" borderId="1" xfId="2" applyBorder="1" applyProtection="1">
      <protection locked="0"/>
    </xf>
    <xf numFmtId="167" fontId="6" fillId="0" borderId="1" xfId="1" applyNumberFormat="1" applyFont="1" applyBorder="1" applyProtection="1">
      <protection locked="0"/>
    </xf>
    <xf numFmtId="0" fontId="9" fillId="0" borderId="1" xfId="0" applyFont="1" applyBorder="1"/>
    <xf numFmtId="0" fontId="25" fillId="3" borderId="1" xfId="0" applyFont="1" applyFill="1" applyBorder="1" applyAlignment="1" applyProtection="1">
      <alignment horizontal="center"/>
      <protection locked="0"/>
    </xf>
    <xf numFmtId="0" fontId="24" fillId="0" borderId="1" xfId="0" applyFont="1" applyBorder="1"/>
    <xf numFmtId="165" fontId="9" fillId="0" borderId="1" xfId="0" applyNumberFormat="1" applyFont="1" applyBorder="1"/>
    <xf numFmtId="165" fontId="24" fillId="0" borderId="1" xfId="0" applyNumberFormat="1" applyFont="1" applyBorder="1"/>
    <xf numFmtId="164" fontId="24" fillId="0" borderId="1" xfId="1" applyNumberFormat="1" applyFont="1" applyBorder="1" applyProtection="1">
      <protection locked="0"/>
    </xf>
    <xf numFmtId="168" fontId="6" fillId="0" borderId="1" xfId="1" applyNumberFormat="1" applyFont="1" applyBorder="1" applyAlignment="1">
      <alignment horizontal="center"/>
    </xf>
    <xf numFmtId="0" fontId="26" fillId="45" borderId="1" xfId="0" applyFont="1" applyFill="1" applyBorder="1" applyAlignment="1">
      <alignment horizontal="center"/>
    </xf>
    <xf numFmtId="0" fontId="2" fillId="8" borderId="1" xfId="0" applyFont="1" applyFill="1" applyBorder="1" applyAlignment="1">
      <alignment horizontal="center"/>
    </xf>
    <xf numFmtId="164" fontId="6" fillId="0" borderId="1" xfId="1" applyNumberFormat="1" applyFont="1" applyBorder="1" applyAlignment="1">
      <alignment horizontal="center"/>
    </xf>
    <xf numFmtId="43" fontId="26" fillId="45" borderId="1" xfId="1" applyFont="1" applyFill="1" applyBorder="1" applyAlignment="1">
      <alignment horizontal="center"/>
    </xf>
    <xf numFmtId="10" fontId="6" fillId="0" borderId="1" xfId="45" applyNumberFormat="1" applyFont="1" applyBorder="1" applyAlignment="1">
      <alignment horizontal="center"/>
    </xf>
    <xf numFmtId="0" fontId="27" fillId="7" borderId="0" xfId="0" applyFont="1" applyFill="1"/>
    <xf numFmtId="0" fontId="2" fillId="43" borderId="1" xfId="0" applyFont="1" applyFill="1" applyBorder="1" applyAlignment="1">
      <alignment horizontal="center"/>
    </xf>
    <xf numFmtId="0" fontId="2" fillId="5" borderId="1" xfId="0" applyFont="1" applyFill="1" applyBorder="1"/>
    <xf numFmtId="165" fontId="0" fillId="0" borderId="1" xfId="0" quotePrefix="1" applyNumberFormat="1" applyBorder="1"/>
    <xf numFmtId="0" fontId="28" fillId="7" borderId="0" xfId="0" applyFont="1" applyFill="1"/>
    <xf numFmtId="44" fontId="6" fillId="0" borderId="1" xfId="44" applyFont="1" applyBorder="1" applyAlignment="1">
      <alignment horizontal="center"/>
    </xf>
    <xf numFmtId="0" fontId="0" fillId="46" borderId="0" xfId="0" applyFill="1"/>
    <xf numFmtId="0" fontId="0" fillId="7" borderId="0" xfId="0" applyFill="1" applyAlignment="1">
      <alignment horizontal="center"/>
    </xf>
    <xf numFmtId="0" fontId="0" fillId="5" borderId="0" xfId="0" applyFill="1"/>
    <xf numFmtId="0" fontId="2" fillId="5" borderId="0" xfId="0" applyFont="1" applyFill="1" applyAlignment="1">
      <alignment horizontal="center"/>
    </xf>
    <xf numFmtId="164" fontId="6" fillId="7" borderId="1" xfId="1" applyNumberFormat="1" applyFont="1" applyFill="1" applyBorder="1"/>
    <xf numFmtId="14" fontId="6" fillId="7" borderId="1" xfId="0" applyNumberFormat="1" applyFont="1" applyFill="1" applyBorder="1"/>
    <xf numFmtId="164" fontId="2" fillId="47" borderId="2" xfId="1" quotePrefix="1" applyNumberFormat="1" applyFont="1" applyFill="1" applyBorder="1" applyAlignment="1">
      <alignment horizontal="center"/>
    </xf>
    <xf numFmtId="164" fontId="0" fillId="7" borderId="1" xfId="1" quotePrefix="1" applyNumberFormat="1" applyFont="1" applyFill="1" applyBorder="1" applyAlignment="1">
      <alignment horizontal="center"/>
    </xf>
    <xf numFmtId="165" fontId="0" fillId="0" borderId="1" xfId="0" applyNumberFormat="1" applyBorder="1"/>
    <xf numFmtId="0" fontId="0" fillId="7" borderId="0" xfId="0" quotePrefix="1" applyFill="1"/>
    <xf numFmtId="44" fontId="0" fillId="44" borderId="1" xfId="44" applyFont="1" applyFill="1" applyBorder="1" applyAlignment="1">
      <alignment horizontal="center"/>
    </xf>
    <xf numFmtId="43" fontId="1" fillId="0" borderId="1" xfId="1" applyFont="1" applyFill="1" applyBorder="1" applyAlignment="1">
      <alignment horizontal="center"/>
    </xf>
    <xf numFmtId="0" fontId="8" fillId="5" borderId="1" xfId="0" applyFont="1" applyFill="1" applyBorder="1"/>
    <xf numFmtId="0" fontId="6" fillId="7" borderId="1" xfId="0" applyFont="1" applyFill="1" applyBorder="1"/>
    <xf numFmtId="0" fontId="29" fillId="2" borderId="1" xfId="0" applyFont="1" applyFill="1" applyBorder="1"/>
    <xf numFmtId="168" fontId="6" fillId="0" borderId="1" xfId="1" quotePrefix="1" applyNumberFormat="1" applyFont="1" applyBorder="1" applyAlignment="1">
      <alignment horizontal="center"/>
    </xf>
    <xf numFmtId="165" fontId="8" fillId="5" borderId="1" xfId="0" quotePrefix="1" applyNumberFormat="1" applyFont="1" applyFill="1" applyBorder="1"/>
    <xf numFmtId="18" fontId="6" fillId="0" borderId="1" xfId="0" applyNumberFormat="1" applyFont="1" applyBorder="1" applyProtection="1">
      <protection locked="0"/>
    </xf>
    <xf numFmtId="165" fontId="6" fillId="0" borderId="1" xfId="0" applyNumberFormat="1" applyFont="1" applyBorder="1" applyProtection="1">
      <protection locked="0"/>
    </xf>
    <xf numFmtId="165" fontId="0" fillId="7" borderId="1" xfId="0" applyNumberFormat="1" applyFill="1" applyBorder="1"/>
    <xf numFmtId="165" fontId="24" fillId="0" borderId="1" xfId="0" applyNumberFormat="1" applyFont="1" applyBorder="1" applyProtection="1">
      <protection locked="0"/>
    </xf>
    <xf numFmtId="0" fontId="0" fillId="7" borderId="31" xfId="0" applyFill="1" applyBorder="1"/>
    <xf numFmtId="0" fontId="30" fillId="7" borderId="0" xfId="0" applyFont="1" applyFill="1" applyAlignment="1">
      <alignment vertical="center"/>
    </xf>
    <xf numFmtId="0" fontId="2" fillId="3" borderId="1" xfId="0" applyFont="1" applyFill="1" applyBorder="1" applyAlignment="1">
      <alignment horizontal="center" vertical="center"/>
    </xf>
    <xf numFmtId="0" fontId="2" fillId="2" borderId="1" xfId="0" quotePrefix="1" applyFont="1" applyFill="1" applyBorder="1" applyAlignment="1">
      <alignment horizontal="center"/>
    </xf>
    <xf numFmtId="165" fontId="8" fillId="5" borderId="1" xfId="0" applyNumberFormat="1" applyFont="1" applyFill="1" applyBorder="1"/>
    <xf numFmtId="165" fontId="8" fillId="7" borderId="1" xfId="0" applyNumberFormat="1" applyFont="1" applyFill="1" applyBorder="1"/>
    <xf numFmtId="0" fontId="0" fillId="5" borderId="1" xfId="0" quotePrefix="1" applyFill="1" applyBorder="1"/>
    <xf numFmtId="0" fontId="0" fillId="2" borderId="1" xfId="0" applyFill="1" applyBorder="1"/>
    <xf numFmtId="0" fontId="21" fillId="3" borderId="4" xfId="0" applyFont="1" applyFill="1" applyBorder="1" applyAlignment="1">
      <alignment horizontal="center"/>
    </xf>
    <xf numFmtId="0" fontId="21" fillId="48" borderId="4" xfId="0" applyFont="1" applyFill="1" applyBorder="1" applyAlignment="1">
      <alignment horizontal="center"/>
    </xf>
    <xf numFmtId="0" fontId="21" fillId="3" borderId="1" xfId="0" applyFont="1" applyFill="1" applyBorder="1" applyAlignment="1">
      <alignment horizontal="center"/>
    </xf>
    <xf numFmtId="0" fontId="0" fillId="7" borderId="32" xfId="0" applyFill="1" applyBorder="1" applyAlignment="1">
      <alignment horizontal="center"/>
    </xf>
    <xf numFmtId="0" fontId="8" fillId="5" borderId="36" xfId="0" quotePrefix="1" applyFont="1" applyFill="1" applyBorder="1"/>
    <xf numFmtId="0" fontId="31" fillId="0" borderId="1" xfId="0" applyFont="1" applyBorder="1"/>
    <xf numFmtId="0" fontId="8" fillId="5" borderId="3" xfId="0" applyFont="1" applyFill="1" applyBorder="1"/>
    <xf numFmtId="0" fontId="8" fillId="5" borderId="33" xfId="0" applyFont="1" applyFill="1" applyBorder="1"/>
    <xf numFmtId="0" fontId="8" fillId="5" borderId="37" xfId="0" applyFont="1" applyFill="1" applyBorder="1"/>
    <xf numFmtId="0" fontId="8" fillId="5" borderId="34" xfId="0" quotePrefix="1" applyFont="1" applyFill="1" applyBorder="1"/>
    <xf numFmtId="0" fontId="31" fillId="0" borderId="0" xfId="0" applyFont="1" applyAlignment="1">
      <alignment wrapText="1"/>
    </xf>
    <xf numFmtId="0" fontId="29" fillId="2" borderId="38" xfId="0" applyFont="1" applyFill="1" applyBorder="1"/>
    <xf numFmtId="0" fontId="29" fillId="2" borderId="39" xfId="0" applyFont="1" applyFill="1" applyBorder="1"/>
    <xf numFmtId="0" fontId="29" fillId="2" borderId="40" xfId="0" applyFont="1" applyFill="1" applyBorder="1"/>
    <xf numFmtId="0" fontId="2" fillId="3" borderId="2" xfId="0" applyFont="1" applyFill="1" applyBorder="1" applyAlignment="1">
      <alignment horizontal="center"/>
    </xf>
    <xf numFmtId="0" fontId="8" fillId="5" borderId="1" xfId="0" quotePrefix="1" applyFont="1" applyFill="1" applyBorder="1"/>
    <xf numFmtId="0" fontId="2" fillId="48" borderId="2" xfId="0" applyFont="1" applyFill="1" applyBorder="1" applyAlignment="1">
      <alignment horizontal="center"/>
    </xf>
    <xf numFmtId="0" fontId="2" fillId="3" borderId="2" xfId="0" quotePrefix="1" applyFont="1" applyFill="1" applyBorder="1" applyAlignment="1">
      <alignment horizontal="center"/>
    </xf>
    <xf numFmtId="0" fontId="9" fillId="7" borderId="1" xfId="0" applyFont="1" applyFill="1" applyBorder="1"/>
    <xf numFmtId="0" fontId="29" fillId="7" borderId="0" xfId="0" applyFont="1" applyFill="1"/>
    <xf numFmtId="165" fontId="0" fillId="49" borderId="1" xfId="0" applyNumberFormat="1" applyFill="1" applyBorder="1"/>
    <xf numFmtId="0" fontId="0" fillId="49" borderId="1" xfId="0" applyFill="1" applyBorder="1"/>
    <xf numFmtId="165" fontId="0" fillId="50" borderId="1" xfId="0" applyNumberFormat="1" applyFill="1" applyBorder="1"/>
    <xf numFmtId="0" fontId="0" fillId="50" borderId="1" xfId="0" applyFill="1" applyBorder="1"/>
    <xf numFmtId="43" fontId="0" fillId="5" borderId="1" xfId="1" applyFont="1" applyFill="1" applyBorder="1"/>
    <xf numFmtId="0" fontId="0" fillId="5" borderId="1" xfId="0" applyFill="1" applyBorder="1" applyAlignment="1">
      <alignment horizontal="center"/>
    </xf>
    <xf numFmtId="0" fontId="0" fillId="0" borderId="1" xfId="0" applyBorder="1" applyAlignment="1">
      <alignment horizontal="center"/>
    </xf>
    <xf numFmtId="0" fontId="29" fillId="2" borderId="3" xfId="0" applyFont="1" applyFill="1" applyBorder="1"/>
    <xf numFmtId="165" fontId="0" fillId="7" borderId="1" xfId="0" quotePrefix="1" applyNumberFormat="1" applyFill="1" applyBorder="1"/>
    <xf numFmtId="43" fontId="6" fillId="0" borderId="1" xfId="1" applyFont="1" applyBorder="1" applyProtection="1">
      <protection locked="0"/>
    </xf>
    <xf numFmtId="0" fontId="0" fillId="7" borderId="0" xfId="0" applyFill="1" applyProtection="1">
      <protection locked="0"/>
    </xf>
    <xf numFmtId="0" fontId="2" fillId="51" borderId="1" xfId="0" applyFont="1" applyFill="1" applyBorder="1"/>
    <xf numFmtId="0" fontId="0" fillId="6" borderId="1" xfId="0" applyFill="1" applyBorder="1"/>
    <xf numFmtId="43" fontId="0" fillId="0" borderId="1" xfId="1" applyFont="1" applyBorder="1"/>
    <xf numFmtId="169" fontId="0" fillId="0" borderId="1" xfId="0" applyNumberFormat="1" applyBorder="1"/>
    <xf numFmtId="0" fontId="2" fillId="5" borderId="1" xfId="0" applyFont="1" applyFill="1" applyBorder="1" applyAlignment="1">
      <alignment horizontal="center"/>
    </xf>
    <xf numFmtId="0" fontId="9" fillId="6" borderId="1" xfId="0" applyFont="1" applyFill="1" applyBorder="1" applyAlignment="1">
      <alignment horizontal="center"/>
    </xf>
    <xf numFmtId="0" fontId="24" fillId="7" borderId="0" xfId="0" applyFont="1" applyFill="1" applyProtection="1">
      <protection locked="0"/>
    </xf>
    <xf numFmtId="164" fontId="24" fillId="7" borderId="0" xfId="1" applyNumberFormat="1" applyFont="1" applyFill="1" applyBorder="1" applyProtection="1">
      <protection locked="0"/>
    </xf>
    <xf numFmtId="43" fontId="24" fillId="7" borderId="0" xfId="1" applyFont="1" applyFill="1" applyBorder="1" applyProtection="1">
      <protection locked="0"/>
    </xf>
    <xf numFmtId="0" fontId="24" fillId="7" borderId="0" xfId="0" applyFont="1" applyFill="1"/>
    <xf numFmtId="0" fontId="8" fillId="7" borderId="1" xfId="0" applyFont="1" applyFill="1" applyBorder="1"/>
    <xf numFmtId="170" fontId="0" fillId="7" borderId="1" xfId="1" quotePrefix="1" applyNumberFormat="1" applyFont="1" applyFill="1" applyBorder="1"/>
    <xf numFmtId="0" fontId="24" fillId="7" borderId="1" xfId="0" applyFont="1" applyFill="1" applyBorder="1"/>
    <xf numFmtId="14" fontId="0" fillId="7" borderId="1" xfId="0" quotePrefix="1" applyNumberFormat="1" applyFill="1" applyBorder="1"/>
    <xf numFmtId="0" fontId="24" fillId="7" borderId="1" xfId="0" quotePrefix="1" applyFont="1" applyFill="1" applyBorder="1"/>
    <xf numFmtId="14" fontId="9" fillId="7" borderId="1" xfId="0" applyNumberFormat="1" applyFont="1" applyFill="1" applyBorder="1"/>
    <xf numFmtId="0" fontId="0" fillId="8" borderId="1" xfId="0" applyFill="1" applyBorder="1"/>
    <xf numFmtId="0" fontId="9" fillId="8" borderId="1" xfId="0" applyFont="1" applyFill="1" applyBorder="1" applyAlignment="1">
      <alignment horizontal="center"/>
    </xf>
    <xf numFmtId="0" fontId="9" fillId="8" borderId="1" xfId="0" applyFont="1" applyFill="1" applyBorder="1"/>
    <xf numFmtId="14" fontId="0" fillId="8" borderId="1" xfId="0" applyNumberFormat="1" applyFill="1" applyBorder="1"/>
    <xf numFmtId="0" fontId="31" fillId="0" borderId="14" xfId="0" applyFont="1" applyBorder="1" applyAlignment="1">
      <alignment wrapText="1"/>
    </xf>
    <xf numFmtId="0" fontId="2" fillId="5" borderId="0" xfId="0" applyFont="1" applyFill="1"/>
    <xf numFmtId="0" fontId="8" fillId="7" borderId="0" xfId="0" applyFont="1" applyFill="1"/>
    <xf numFmtId="164" fontId="0" fillId="7" borderId="0" xfId="1" applyNumberFormat="1" applyFont="1" applyFill="1" applyBorder="1"/>
    <xf numFmtId="164" fontId="0" fillId="7" borderId="0" xfId="0" applyNumberFormat="1" applyFill="1"/>
    <xf numFmtId="0" fontId="8" fillId="5" borderId="35" xfId="0" applyFont="1" applyFill="1" applyBorder="1"/>
    <xf numFmtId="0" fontId="6" fillId="5" borderId="1" xfId="0" applyFont="1" applyFill="1" applyBorder="1"/>
    <xf numFmtId="171" fontId="2" fillId="7" borderId="0" xfId="1" applyNumberFormat="1" applyFont="1" applyFill="1" applyAlignment="1">
      <alignment horizontal="right"/>
    </xf>
    <xf numFmtId="171" fontId="2" fillId="7" borderId="0" xfId="1" applyNumberFormat="1" applyFont="1" applyFill="1" applyBorder="1" applyAlignment="1">
      <alignment horizontal="right"/>
    </xf>
    <xf numFmtId="171" fontId="2" fillId="7" borderId="10" xfId="1" applyNumberFormat="1" applyFont="1" applyFill="1" applyBorder="1" applyAlignment="1">
      <alignment horizontal="right"/>
    </xf>
    <xf numFmtId="43" fontId="0" fillId="7" borderId="0" xfId="1" applyFont="1" applyFill="1" applyBorder="1"/>
    <xf numFmtId="43" fontId="0" fillId="7" borderId="10" xfId="1" applyFont="1" applyFill="1" applyBorder="1"/>
    <xf numFmtId="0" fontId="24" fillId="5" borderId="1" xfId="0" applyFont="1" applyFill="1" applyBorder="1"/>
    <xf numFmtId="165" fontId="0" fillId="7" borderId="0" xfId="0" applyNumberFormat="1" applyFill="1"/>
    <xf numFmtId="0" fontId="25" fillId="5" borderId="1" xfId="0" applyFont="1" applyFill="1" applyBorder="1" applyProtection="1">
      <protection locked="0"/>
    </xf>
    <xf numFmtId="0" fontId="32" fillId="52" borderId="1" xfId="1" applyNumberFormat="1" applyFont="1" applyFill="1" applyBorder="1" applyAlignment="1" applyProtection="1">
      <alignment vertical="center"/>
      <protection locked="0"/>
    </xf>
    <xf numFmtId="0" fontId="32" fillId="52" borderId="1" xfId="1" applyNumberFormat="1" applyFont="1" applyFill="1" applyBorder="1" applyAlignment="1" applyProtection="1">
      <protection locked="0"/>
    </xf>
    <xf numFmtId="0" fontId="6" fillId="7" borderId="1" xfId="0" applyFont="1" applyFill="1" applyBorder="1" applyAlignment="1">
      <alignment horizontal="center" vertical="center"/>
    </xf>
    <xf numFmtId="0" fontId="25" fillId="2" borderId="1" xfId="0" applyFont="1" applyFill="1" applyBorder="1" applyProtection="1">
      <protection locked="0"/>
    </xf>
    <xf numFmtId="165" fontId="6" fillId="0" borderId="1" xfId="0" quotePrefix="1" applyNumberFormat="1" applyFont="1" applyBorder="1" applyProtection="1">
      <protection locked="0"/>
    </xf>
    <xf numFmtId="0" fontId="0" fillId="7" borderId="7" xfId="0" applyFill="1" applyBorder="1" applyAlignment="1">
      <alignment horizontal="center" vertical="center"/>
    </xf>
    <xf numFmtId="0" fontId="2" fillId="8" borderId="3" xfId="0" applyFont="1" applyFill="1" applyBorder="1" applyAlignment="1">
      <alignment horizontal="center"/>
    </xf>
    <xf numFmtId="0" fontId="2" fillId="8" borderId="4" xfId="0" quotePrefix="1" applyFont="1" applyFill="1" applyBorder="1" applyAlignment="1">
      <alignment horizontal="center"/>
    </xf>
    <xf numFmtId="0" fontId="2" fillId="4" borderId="32" xfId="0" applyFont="1" applyFill="1" applyBorder="1" applyAlignment="1">
      <alignment horizontal="center"/>
    </xf>
    <xf numFmtId="0" fontId="2" fillId="5" borderId="3" xfId="0" applyFont="1" applyFill="1" applyBorder="1" applyAlignment="1">
      <alignment horizontal="center"/>
    </xf>
    <xf numFmtId="0" fontId="2" fillId="5" borderId="4" xfId="0" applyFont="1" applyFill="1" applyBorder="1" applyAlignment="1">
      <alignment horizontal="center"/>
    </xf>
    <xf numFmtId="0" fontId="2" fillId="2" borderId="1" xfId="0" applyFont="1" applyFill="1" applyBorder="1" applyAlignment="1">
      <alignment horizont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4" borderId="1" xfId="0" applyFont="1" applyFill="1" applyBorder="1" applyAlignment="1">
      <alignment horizontal="center"/>
    </xf>
    <xf numFmtId="0" fontId="2" fillId="2" borderId="17" xfId="0" applyFont="1" applyFill="1" applyBorder="1" applyAlignment="1">
      <alignment horizontal="center"/>
    </xf>
    <xf numFmtId="0" fontId="2" fillId="4" borderId="17" xfId="0" applyFont="1" applyFill="1" applyBorder="1" applyAlignment="1">
      <alignment horizontal="center"/>
    </xf>
  </cellXfs>
  <cellStyles count="46">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urrency" xfId="44" builtinId="4"/>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2" builtinId="8"/>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Percent" xfId="45" builtinId="5"/>
    <cellStyle name="Title" xfId="3" builtinId="15" customBuiltin="1"/>
    <cellStyle name="Total" xfId="19" builtinId="25" customBuiltin="1"/>
    <cellStyle name="Warning Text" xfId="16" builtinId="11" customBuiltin="1"/>
  </cellStyles>
  <dxfs count="19">
    <dxf>
      <font>
        <b val="0"/>
        <i/>
      </font>
      <fill>
        <patternFill>
          <bgColor rgb="FFEFFBF4"/>
        </patternFill>
      </fill>
    </dxf>
    <dxf>
      <font>
        <color rgb="FFFF0000"/>
      </font>
    </dxf>
    <dxf>
      <font>
        <b/>
        <i/>
      </font>
      <fill>
        <patternFill>
          <bgColor rgb="FFDDF7E9"/>
        </patternFill>
      </fill>
    </dxf>
    <dxf>
      <font>
        <b val="0"/>
        <i val="0"/>
      </font>
      <fill>
        <patternFill>
          <bgColor theme="0" tint="-4.9989318521683403E-2"/>
        </patternFill>
      </fill>
    </dxf>
    <dxf>
      <border>
        <left style="thin">
          <color auto="1"/>
        </left>
        <right style="thin">
          <color auto="1"/>
        </right>
        <top style="thin">
          <color auto="1"/>
        </top>
        <bottom style="thin">
          <color auto="1"/>
        </bottom>
        <vertical/>
        <horizontal/>
      </border>
    </dxf>
    <dxf>
      <font>
        <b/>
        <i val="0"/>
      </font>
      <fill>
        <patternFill>
          <bgColor theme="0" tint="-4.9989318521683403E-2"/>
        </patternFill>
      </fill>
    </dxf>
    <dxf>
      <font>
        <b val="0"/>
        <i/>
      </font>
      <fill>
        <patternFill>
          <bgColor rgb="FFFFFFCC"/>
        </patternFill>
      </fill>
    </dxf>
    <dxf>
      <font>
        <b/>
        <i/>
      </font>
      <fill>
        <patternFill>
          <bgColor rgb="FFFFFF00"/>
        </patternFill>
      </fill>
    </dxf>
    <dxf>
      <font>
        <b/>
        <i/>
      </font>
      <fill>
        <patternFill>
          <bgColor rgb="FFFFFF00"/>
        </patternFill>
      </fill>
    </dxf>
    <dxf>
      <font>
        <b/>
        <i/>
      </font>
      <fill>
        <patternFill>
          <bgColor rgb="FFFFFF00"/>
        </patternFill>
      </fill>
    </dxf>
    <dxf>
      <border>
        <left style="thin">
          <color auto="1"/>
        </left>
        <right style="thin">
          <color auto="1"/>
        </right>
        <top style="thin">
          <color auto="1"/>
        </top>
        <bottom style="thin">
          <color auto="1"/>
        </bottom>
        <vertical/>
        <horizontal/>
      </border>
    </dxf>
    <dxf>
      <font>
        <color theme="4" tint="0.39994506668294322"/>
      </font>
      <fill>
        <patternFill>
          <bgColor theme="1" tint="0.14996795556505021"/>
        </patternFill>
      </fill>
      <border>
        <left style="thin">
          <color theme="0" tint="-4.9989318521683403E-2"/>
        </left>
        <right style="thin">
          <color theme="0" tint="-4.9989318521683403E-2"/>
        </right>
        <top style="thin">
          <color theme="0" tint="-4.9989318521683403E-2"/>
        </top>
        <bottom style="thin">
          <color theme="0" tint="-4.9989318521683403E-2"/>
        </bottom>
      </border>
    </dxf>
    <dxf>
      <font>
        <color rgb="FFFF7575"/>
      </font>
      <fill>
        <patternFill>
          <bgColor theme="1" tint="0.14996795556505021"/>
        </patternFill>
      </fill>
      <border>
        <left style="thin">
          <color theme="0" tint="-4.9989318521683403E-2"/>
        </left>
        <right style="thin">
          <color theme="0" tint="-4.9989318521683403E-2"/>
        </right>
        <top style="thin">
          <color theme="0" tint="-4.9989318521683403E-2"/>
        </top>
        <bottom style="thin">
          <color theme="0" tint="-4.9989318521683403E-2"/>
        </bottom>
      </border>
    </dxf>
    <dxf>
      <font>
        <color rgb="FFFF0000"/>
      </font>
    </dxf>
    <dxf>
      <numFmt numFmtId="166" formatCode="[$-409]h:mm:ss\ AM/PM;@"/>
    </dxf>
    <dxf>
      <fill>
        <patternFill>
          <bgColor theme="0" tint="-4.9989318521683403E-2"/>
        </patternFill>
      </fill>
    </dxf>
    <dxf>
      <border>
        <left style="thin">
          <color auto="1"/>
        </left>
        <right style="thin">
          <color auto="1"/>
        </right>
        <top style="thin">
          <color auto="1"/>
        </top>
        <bottom style="thin">
          <color auto="1"/>
        </bottom>
        <vertical/>
        <horizontal/>
      </border>
    </dxf>
    <dxf>
      <fill>
        <patternFill>
          <bgColor theme="0" tint="-4.9989318521683403E-2"/>
        </patternFill>
      </fill>
    </dxf>
    <dxf>
      <font>
        <color theme="0" tint="-0.24994659260841701"/>
      </font>
      <fill>
        <patternFill>
          <bgColor theme="0" tint="-0.14996795556505021"/>
        </patternFill>
      </fill>
    </dxf>
  </dxfs>
  <tableStyles count="0" defaultTableStyle="TableStyleMedium9" defaultPivotStyle="PivotStyleLight16"/>
  <colors>
    <mruColors>
      <color rgb="FFFFFFCC"/>
      <color rgb="FFFFFFF7"/>
      <color rgb="FFFF7575"/>
      <color rgb="FFFFFF99"/>
      <color rgb="FF99FF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realTimeData">
    <main first="rtdsrv_a79cedaf57014ef19e6af00360ead6ad">
      <tp t="s">
        <v>[REF]{{36844#1722745131040!R57C22:R60C22}}</v>
        <stp/>
        <stp>U.RANGE_REF_fdd7aa15-dfff-43ad-91c7-42e5cd1a4d21</stp>
        <stp>[REF]{{36844#1722745131040!R57C22:R60C22}}</stp>
        <tr r="G46" s="32"/>
      </tp>
      <tp t="s">
        <v>[REF]{{36844#1722745131040!R57C18:R61C20}}</v>
        <stp/>
        <stp>U.RANGE_REF_f9872130-665b-4064-b5ac-497eceb60a60</stp>
        <stp>[REF]{{36844#1722745131040!R57C18:R61C20}}</stp>
        <tr r="G45" s="32"/>
      </tp>
    </main>
    <main first="rtdsrv_a79cedaf57014ef19e6af00360ead6ad">
      <tp>
        <v>46072.4536024306</v>
        <stp/>
        <stp>U.NOW_X_46072.4536024306</stp>
        <tr r="B17" s="34"/>
        <tr r="B32" s="34"/>
        <tr r="B45" s="34"/>
        <tr r="E35" s="25"/>
        <tr r="E25" s="25"/>
        <tr r="E40" s="25"/>
        <tr r="E30" s="25"/>
        <tr r="B24" s="35"/>
      </tp>
    </main>
    <main first="rtdsrv_a79cedaf57014ef19e6af00360ead6ad">
      <tp t="s">
        <v>[REF]{{36844#1722745495040!R1C3}}</v>
        <stp/>
        <stp>U.RANGE_REF_b6583c21-1f92-4cd1-8ca3-2b9fe6fb0cfa</stp>
        <stp>[REF]{{BAD}}</stp>
        <tr r="X9" s="2"/>
      </tp>
    </main>
    <main first="rtdsrv_a79cedaf57014ef19e6af00360ead6ad">
      <tp t="s">
        <v>[REF]{{36844#1722745720640!R1C3}}</v>
        <stp/>
        <stp>U.RANGE_REF_32ada6b7-2982-41f9-96cf-385b1a12585c</stp>
        <stp>[REF]{{BAD}}</stp>
        <tr r="X19" s="2"/>
      </tp>
    </main>
    <main first="rtdsrv_a79cedaf57014ef19e6af00360ead6ad">
      <tp t="s">
        <v/>
        <stp/>
        <stp>U.GET_CLICK_VALS_U_ADVANCEDUSAGERECIPES.XLSX|NOT ENABLED</stp>
        <tr r="I7" s="38"/>
      </tp>
      <tp t="s">
        <v>[REF]{{36844#1722745292672!R1C3}}</v>
        <stp/>
        <stp>U.RANGE_REF_b7619983-e146-4432-8099-2663baf7dd94</stp>
        <stp>[REF]{{BAD}}</stp>
        <tr r="X5" s="2"/>
      </tp>
    </main>
    <main first="rtdsrv_a79cedaf57014ef19e6af00360ead6ad">
      <tp t="s">
        <v>[REF]{{36844#1722745596976!R1C3}}</v>
        <stp/>
        <stp>U.RANGE_REF_51994d9f-7daa-4d6b-a05d-88e6bea374d3</stp>
        <stp>[REF]{{BAD}}</stp>
        <tr r="X15" s="2"/>
      </tp>
    </main>
    <main first="rtdsrv_a79cedaf57014ef19e6af00360ead6ad">
      <tp t="s">
        <v>[REF]{{36844#1722745698960!R1C3}}</v>
        <stp/>
        <stp>U.RANGE_REF_c9d38ad3-924f-47f5-9460-3e5f111f54eb</stp>
        <stp>[REF]{{BAD}}</stp>
        <tr r="X17" s="2"/>
      </tp>
    </main>
    <main first="rtdsrv_a79cedaf57014ef19e6af00360ead6ad">
      <tp t="s">
        <v>back_nav</v>
        <stp/>
        <stp>U.SET_CLICK_VALS_U_ADVANCEDUSAGERECIPES.XLSX|BACK_NAV</stp>
        <tr r="AB4" s="2"/>
      </tp>
      <tp t="s">
        <v>[REF]{{36844#1722745302064!R1C3}}</v>
        <stp/>
        <stp>U.RANGE_REF_241dc978-a520-4093-b547-14d09f372a1a</stp>
        <stp>[REF]{{BAD}}</stp>
        <tr r="X7" s="2"/>
      </tp>
    </main>
    <main first="rtdsrv_a79cedaf57014ef19e6af00360ead6ad">
      <tp t="s">
        <v>[REF]{{BAD}}</v>
        <stp/>
        <stp>U.RANGE_REF_9170d812-2b2e-40f3-93ea-f546987af4c4</stp>
        <stp>[REF]{{BAD}}</stp>
        <tr r="AA21" s="2"/>
        <tr r="AA20" s="2"/>
        <tr r="AA25" s="2"/>
        <tr r="AA22" s="2"/>
        <tr r="AA23" s="2"/>
        <tr r="AA24" s="2"/>
      </tp>
    </main>
    <main first="rtdsrv_a79cedaf57014ef19e6af00360ead6ad">
      <tp t="s">
        <v/>
        <stp/>
        <stp>U.GET_CLICK_VALS_U_ADVANCEDUSAGERECIPES.XLSX|DATECLICKED</stp>
        <tr r="C38" s="36"/>
      </tp>
    </main>
    <main first="rtdsrv_a79cedaf57014ef19e6af00360ead6ad">
      <tp t="s">
        <v>[REF]{{36844#1722745524672!R1C3}}</v>
        <stp/>
        <stp>U.RANGE_REF_3d021803-ded1-43f4-a534-560ec8de2fba</stp>
        <stp>[REF]{{BAD}}</stp>
        <tr r="X14" s="2"/>
      </tp>
      <tp>
        <v>46072</v>
        <stp/>
        <stp>U.TODAY</stp>
        <tr r="C7" s="33"/>
      </tp>
      <tp t="s">
        <v>[REF]{{36844#1722745522032!R1C3}}</v>
        <stp/>
        <stp>U.RANGE_REF_bd1769fa-3ca4-47df-8bea-9f4c1e2d2457</stp>
        <stp>[REF]{{BAD}}</stp>
        <tr r="X13" s="2"/>
      </tp>
    </main>
    <main first="rtdsrv_a79cedaf57014ef19e6af00360ead6ad">
      <tp t="s">
        <v>[REF]{{36844#1722745501792!R1C1}}</v>
        <stp/>
        <stp>U.RANGE_REF_a4e66bac-a539-4895-a4e3-cb7be9dcb678</stp>
        <stp>[REF]{{36844#1722745501792!R1C1}}</stp>
        <tr r="AA10" s="2"/>
      </tp>
      <tp t="s">
        <v>[REF]{{36844#1722745524672!R1C1}}</v>
        <stp/>
        <stp>U.RANGE_REF_d86ef274-606b-4055-b88c-4a3eaa23616a</stp>
        <stp>[REF]{{36844#1722745524672!R1C1}}</stp>
        <tr r="AA14" s="2"/>
      </tp>
      <tp t="s">
        <v>Minimized</v>
        <stp/>
        <stp>U.SET_CLICK_VALS_U_ADVANCEDUSAGERECIPES.XLSX|MINIMIZED|U_INSTALLTEST_PUB.XLSX</stp>
        <tr r="W20" s="34"/>
      </tp>
      <tp t="s">
        <v>Minimized</v>
        <stp/>
        <stp>U.SET_CLICK_VALS_U_ADVANCEDUSAGERECIPES.XLSX|MINIMIZED|U_INSTALLTEST_SUB.XLSX</stp>
        <tr r="W35" s="34"/>
      </tp>
    </main>
    <main first="rtdsrv_a79cedaf57014ef19e6af00360ead6ad">
      <tp t="s">
        <v>[REF]{{36844#1722745504432!R1C1}}</v>
        <stp/>
        <stp>U.RANGE_REF_96992dc9-9449-4abe-95d7-5d6ac4249658</stp>
        <stp>[REF]{{36844#1722745504432!R1C1}}</stp>
        <tr r="AA11" s="2"/>
      </tp>
    </main>
    <main first="rtdsrv_a79cedaf57014ef19e6af00360ead6ad">
      <tp t="s">
        <v>[REF]{{36844#1722745692208!R1C1}}</v>
        <stp/>
        <stp>U.RANGE_REF_d9016438-a000-4bd0-8a3f-69810b1fbc17</stp>
        <stp>[REF]{{36844#1722745692208!R1C1}}</stp>
        <tr r="AA16" s="2"/>
      </tp>
    </main>
    <main first="rtdsrv_a79cedaf57014ef19e6af00360ead6ad">
      <tp>
        <v>46072.453703703701</v>
        <stp/>
        <stp>U.NOW_5000_X</stp>
        <tr r="G30" s="31"/>
        <tr r="G54" s="31"/>
        <tr r="C5" s="27"/>
        <tr r="U6" s="36"/>
      </tp>
      <tp>
        <v>46072.453738425924</v>
        <stp/>
        <stp>U.NOW_1000_X</stp>
        <tr r="C44" s="30"/>
        <tr r="C48" s="31"/>
        <tr r="C5" s="30"/>
        <tr r="C6" s="28"/>
        <tr r="G37" s="31"/>
      </tp>
      <tp t="s">
        <v>[REF]{{36844#1722743813312!R1C1}}</v>
        <stp/>
        <stp>U.RANGE_REF_263d9e1f-f63e-4b5b-9f96-963aa02312f5</stp>
        <stp>[REF]{{36844#1722743813312!R1C1}}</stp>
        <tr r="AB4" s="2"/>
      </tp>
      <tp t="s">
        <v>[REF]{{36844#1722745522032!R1C1}}</v>
        <stp/>
        <stp>U.RANGE_REF_3b7962ff-9c0a-4e59-b45b-e8d37d3d69f0</stp>
        <stp>[REF]{{36844#1722745522032!R1C1}}</stp>
        <tr r="AA13" s="2"/>
      </tp>
    </main>
    <main first="rtdsrv_a79cedaf57014ef19e6af00360ead6ad">
      <tp t="s">
        <v>[REF]{{36844#1722745292672!R1C1}}</v>
        <stp/>
        <stp>U.RANGE_REF_f43417df-bfa2-4881-944b-61251d96d088</stp>
        <stp>[REF]{{36844#1722745292672!R1C1}}</stp>
        <tr r="AA5" s="2"/>
      </tp>
      <tp t="s">
        <v>Script CAPTURE_TICKER_INFO updated</v>
        <stp/>
        <stp>U.CREATE_SCRIPT_ed198592-8600-465a-a63f-794804e4e20f</stp>
        <tr r="C7" s="35"/>
      </tp>
      <tp t="s">
        <v>[REF]{{36844#1722745299424!R1C1}}</v>
        <stp/>
        <stp>U.RANGE_REF_089eebae-2e42-4d35-a007-0325d577cae0</stp>
        <stp>[REF]{{36844#1722745299424!R1C1}}</stp>
        <tr r="AA6" s="2"/>
      </tp>
      <tp t="s">
        <v>[REF]{{36844#1722745698960!R1C1}}</v>
        <stp/>
        <stp>U.RANGE_REF_3dc72eae-82f5-4fc3-b407-6bb6d38a0d2f</stp>
        <stp>[REF]{{36844#1722745698960!R1C1}}</stp>
        <tr r="AA17" s="2"/>
      </tp>
    </main>
    <main first="rtdsrv_a79cedaf57014ef19e6af00360ead6ad">
      <tp t="e">
        <v>#N/A</v>
        <stp/>
        <stp/>
        <stp>[REF]{{BAD}}</stp>
        <tr r="X25" s="2"/>
        <tr r="X21" s="2"/>
        <tr r="X22" s="2"/>
        <tr r="X20" s="2"/>
        <tr r="X23" s="2"/>
        <tr r="X24" s="2"/>
      </tp>
    </main>
    <main first="rtdsrv_a79cedaf57014ef19e6af00360ead6ad">
      <tp t="s">
        <v/>
        <stp/>
        <stp>U.GET_CLICK_VALS_U_ADVANCEDUSAGERECIPES.XLSX|ROWCLICKED</stp>
        <tr r="C32" s="36"/>
      </tp>
      <tp t="s">
        <v>RowClicked</v>
        <stp/>
        <stp>U.SET_CLICK_VALS_U_ADVANCEDUSAGERECIPES.XLSX|ROWCLICKED</stp>
        <tr r="C31" s="36"/>
      </tp>
      <tp t="b">
        <v>0</v>
        <stp/>
        <stp>U.GET_CLICK_VALS_U_ADVANCEDUSAGERECIPES.XLSX|MINIMIZED|U_INSTALLTEST_PUB.XLSX</stp>
        <tr r="C20" s="34"/>
      </tp>
      <tp t="b">
        <v>0</v>
        <stp/>
        <stp>U.GET_CLICK_VALS_U_ADVANCEDUSAGERECIPES.XLSX|MINIMIZED|U_INSTALLTEST_SUB.XLSX</stp>
        <tr r="C35" s="34"/>
      </tp>
    </main>
    <main first="rtdsrv_ab51e0f0992847f0bb0b7bc05041e097">
      <tp t="s">
        <v>UPTICK/EQUITIES/TRADE_LIST | 2026-02-19 10:53:11.308</v>
        <stp/>
        <stp>UPTICK/EQUITIES/TRADE_LIST</stp>
        <tr r="C5" s="26"/>
      </tp>
    </main>
    <main first="rtdsrv_a79cedaf57014ef19e6af00360ead6ad">
      <tp>
        <v>100</v>
        <stp/>
        <stp>U.GET_CLICK_VALS_U_ADVANCEDUSAGERECIPES.XLSX|ZOOM|U_INSTALLTEST_PUB.XLSX</stp>
        <tr r="C21" s="34"/>
      </tp>
      <tp>
        <v>100</v>
        <stp/>
        <stp>U.GET_CLICK_VALS_U_ADVANCEDUSAGERECIPES.XLSX|ZOOM|U_INSTALLTEST_SUB.XLSX</stp>
        <tr r="C36" s="34"/>
      </tp>
      <tp t="s">
        <v>Zoom</v>
        <stp/>
        <stp>U.SET_CLICK_VALS_U_ADVANCEDUSAGERECIPES.XLSX|ZOOM|U_INSTALLTEST_PUB.XLSX</stp>
        <tr r="W21" s="34"/>
      </tp>
      <tp t="s">
        <v>Zoom</v>
        <stp/>
        <stp>U.SET_CLICK_VALS_U_ADVANCEDUSAGERECIPES.XLSX|ZOOM|U_INSTALLTEST_SUB.XLSX</stp>
        <tr r="W36" s="34"/>
      </tp>
      <tp t="s">
        <v>[REF]{{36844#1722745515280!R1C3}}</v>
        <stp/>
        <stp>U.RANGE_REF_2a4748c1-ad2b-4e55-87d1-e9357084430e</stp>
        <stp>[REF]{{BAD}}</stp>
        <tr r="X12" s="2"/>
      </tp>
    </main>
    <main first="rtdsrv_a79cedaf57014ef19e6af00360ead6ad">
      <tp t="s">
        <v>[REF]{{36844#1722745504432!R1C3}}</v>
        <stp/>
        <stp>U.RANGE_REF_b33ecfde-a8f4-4925-ba4f-b75cf9ee0cd5</stp>
        <stp>[REF]{{BAD}}</stp>
        <tr r="X11" s="2"/>
      </tp>
      <tp t="s">
        <v>[REF]{{36844#1722745299424!R1C3}}</v>
        <stp/>
        <stp>U.RANGE_REF_d2f6dd7f-a969-4cbd-8e34-bee0a06fcc03</stp>
        <stp>[REF]{{BAD}}</stp>
        <tr r="X6" s="2"/>
      </tp>
    </main>
    <main first="rtdsrv_a79cedaf57014ef19e6af00360ead6ad">
      <tp t="s">
        <v>[REF]{{36844#1722745701600!R1C3}}</v>
        <stp/>
        <stp>U.RANGE_REF_abf4fc57-567e-4bf3-a8fe-ee9a4791c516</stp>
        <stp>[REF]{{BAD}}</stp>
        <tr r="X18" s="2"/>
      </tp>
      <tp t="s">
        <v>[REF]{{36844#1722745692208!R1C3}}</v>
        <stp/>
        <stp>U.RANGE_REF_60ed0c8c-2408-4e1a-9348-ebe200661e3b</stp>
        <stp>[REF]{{BAD}}</stp>
        <tr r="X16" s="2"/>
      </tp>
    </main>
    <main first="rtdsrv_ab51e0f0992847f0bb0b7bc05041e097">
      <tp t="s">
        <v>UPTICK/EXAMPLES/SERVER_LOAN_CALCULATOR.INPUT_CONTROL_VALS</v>
        <stp/>
        <stp>UPTICK/EXAMPLES/SERVER_LOAN_CALCULATOR.INPUT_CONTROL_VALS</stp>
        <tr r="C110" s="32"/>
      </tp>
    </main>
    <main first="rtdsrv_a79cedaf57014ef19e6af00360ead6ad">
      <tp t="s">
        <v>[REF]{{36844#1722745131040!R1C3}}</v>
        <stp/>
        <stp>U.RANGE_REF_e95f08b7-ad7e-4949-90c3-f5660a4d2624</stp>
        <stp>[REF]{{BAD}}</stp>
        <tr r="X4" s="2"/>
      </tp>
      <tp t="s">
        <v>sheet_nav</v>
        <stp/>
        <stp>U.SET_CLICK_VALS_U_ADVANCEDUSAGERECIPES.XLSX|SHEET_NAV</stp>
        <tr r="Y4" s="2"/>
      </tp>
    </main>
    <main first="rtdsrv_a79cedaf57014ef19e6af00360ead6ad">
      <tp t="s">
        <v>[REF]{{36844#1722745308816!R1C3}}</v>
        <stp/>
        <stp>U.RANGE_REF_1607b36b-e3b3-4d79-a3e1-5c6f03185a6a</stp>
        <stp>[REF]{{BAD}}</stp>
        <tr r="X8" s="2"/>
      </tp>
    </main>
    <main first="rtdsrv_a79cedaf57014ef19e6af00360ead6ad">
      <tp t="s">
        <v>[REF]{{36844#1722745501792!R1C3}}</v>
        <stp/>
        <stp>U.RANGE_REF_cf6c93cf-b658-4a7f-9130-df42e2b0a633</stp>
        <stp>[REF]{{BAD}}</stp>
        <tr r="X10" s="2"/>
      </tp>
      <tp t="s">
        <v>COPY VALS</v>
        <stp/>
        <stp>U.SET_CLICK_VALS_U_ADVANCEDUSAGERECIPES.XLSX|COPY VALS</stp>
        <tr r="S5" s="30"/>
      </tp>
      <tp>
        <v>0</v>
        <stp/>
        <stp>U.GET_CLICK_VALS_U_ADVANCEDUSAGERECIPES.XLSX|COPY VALS</stp>
        <tr r="G30" s="30"/>
        <tr r="G7" s="30"/>
      </tp>
      <tp t="s">
        <v>TOPIC = UPTICK/EQUITIES/OTC_POSITIONS; TWO WAY ID = BPCLM</v>
        <stp/>
        <stp>TOPIC = UPTICK/EQUITIES/OTC_POSITIONS; TWO WAY ID = BPCLM</stp>
        <tr r="K9" s="1"/>
      </tp>
    </main>
    <main first="rtdsrv_a79cedaf57014ef19e6af00360ead6ad">
      <tp t="s">
        <v>RUN SCRIPT</v>
        <stp/>
        <stp>U.SET_CLICK_VALS_U_ADVANCEDUSAGERECIPES.XLSX|RUN SCRIPT</stp>
        <tr r="W3" s="35"/>
      </tp>
    </main>
    <main first="rtdsrv_ab51e0f0992847f0bb0b7bc05041e097">
      <tp t="s">
        <v>UPTICK/RANDOM_DATA/VALS</v>
        <stp/>
        <stp>UPTICK/RANDOM_DATA/VALS</stp>
        <tr r="G30" s="31"/>
      </tp>
    </main>
    <main first="rtdsrv_a79cedaf57014ef19e6af00360ead6ad">
      <tp t="s">
        <v/>
        <stp/>
        <stp>U.WATCH_FILES_C:\TEST|GROUP_*_VALS.TXT|FALSE|0</stp>
        <tr r="C8" s="33"/>
      </tp>
    </main>
    <main first="rtdsrv_a79cedaf57014ef19e6af00360ead6ad">
      <tp t="s">
        <v/>
        <stp/>
        <stp>U.GET_CLICK_VALS_U_ADVANCEDUSAGERECIPES.XLSX|STRATCLICKED</stp>
        <tr r="C39" s="36"/>
      </tp>
    </main>
    <main first="rtdsrv_ab51e0f0992847f0bb0b7bc05041e097">
      <tp t="s">
        <v>UPTICK/RANDOM_DATA/VALS_2 | 2026-02-19 10:53:23.103</v>
        <stp/>
        <stp>UPTICK/RANDOM_DATA/VALS_2</stp>
        <tr r="G53" s="31"/>
      </tp>
    </main>
    <main first="rtdsrv_a79cedaf57014ef19e6af00360ead6ad">
      <tp t="s">
        <v>COPY VALS 2</v>
        <stp/>
        <stp>U.SET_CLICK_VALS_U_ADVANCEDUSAGERECIPES.XLSX|COPY VALS 2</stp>
        <tr r="G45" s="30"/>
      </tp>
    </main>
    <main first="rtdsrv_a79cedaf57014ef19e6af00360ead6ad">
      <tp>
        <v>0.45370370370073942</v>
        <stp/>
        <stp>U.TIME_5000_X</stp>
        <tr r="G31" s="29"/>
      </tp>
    </main>
    <main first="rtdsrv_ab51e0f0992847f0bb0b7bc05041e097">
      <tp t="s">
        <v>UPTICK/EQUITIES/REF_DATA | 2026-02-19 10:53:05.170</v>
        <stp/>
        <stp>UPTICK/EQUITIES/REF_DATA</stp>
        <tr r="C32" s="27"/>
      </tp>
    </main>
    <main first="rtdsrv_a79cedaf57014ef19e6af00360ead6ad">
      <tp t="s">
        <v>Clean</v>
        <stp/>
        <stp>U.SET_CLICK_VALS_U_ADVANCEDUSAGERECIPES.XLSX|CLEAN|U_INSTALLTEST_PUB.XLSX</stp>
        <tr r="W19" s="34"/>
      </tp>
      <tp t="s">
        <v>Clean</v>
        <stp/>
        <stp>U.SET_CLICK_VALS_U_ADVANCEDUSAGERECIPES.XLSX|CLEAN|U_INSTALLTEST_SUB.XLSX</stp>
        <tr r="W34" s="34"/>
      </tp>
      <tp t="s">
        <v>Close</v>
        <stp/>
        <stp>U.SET_CLICK_VALS_U_ADVANCEDUSAGERECIPES.XLSX|CLOSE|U_INSTALLTEST_SUB.XLSX</stp>
        <tr r="W48" s="34"/>
      </tp>
      <tp t="s">
        <v>Close</v>
        <stp/>
        <stp>U.SET_CLICK_VALS_U_ADVANCEDUSAGERECIPES.XLSX|CLOSE|U_INSTALLTEST_PUB.XLSX</stp>
        <tr r="W29" s="34"/>
      </tp>
    </main>
    <main first="rtdsrv_ab51e0f0992847f0bb0b7bc05041e097">
      <tp t="s">
        <v>UPTICK/EXAMPLES/DEBT_COUNTER.IS_MID_EDIT</v>
        <stp/>
        <stp>UPTICK/EXAMPLES/DEBT_COUNTER.IS_MID_EDIT</stp>
        <tr r="G49" s="32"/>
      </tp>
    </main>
    <main first="rtdsrv_a79cedaf57014ef19e6af00360ead6ad">
      <tp t="s">
        <v>[REF]{{36844#1722745495040!R1C1}}</v>
        <stp/>
        <stp>U.RANGE_REF_960af1ac-c84f-47b8-b636-977fad4372fd</stp>
        <stp>[REF]{{36844#1722745495040!R1C1}}</stp>
        <tr r="AA9" s="2"/>
      </tp>
    </main>
    <main first="rtdsrv_a79cedaf57014ef19e6af00360ead6ad">
      <tp t="b">
        <v>0</v>
        <stp/>
        <stp>U.GET_CLICK_VALS_U_ADVANCEDUSAGERECIPES.XLSX|LAUNCH</stp>
        <tr r="B7" s="34"/>
      </tp>
      <tp t="s">
        <v>LAUNCH</v>
        <stp/>
        <stp>U.SET_CLICK_VALS_U_ADVANCEDUSAGERECIPES.XLSX|LAUNCH</stp>
        <tr r="B6" s="34"/>
      </tp>
    </main>
    <main first="rtdsrv_a79cedaf57014ef19e6af00360ead6ad">
      <tp t="s">
        <v>[REF]{{36844#1722745131040!R1C1}}</v>
        <stp/>
        <stp>U.RANGE_REF_17aaf631-c2a9-43ae-badf-c37e3b1dd132</stp>
        <stp>[REF]{{36844#1722745131040!R1C1}}</stp>
        <tr r="AA4" s="2"/>
      </tp>
      <tp t="s">
        <v>[REF]{{36844#1722745302064!R1C1}}</v>
        <stp/>
        <stp>U.RANGE_REF_88c7cf01-a1e7-46d4-af18-d0eddd8d208d</stp>
        <stp>[REF]{{36844#1722745302064!R1C1}}</stp>
        <tr r="AA7" s="2"/>
      </tp>
      <tp t="b">
        <v>0</v>
        <stp/>
        <stp>U.GET_CLICK_VALS_U_ADVANCEDUSAGERECIPES.XLSX|FORMULAS|U_INSTALLTEST_SUB.XLSX</stp>
        <tr r="C47" s="34"/>
      </tp>
      <tp t="b">
        <v>0</v>
        <stp/>
        <stp>U.GET_CLICK_VALS_U_ADVANCEDUSAGERECIPES.XLSX|FORMULAS|U_INSTALLTEST_PUB.XLSX</stp>
        <tr r="C28" s="34"/>
      </tp>
      <tp t="s">
        <v>[REF]{{36844#1722745701600!R1C1}}</v>
        <stp/>
        <stp>U.RANGE_REF_8fc75f14-f0a7-4b6d-ab7e-f63937006e68</stp>
        <stp>[REF]{{36844#1722745701600!R1C1}}</stp>
        <tr r="AA18" s="2"/>
      </tp>
      <tp t="s">
        <v>Formulas</v>
        <stp/>
        <stp>U.SET_CLICK_VALS_U_ADVANCEDUSAGERECIPES.XLSX|FORMULAS|U_INSTALLTEST_SUB.XLSX</stp>
        <tr r="W47" s="34"/>
      </tp>
      <tp t="s">
        <v>Formulas</v>
        <stp/>
        <stp>U.SET_CLICK_VALS_U_ADVANCEDUSAGERECIPES.XLSX|FORMULAS|U_INSTALLTEST_PUB.XLSX</stp>
        <tr r="W28" s="34"/>
      </tp>
    </main>
    <main first="rtdsrv_a79cedaf57014ef19e6af00360ead6ad">
      <tp t="s">
        <v>[REF]{{36844#1722745515280!R1C1}}</v>
        <stp/>
        <stp>U.RANGE_REF_2f544390-5b1b-4685-a0f4-c8929b59e623</stp>
        <stp>[REF]{{36844#1722745515280!R1C1}}</stp>
        <tr r="AA12" s="2"/>
      </tp>
      <tp t="s">
        <v>[REF]{{36844#1722745720640!R1C1}}</v>
        <stp/>
        <stp>U.RANGE_REF_447b24d0-6a74-4a8d-9060-bdfc11d895c9</stp>
        <stp>[REF]{{36844#1722745720640!R1C1}}</stp>
        <tr r="AA19" s="2"/>
      </tp>
    </main>
    <main first="rtdsrv_a79cedaf57014ef19e6af00360ead6ad">
      <tp t="s">
        <v>[REF]{{36844#1722745308816!R1C1}}</v>
        <stp/>
        <stp>U.RANGE_REF_60a76097-a435-4d63-a203-1c253d647a4a</stp>
        <stp>[REF]{{36844#1722745308816!R1C1}}</stp>
        <tr r="AA8" s="2"/>
      </tp>
      <tp t="b">
        <v>0</v>
        <stp/>
        <stp>U.GET_CLICK_VALS_U_ADVANCEDUSAGERECIPES.XLSX|CLEAN|U_INSTALLTEST_PUB.XLSX</stp>
        <tr r="C19" s="34"/>
      </tp>
      <tp t="b">
        <v>0</v>
        <stp/>
        <stp>U.GET_CLICK_VALS_U_ADVANCEDUSAGERECIPES.XLSX|CLEAN|U_INSTALLTEST_SUB.XLSX</stp>
        <tr r="C34" s="34"/>
      </tp>
      <tp t="b">
        <v>0</v>
        <stp/>
        <stp>U.GET_CLICK_VALS_U_ADVANCEDUSAGERECIPES.XLSX|CLOSE|U_INSTALLTEST_SUB.XLSX</stp>
        <tr r="C48" s="34"/>
      </tp>
      <tp t="b">
        <v>0</v>
        <stp/>
        <stp>U.GET_CLICK_VALS_U_ADVANCEDUSAGERECIPES.XLSX|CLOSE|U_INSTALLTEST_PUB.XLSX</stp>
        <tr r="C29" s="34"/>
      </tp>
      <tp t="s">
        <v>DISABLE</v>
        <stp/>
        <stp>U.GET_CLICK_VALS_U_ADVANCEDUSAGERECIPES.XLSX|TOGGLE</stp>
        <tr r="W4" s="32"/>
      </tp>
      <tp t="s">
        <v>toggle</v>
        <stp/>
        <stp>U.SET_CLICK_VALS_U_ADVANCEDUSAGERECIPES.XLSX|TOGGLE</stp>
        <tr r="W3" s="32"/>
      </tp>
      <tp t="s">
        <v>[REF]{{36844#1722745596976!R1C1}}</v>
        <stp/>
        <stp>U.RANGE_REF_671c7418-5573-480b-82e1-d4e08e23cde5</stp>
        <stp>[REF]{{36844#1722745596976!R1C1}}</stp>
        <tr r="AA15" s="2"/>
      </tp>
    </main>
  </volType>
</volType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 Target="richData/rdrichvalue.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22/10/relationships/richValueRel" Target="richData/richValueRel.xml"/><Relationship Id="rId27" Type="http://schemas.openxmlformats.org/officeDocument/2006/relationships/volatileDependencies" Target="volatileDependenci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7.bin"/><Relationship Id="rId1" Type="http://schemas.openxmlformats.org/officeDocument/2006/relationships/hyperlink" Target="mailto:bob@abcorp.com" TargetMode="Externa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25"/>
  <sheetViews>
    <sheetView tabSelected="1" zoomScaleNormal="100" workbookViewId="0">
      <pane xSplit="4" ySplit="20" topLeftCell="E21" activePane="bottomRight" state="frozen"/>
      <selection pane="topRight" activeCell="E1" sqref="E1"/>
      <selection pane="bottomLeft" activeCell="A21" sqref="A21"/>
      <selection pane="bottomRight"/>
    </sheetView>
  </sheetViews>
  <sheetFormatPr defaultRowHeight="14.4" x14ac:dyDescent="0.3"/>
  <cols>
    <col min="1" max="1" width="2.33203125" customWidth="1"/>
    <col min="2" max="2" width="53.5546875" bestFit="1" customWidth="1"/>
    <col min="3" max="3" width="140.88671875" bestFit="1" customWidth="1"/>
    <col min="4" max="4" width="5" customWidth="1"/>
    <col min="23" max="23" width="24" bestFit="1" customWidth="1"/>
    <col min="24" max="24" width="36.6640625" bestFit="1" customWidth="1"/>
    <col min="25" max="25" width="20.33203125" bestFit="1" customWidth="1"/>
    <col min="26" max="26" width="26.88671875" bestFit="1" customWidth="1"/>
    <col min="27" max="27" width="29" bestFit="1" customWidth="1"/>
    <col min="28" max="28" width="19.5546875" bestFit="1" customWidth="1"/>
  </cols>
  <sheetData>
    <row r="1" spans="1:28" ht="34.5" customHeight="1" x14ac:dyDescent="0.3">
      <c r="A1" s="146"/>
      <c r="B1" s="207" t="e" vm="1">
        <v>#VALUE!</v>
      </c>
      <c r="C1" s="14" t="s">
        <v>17</v>
      </c>
      <c r="D1" s="7"/>
    </row>
    <row r="2" spans="1:28" ht="15" thickBot="1" x14ac:dyDescent="0.35">
      <c r="A2" s="6"/>
      <c r="B2" s="2" t="s">
        <v>16</v>
      </c>
      <c r="C2" s="2" t="s">
        <v>0</v>
      </c>
      <c r="D2" s="8"/>
      <c r="W2" s="210" t="s">
        <v>257</v>
      </c>
      <c r="X2" s="210"/>
      <c r="Y2" s="210"/>
      <c r="Z2" s="210"/>
      <c r="AA2" s="210"/>
      <c r="AB2" s="210"/>
    </row>
    <row r="3" spans="1:28" x14ac:dyDescent="0.3">
      <c r="A3" s="6"/>
      <c r="B3" s="208" t="s">
        <v>28</v>
      </c>
      <c r="C3" s="209"/>
      <c r="D3" s="8"/>
      <c r="W3" s="121" t="s">
        <v>251</v>
      </c>
      <c r="X3" s="121" t="s">
        <v>252</v>
      </c>
      <c r="Y3" s="163" t="s">
        <v>261</v>
      </c>
      <c r="Z3" s="147" t="s">
        <v>253</v>
      </c>
      <c r="AA3" s="148" t="s">
        <v>254</v>
      </c>
      <c r="AB3" s="149" t="s">
        <v>262</v>
      </c>
    </row>
    <row r="4" spans="1:28" x14ac:dyDescent="0.3">
      <c r="A4" s="6"/>
      <c r="B4" s="141" t="s">
        <v>130</v>
      </c>
      <c r="C4" s="1" t="s">
        <v>147</v>
      </c>
      <c r="D4" s="8"/>
      <c r="W4" s="119" t="str">
        <f>SUBSTITUTE(SUBSTITUTE(B4," ","_"),"-","_")</f>
        <v>Interactive_Web_Reports</v>
      </c>
      <c r="X4" s="119" t="str" cm="1">
        <f t="array" ref="X4">_xll.U.RANGE_REF(W4,TRUE)</f>
        <v>[REF]{{36844#1722745131040!R1C3}}</v>
      </c>
      <c r="Y4" s="142" t="str" cm="1">
        <f t="array" ref="Y4">_xll.U.SET_CLICKVALS("sheet_nav",B4:B27,X4:X25)</f>
        <v>sheet_nav</v>
      </c>
      <c r="Z4" s="143" t="str">
        <f t="array" ref="Z4:Z25">_xll.U.SUBRANGE(_xll.U.WORKSHEET_NAME("*"),2)&amp;"!A1"</f>
        <v>Interactive Web Report!A1</v>
      </c>
      <c r="AA4" s="119" t="str" cm="1">
        <f t="array" ref="AA4">_xll.U.RANGE_REF(Z4,TRUE)</f>
        <v>[REF]{{36844#1722745131040!R1C1}}</v>
      </c>
      <c r="AB4" s="145" t="str" cm="1">
        <f t="array" ref="AB4">_xll.U.SET_CLICKVALS("back_nav",AA4:AA25,_xll.U.RANGE_REF($A$1),,,,"ALL")</f>
        <v>back_nav</v>
      </c>
    </row>
    <row r="5" spans="1:28" x14ac:dyDescent="0.3">
      <c r="A5" s="6"/>
      <c r="B5" s="141" t="s">
        <v>268</v>
      </c>
      <c r="C5" s="1" t="s">
        <v>269</v>
      </c>
      <c r="D5" s="8"/>
      <c r="W5" s="119" t="str">
        <f t="shared" ref="W5:W25" si="0">SUBSTITUTE(SUBSTITUTE(B5," ","_"),"-","_")</f>
        <v>Iterative_Calculations</v>
      </c>
      <c r="X5" s="119" t="str" cm="1">
        <f t="array" ref="X5">_xll.U.RANGE_REF(W5,TRUE)</f>
        <v>[REF]{{36844#1722745292672!R1C3}}</v>
      </c>
      <c r="Y5" s="142"/>
      <c r="Z5" s="143" t="str">
        <v>Iterative Calculations #init()!A1</v>
      </c>
      <c r="AA5" s="119" t="str" cm="1">
        <f t="array" ref="AA5">_xll.U.RANGE_REF(Z5,TRUE)</f>
        <v>[REF]{{36844#1722745292672!R1C1}}</v>
      </c>
      <c r="AB5" s="145"/>
    </row>
    <row r="6" spans="1:28" x14ac:dyDescent="0.3">
      <c r="A6" s="6"/>
      <c r="B6" s="141" t="s">
        <v>492</v>
      </c>
      <c r="C6" s="1" t="s">
        <v>505</v>
      </c>
      <c r="D6" s="8"/>
      <c r="W6" s="119" t="str">
        <f t="shared" si="0"/>
        <v>Live_Pivot_Table</v>
      </c>
      <c r="X6" s="119" t="str" cm="1">
        <f t="array" ref="X6">_xll.U.RANGE_REF(W6,TRUE)</f>
        <v>[REF]{{36844#1722745299424!R1C3}}</v>
      </c>
      <c r="Y6" s="142"/>
      <c r="Z6" s="143" t="str">
        <v>Live Pivot Table!A1</v>
      </c>
      <c r="AA6" s="119" t="str" cm="1">
        <f t="array" ref="AA6">_xll.U.RANGE_REF(Z6,TRUE)</f>
        <v>[REF]{{36844#1722745299424!R1C1}}</v>
      </c>
      <c r="AB6" s="145"/>
    </row>
    <row r="7" spans="1:28" x14ac:dyDescent="0.3">
      <c r="A7" s="6"/>
      <c r="B7" s="141" t="s">
        <v>123</v>
      </c>
      <c r="C7" s="1" t="s">
        <v>124</v>
      </c>
      <c r="D7" s="8"/>
      <c r="W7" s="119" t="str">
        <f t="shared" si="0"/>
        <v>Throttling_Subscribes</v>
      </c>
      <c r="X7" s="119" t="str" cm="1">
        <f t="array" ref="X7">_xll.U.RANGE_REF(W7,TRUE)</f>
        <v>[REF]{{36844#1722745302064!R1C3}}</v>
      </c>
      <c r="Y7" s="142"/>
      <c r="Z7" s="143" t="str">
        <v>Throttling Subscribes!A1</v>
      </c>
      <c r="AA7" s="119" t="str" cm="1">
        <f t="array" ref="AA7">_xll.U.RANGE_REF(Z7,TRUE)</f>
        <v>[REF]{{36844#1722745302064!R1C1}}</v>
      </c>
      <c r="AB7" s="145"/>
    </row>
    <row r="8" spans="1:28" x14ac:dyDescent="0.3">
      <c r="A8" s="6"/>
      <c r="B8" s="141" t="s">
        <v>98</v>
      </c>
      <c r="C8" s="1" t="s">
        <v>99</v>
      </c>
      <c r="D8" s="8"/>
      <c r="W8" s="119" t="str">
        <f t="shared" si="0"/>
        <v>Throttling_Publishes</v>
      </c>
      <c r="X8" s="119" t="str" cm="1">
        <f t="array" ref="X8">_xll.U.RANGE_REF(W8,TRUE)</f>
        <v>[REF]{{36844#1722745308816!R1C3}}</v>
      </c>
      <c r="Y8" s="142"/>
      <c r="Z8" s="143" t="str">
        <v>Throttling Publishes!A1</v>
      </c>
      <c r="AA8" s="119" t="str" cm="1">
        <f t="array" ref="AA8">_xll.U.RANGE_REF(Z8,TRUE)</f>
        <v>[REF]{{36844#1722745308816!R1C1}}</v>
      </c>
      <c r="AB8" s="145"/>
    </row>
    <row r="9" spans="1:28" x14ac:dyDescent="0.3">
      <c r="A9" s="6"/>
      <c r="B9" s="141" t="s">
        <v>103</v>
      </c>
      <c r="C9" s="1" t="s">
        <v>102</v>
      </c>
      <c r="D9" s="8"/>
      <c r="W9" s="119" t="str">
        <f t="shared" si="0"/>
        <v>Controlling_Messages</v>
      </c>
      <c r="X9" s="119" t="str" cm="1">
        <f t="array" ref="X9">_xll.U.RANGE_REF(W9,TRUE)</f>
        <v>[REF]{{36844#1722745495040!R1C3}}</v>
      </c>
      <c r="Y9" s="142"/>
      <c r="Z9" s="143" t="str">
        <v>Controlling Messages!A1</v>
      </c>
      <c r="AA9" s="119" t="str" cm="1">
        <f t="array" ref="AA9">_xll.U.RANGE_REF(Z9,TRUE)</f>
        <v>[REF]{{36844#1722745495040!R1C1}}</v>
      </c>
      <c r="AB9" s="145"/>
    </row>
    <row r="10" spans="1:28" x14ac:dyDescent="0.3">
      <c r="A10" s="6"/>
      <c r="B10" s="141" t="s">
        <v>92</v>
      </c>
      <c r="C10" s="1" t="s">
        <v>97</v>
      </c>
      <c r="D10" s="8"/>
      <c r="W10" s="119" t="str">
        <f t="shared" si="0"/>
        <v>Forced_Recalculation</v>
      </c>
      <c r="X10" s="119" t="str" cm="1">
        <f t="array" ref="X10">_xll.U.RANGE_REF(W10,TRUE)</f>
        <v>[REF]{{36844#1722745501792!R1C3}}</v>
      </c>
      <c r="Y10" s="142"/>
      <c r="Z10" s="143" t="str">
        <v>Forced Recalculation!A1</v>
      </c>
      <c r="AA10" s="119" t="str" cm="1">
        <f t="array" ref="AA10">_xll.U.RANGE_REF(Z10,TRUE)</f>
        <v>[REF]{{36844#1722745501792!R1C1}}</v>
      </c>
      <c r="AB10" s="145"/>
    </row>
    <row r="11" spans="1:28" x14ac:dyDescent="0.3">
      <c r="A11" s="6"/>
      <c r="B11" s="141" t="s">
        <v>20</v>
      </c>
      <c r="C11" s="1" t="s">
        <v>21</v>
      </c>
      <c r="D11" s="8"/>
      <c r="W11" s="119" t="str">
        <f t="shared" si="0"/>
        <v>Concurrent_Publishers</v>
      </c>
      <c r="X11" s="119" t="str" cm="1">
        <f t="array" ref="X11">_xll.U.RANGE_REF(W11,TRUE)</f>
        <v>[REF]{{36844#1722745504432!R1C3}}</v>
      </c>
      <c r="Y11" s="142"/>
      <c r="Z11" s="143" t="str">
        <v>Concurrent Publishers!A1</v>
      </c>
      <c r="AA11" s="119" t="str" cm="1">
        <f t="array" ref="AA11">_xll.U.RANGE_REF(Z11,TRUE)</f>
        <v>[REF]{{36844#1722745504432!R1C1}}</v>
      </c>
      <c r="AB11" s="145"/>
    </row>
    <row r="12" spans="1:28" x14ac:dyDescent="0.3">
      <c r="A12" s="6"/>
      <c r="B12" s="141" t="s">
        <v>116</v>
      </c>
      <c r="C12" s="1" t="s">
        <v>117</v>
      </c>
      <c r="D12" s="8"/>
      <c r="W12" s="119" t="str">
        <f t="shared" si="0"/>
        <v>Reverting_Toggle</v>
      </c>
      <c r="X12" s="119" t="str" cm="1">
        <f t="array" ref="X12">_xll.U.RANGE_REF(W12,TRUE)</f>
        <v>[REF]{{36844#1722745515280!R1C3}}</v>
      </c>
      <c r="Y12" s="142"/>
      <c r="Z12" s="143" t="str">
        <v>Reverting Toggle!A1</v>
      </c>
      <c r="AA12" s="119" t="str" cm="1">
        <f t="array" ref="AA12">_xll.U.RANGE_REF(Z12,TRUE)</f>
        <v>[REF]{{36844#1722745515280!R1C1}}</v>
      </c>
      <c r="AB12" s="145"/>
    </row>
    <row r="13" spans="1:28" x14ac:dyDescent="0.3">
      <c r="A13" s="6"/>
      <c r="B13" s="141" t="s">
        <v>235</v>
      </c>
      <c r="C13" s="1" t="s">
        <v>236</v>
      </c>
      <c r="D13" s="8"/>
      <c r="W13" s="119" t="str">
        <f t="shared" si="0"/>
        <v>Remote_Controlling_Excel</v>
      </c>
      <c r="X13" s="119" t="str" cm="1">
        <f t="array" ref="X13">_xll.U.RANGE_REF(W13,TRUE)</f>
        <v>[REF]{{36844#1722745522032!R1C3}}</v>
      </c>
      <c r="Y13" s="142"/>
      <c r="Z13" s="143" t="str">
        <v>Remote Controlling Excel!A1</v>
      </c>
      <c r="AA13" s="119" t="str" cm="1">
        <f t="array" ref="AA13">_xll.U.RANGE_REF(Z13,TRUE)</f>
        <v>[REF]{{36844#1722745522032!R1C1}}</v>
      </c>
      <c r="AB13" s="145"/>
    </row>
    <row r="14" spans="1:28" x14ac:dyDescent="0.3">
      <c r="A14" s="6"/>
      <c r="B14" s="141" t="s">
        <v>49</v>
      </c>
      <c r="C14" s="1" t="s">
        <v>71</v>
      </c>
      <c r="D14" s="8"/>
      <c r="W14" s="119" t="str">
        <f t="shared" si="0"/>
        <v>Trade_Entry_Form</v>
      </c>
      <c r="X14" s="119" t="str" cm="1">
        <f t="array" ref="X14">_xll.U.RANGE_REF(W14,TRUE)</f>
        <v>[REF]{{36844#1722745524672!R1C3}}</v>
      </c>
      <c r="Y14" s="142"/>
      <c r="Z14" s="143" t="str">
        <v>Trade Entry Form!A1</v>
      </c>
      <c r="AA14" s="119" t="str" cm="1">
        <f t="array" ref="AA14">_xll.U.RANGE_REF(Z14,TRUE)</f>
        <v>[REF]{{36844#1722745524672!R1C1}}</v>
      </c>
      <c r="AB14" s="145"/>
    </row>
    <row r="15" spans="1:28" x14ac:dyDescent="0.3">
      <c r="A15" s="6"/>
      <c r="B15" s="141" t="s">
        <v>70</v>
      </c>
      <c r="C15" s="1" t="s">
        <v>72</v>
      </c>
      <c r="D15" s="8"/>
      <c r="W15" s="119" t="str">
        <f t="shared" si="0"/>
        <v>Time_Series_Report_Data</v>
      </c>
      <c r="X15" s="119" t="str" cm="1">
        <f t="array" ref="X15">_xll.U.RANGE_REF(W15,TRUE)</f>
        <v>[REF]{{36844#1722745596976!R1C3}}</v>
      </c>
      <c r="Y15" s="142"/>
      <c r="Z15" s="143" t="str">
        <v>Time Series Report Data!A1</v>
      </c>
      <c r="AA15" s="119" t="str" cm="1">
        <f t="array" ref="AA15">_xll.U.RANGE_REF(Z15,TRUE)</f>
        <v>[REF]{{36844#1722745596976!R1C1}}</v>
      </c>
      <c r="AB15" s="145"/>
    </row>
    <row r="16" spans="1:28" x14ac:dyDescent="0.3">
      <c r="A16" s="6"/>
      <c r="B16" s="141" t="s">
        <v>208</v>
      </c>
      <c r="C16" s="1" t="s">
        <v>234</v>
      </c>
      <c r="D16" s="8"/>
      <c r="W16" s="119" t="str">
        <f t="shared" si="0"/>
        <v>Processing_CSV_Files</v>
      </c>
      <c r="X16" s="119" t="str" cm="1">
        <f t="array" ref="X16">_xll.U.RANGE_REF(W16,TRUE)</f>
        <v>[REF]{{36844#1722745692208!R1C3}}</v>
      </c>
      <c r="Y16" s="142"/>
      <c r="Z16" s="143" t="str">
        <v>Processing CSV Files!A1</v>
      </c>
      <c r="AA16" s="119" t="str" cm="1">
        <f t="array" ref="AA16">_xll.U.RANGE_REF(Z16,TRUE)</f>
        <v>[REF]{{36844#1722745692208!R1C1}}</v>
      </c>
      <c r="AB16" s="145"/>
    </row>
    <row r="17" spans="1:28" x14ac:dyDescent="0.3">
      <c r="A17" s="6"/>
      <c r="B17" s="141" t="s">
        <v>91</v>
      </c>
      <c r="C17" s="1" t="s">
        <v>537</v>
      </c>
      <c r="D17" s="8"/>
      <c r="W17" s="119" t="str">
        <f t="shared" si="0"/>
        <v>Dynamically_Sized_Range</v>
      </c>
      <c r="X17" s="119" t="str" cm="1">
        <f t="array" ref="X17">_xll.U.RANGE_REF(W17,TRUE)</f>
        <v>[REF]{{36844#1722745698960!R1C3}}</v>
      </c>
      <c r="Y17" s="142"/>
      <c r="Z17" s="143" t="str">
        <v>Dynamically-Sized Range!A1</v>
      </c>
      <c r="AA17" s="119" t="str" cm="1">
        <f t="array" ref="AA17">_xll.U.RANGE_REF(Z17,TRUE)</f>
        <v>[REF]{{36844#1722745698960!R1C1}}</v>
      </c>
      <c r="AB17" s="145"/>
    </row>
    <row r="18" spans="1:28" x14ac:dyDescent="0.3">
      <c r="A18" s="6"/>
      <c r="B18" s="141" t="s">
        <v>508</v>
      </c>
      <c r="C18" s="1" t="s">
        <v>507</v>
      </c>
      <c r="D18" s="8"/>
      <c r="W18" s="119" t="str">
        <f t="shared" si="0"/>
        <v>Highlighted_Hover</v>
      </c>
      <c r="X18" s="119" t="str" cm="1">
        <f t="array" ref="X18">_xll.U.RANGE_REF(W18,TRUE)</f>
        <v>[REF]{{36844#1722745701600!R1C3}}</v>
      </c>
      <c r="Y18" s="142"/>
      <c r="Z18" s="143" t="str">
        <v>Highlighted Hover!A1</v>
      </c>
      <c r="AA18" s="119" t="str" cm="1">
        <f t="array" ref="AA18">_xll.U.RANGE_REF(Z18,TRUE)</f>
        <v>[REF]{{36844#1722745701600!R1C1}}</v>
      </c>
      <c r="AB18" s="145"/>
    </row>
    <row r="19" spans="1:28" x14ac:dyDescent="0.3">
      <c r="A19" s="6"/>
      <c r="B19" s="141" t="s">
        <v>489</v>
      </c>
      <c r="C19" s="1" t="s">
        <v>506</v>
      </c>
      <c r="D19" s="8"/>
      <c r="W19" s="119" t="str">
        <f t="shared" si="0"/>
        <v>Expandable_Grid</v>
      </c>
      <c r="X19" s="119" t="str" cm="1">
        <f t="array" ref="X19">_xll.U.RANGE_REF(W19,TRUE)</f>
        <v>[REF]{{36844#1722745720640!R1C3}}</v>
      </c>
      <c r="Y19" s="142"/>
      <c r="Z19" s="143" t="str">
        <v>Expandable Grid!A1</v>
      </c>
      <c r="AA19" s="119" t="str" cm="1">
        <f t="array" ref="AA19">_xll.U.RANGE_REF(Z19,TRUE)</f>
        <v>[REF]{{36844#1722745720640!R1C1}}</v>
      </c>
      <c r="AB19" s="145"/>
    </row>
    <row r="20" spans="1:28" x14ac:dyDescent="0.3">
      <c r="A20" s="6"/>
      <c r="B20" s="56" t="s">
        <v>536</v>
      </c>
      <c r="C20" s="9"/>
      <c r="D20" s="8"/>
      <c r="W20" s="119" t="str">
        <f t="shared" si="0"/>
        <v>*_this_sheet_illustrates_a_few_advanced_usages_that_require_a_combination_of_U_methods._Additional_scenarios_will_be_added_over_time</v>
      </c>
      <c r="X20" s="119" t="e" cm="1">
        <f t="array" ref="X20">_xll.U.RANGE_REF(W20,TRUE)</f>
        <v>#N/A</v>
      </c>
      <c r="Y20" s="142"/>
      <c r="Z20" s="143" t="e">
        <v>#N/A</v>
      </c>
      <c r="AA20" s="119" t="str" cm="1">
        <f t="array" ref="AA20">_xll.U.RANGE_REF(Z20,TRUE)</f>
        <v>[REF]{{BAD}}</v>
      </c>
      <c r="AB20" s="145"/>
    </row>
    <row r="21" spans="1:28" ht="15" thickBot="1" x14ac:dyDescent="0.35">
      <c r="A21" s="10"/>
      <c r="B21" s="11"/>
      <c r="C21" s="11"/>
      <c r="D21" s="12"/>
      <c r="W21" s="119" t="str">
        <f t="shared" si="0"/>
        <v/>
      </c>
      <c r="X21" s="119" t="e" cm="1">
        <f t="array" ref="X21">_xll.U.RANGE_REF(W21,TRUE)</f>
        <v>#N/A</v>
      </c>
      <c r="Y21" s="142"/>
      <c r="Z21" s="143" t="e">
        <v>#N/A</v>
      </c>
      <c r="AA21" s="119" t="str" cm="1">
        <f t="array" ref="AA21">_xll.U.RANGE_REF(Z21,TRUE)</f>
        <v>[REF]{{BAD}}</v>
      </c>
      <c r="AB21" s="145"/>
    </row>
    <row r="22" spans="1:28" x14ac:dyDescent="0.3">
      <c r="W22" s="119" t="str">
        <f t="shared" si="0"/>
        <v/>
      </c>
      <c r="X22" s="119" t="e" cm="1">
        <f t="array" ref="X22">_xll.U.RANGE_REF(W22,TRUE)</f>
        <v>#N/A</v>
      </c>
      <c r="Y22" s="142"/>
      <c r="Z22" s="143" t="e">
        <v>#N/A</v>
      </c>
      <c r="AA22" s="119" t="str" cm="1">
        <f t="array" ref="AA22">_xll.U.RANGE_REF(Z22,TRUE)</f>
        <v>[REF]{{BAD}}</v>
      </c>
      <c r="AB22" s="145"/>
    </row>
    <row r="23" spans="1:28" x14ac:dyDescent="0.3">
      <c r="B23" s="30"/>
      <c r="W23" s="119" t="str">
        <f t="shared" si="0"/>
        <v/>
      </c>
      <c r="X23" s="119" t="e" cm="1">
        <f t="array" ref="X23">_xll.U.RANGE_REF(W23,TRUE)</f>
        <v>#N/A</v>
      </c>
      <c r="Y23" s="142"/>
      <c r="Z23" s="143" t="e">
        <v>#N/A</v>
      </c>
      <c r="AA23" s="119" t="str" cm="1">
        <f t="array" ref="AA23">_xll.U.RANGE_REF(Z23,TRUE)</f>
        <v>[REF]{{BAD}}</v>
      </c>
      <c r="AB23" s="145"/>
    </row>
    <row r="24" spans="1:28" x14ac:dyDescent="0.3">
      <c r="W24" s="119" t="str">
        <f t="shared" si="0"/>
        <v/>
      </c>
      <c r="X24" s="119" t="e" cm="1">
        <f t="array" ref="X24">_xll.U.RANGE_REF(W24,TRUE)</f>
        <v>#N/A</v>
      </c>
      <c r="Y24" s="142"/>
      <c r="Z24" s="143" t="e">
        <v>#N/A</v>
      </c>
      <c r="AA24" s="119" t="str" cm="1">
        <f t="array" ref="AA24">_xll.U.RANGE_REF(Z24,TRUE)</f>
        <v>[REF]{{BAD}}</v>
      </c>
      <c r="AB24" s="145"/>
    </row>
    <row r="25" spans="1:28" ht="15" thickBot="1" x14ac:dyDescent="0.35">
      <c r="W25" s="119" t="str">
        <f t="shared" si="0"/>
        <v/>
      </c>
      <c r="X25" s="119" t="e" cm="1">
        <f t="array" ref="X25">_xll.U.RANGE_REF(W25,TRUE)</f>
        <v>#N/A</v>
      </c>
      <c r="Y25" s="142"/>
      <c r="Z25" s="192" t="e">
        <v>#N/A</v>
      </c>
      <c r="AA25" s="144" t="str" cm="1">
        <f t="array" ref="AA25">_xll.U.RANGE_REF(Z25,TRUE)</f>
        <v>[REF]{{BAD}}</v>
      </c>
      <c r="AB25" s="140"/>
    </row>
  </sheetData>
  <mergeCells count="2">
    <mergeCell ref="B3:C3"/>
    <mergeCell ref="W2:AB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S52"/>
  <sheetViews>
    <sheetView workbookViewId="0">
      <pane ySplit="1" topLeftCell="A2" activePane="bottomLeft" state="frozen"/>
      <selection pane="bottomLeft"/>
    </sheetView>
  </sheetViews>
  <sheetFormatPr defaultRowHeight="14.4" x14ac:dyDescent="0.3"/>
  <cols>
    <col min="2" max="2" width="23.88671875" customWidth="1"/>
    <col min="3" max="4" width="22.88671875" customWidth="1"/>
    <col min="5" max="5" width="17.6640625" customWidth="1"/>
    <col min="6" max="6" width="19.33203125" customWidth="1"/>
    <col min="7" max="7" width="17.44140625" customWidth="1"/>
    <col min="9" max="15" width="10.6640625" customWidth="1"/>
    <col min="19" max="19" width="13.33203125" bestFit="1" customWidth="1"/>
  </cols>
  <sheetData>
    <row r="1" spans="1:19" ht="34.5" customHeight="1" thickBot="1" x14ac:dyDescent="0.35">
      <c r="A1" s="146" t="s">
        <v>255</v>
      </c>
      <c r="B1" s="207" t="e" vm="1">
        <v>#VALUE!</v>
      </c>
      <c r="C1" s="214" t="s">
        <v>116</v>
      </c>
      <c r="D1" s="215"/>
      <c r="E1" s="25"/>
      <c r="F1" s="5"/>
      <c r="G1" s="5"/>
      <c r="H1" s="5"/>
      <c r="I1" s="5"/>
      <c r="J1" s="5"/>
      <c r="K1" s="5"/>
      <c r="L1" s="5"/>
      <c r="M1" s="5"/>
      <c r="N1" s="5"/>
      <c r="O1" s="7"/>
    </row>
    <row r="2" spans="1:19" ht="15" customHeight="1" x14ac:dyDescent="0.3">
      <c r="A2" s="6"/>
      <c r="B2" s="13"/>
      <c r="C2" s="13"/>
      <c r="D2" s="9"/>
      <c r="E2" s="9"/>
      <c r="F2" s="9"/>
      <c r="G2" s="9"/>
      <c r="H2" s="9"/>
      <c r="I2" s="9"/>
      <c r="J2" s="9"/>
      <c r="K2" s="9"/>
      <c r="L2" s="9"/>
      <c r="M2" s="9"/>
      <c r="N2" s="9"/>
      <c r="O2" s="8"/>
    </row>
    <row r="3" spans="1:19" x14ac:dyDescent="0.3">
      <c r="A3" s="6"/>
      <c r="B3" s="9"/>
      <c r="C3" s="9"/>
      <c r="D3" s="9"/>
      <c r="E3" s="9"/>
      <c r="F3" s="9"/>
      <c r="G3" s="9"/>
      <c r="H3" s="9"/>
      <c r="I3" s="9"/>
      <c r="J3" s="9"/>
      <c r="K3" s="9"/>
      <c r="L3" s="9"/>
      <c r="M3" s="9"/>
      <c r="N3" s="9"/>
      <c r="O3" s="8"/>
    </row>
    <row r="4" spans="1:19" x14ac:dyDescent="0.3">
      <c r="A4" s="6"/>
      <c r="B4" s="213" t="s">
        <v>121</v>
      </c>
      <c r="C4" s="213"/>
      <c r="D4" s="9"/>
      <c r="E4" s="9"/>
      <c r="F4" s="9"/>
      <c r="G4" s="9"/>
      <c r="H4" s="9"/>
      <c r="I4" s="9"/>
      <c r="J4" s="9"/>
      <c r="K4" s="9"/>
      <c r="L4" s="9"/>
      <c r="M4" s="9"/>
      <c r="N4" s="9"/>
      <c r="O4" s="8"/>
      <c r="S4" s="20" t="s">
        <v>304</v>
      </c>
    </row>
    <row r="5" spans="1:19" x14ac:dyDescent="0.3">
      <c r="A5" s="6"/>
      <c r="B5" s="89" t="s">
        <v>118</v>
      </c>
      <c r="C5" s="92" cm="1">
        <f t="array" ref="C5">_xll.U.NOW(1)</f>
        <v>46072.453738425924</v>
      </c>
      <c r="D5" s="9"/>
      <c r="E5" s="9"/>
      <c r="F5" s="9"/>
      <c r="G5" s="90" t="s">
        <v>305</v>
      </c>
      <c r="H5" s="9"/>
      <c r="I5" s="9"/>
      <c r="J5" s="9"/>
      <c r="K5" s="9"/>
      <c r="L5" s="9"/>
      <c r="M5" s="9"/>
      <c r="N5" s="9"/>
      <c r="O5" s="8"/>
      <c r="S5" s="84" t="str" cm="1">
        <f t="array" ref="S5">_xll.U.SET_CLICKVALS(G5,G5,1,,{0,1})</f>
        <v>COPY VALS</v>
      </c>
    </row>
    <row r="6" spans="1:19" x14ac:dyDescent="0.3">
      <c r="A6" s="6"/>
      <c r="B6" s="78" t="s">
        <v>119</v>
      </c>
      <c r="C6" s="78">
        <f>VALUE(RIGHT(C5,3))</f>
        <v>259</v>
      </c>
      <c r="D6" s="9"/>
      <c r="E6" s="9"/>
      <c r="F6" s="9"/>
      <c r="G6" s="9"/>
      <c r="H6" s="9"/>
      <c r="I6" s="9"/>
      <c r="J6" s="9"/>
      <c r="K6" s="9"/>
      <c r="L6" s="9"/>
      <c r="M6" s="9"/>
      <c r="N6" s="9"/>
      <c r="O6" s="8"/>
    </row>
    <row r="7" spans="1:19" x14ac:dyDescent="0.3">
      <c r="A7" s="6"/>
      <c r="B7" s="9"/>
      <c r="C7" s="9"/>
      <c r="D7" s="9"/>
      <c r="E7" s="9"/>
      <c r="F7" s="4" t="s">
        <v>116</v>
      </c>
      <c r="G7" s="22" t="b" cm="1">
        <f t="array" ref="G7">_xll.U.EVENT(_xll.U.GET_CLICKVAL(G5),,,,,,,TRUE)</f>
        <v>0</v>
      </c>
      <c r="H7" s="9"/>
      <c r="I7" s="9"/>
      <c r="J7" s="9"/>
      <c r="K7" s="9"/>
      <c r="L7" s="9"/>
      <c r="M7" s="9"/>
      <c r="N7" s="9"/>
      <c r="O7" s="8"/>
    </row>
    <row r="8" spans="1:19" x14ac:dyDescent="0.3">
      <c r="A8" s="6"/>
      <c r="B8" s="9"/>
      <c r="C8" s="9"/>
      <c r="D8" s="9"/>
      <c r="E8" s="9"/>
      <c r="F8" s="4" t="s">
        <v>122</v>
      </c>
      <c r="G8" s="22" t="str" cm="1">
        <f t="array" ref="G8">IF(G7,_xll.U.PASTE(B5:C6,B10:C11),"NO PASTE")</f>
        <v>NO PASTE</v>
      </c>
      <c r="H8" s="9"/>
      <c r="I8" s="9"/>
      <c r="J8" s="9"/>
      <c r="K8" s="9"/>
      <c r="L8" s="9"/>
      <c r="M8" s="9"/>
      <c r="N8" s="9"/>
      <c r="O8" s="8"/>
    </row>
    <row r="9" spans="1:19" x14ac:dyDescent="0.3">
      <c r="A9" s="6"/>
      <c r="B9" s="213" t="s">
        <v>120</v>
      </c>
      <c r="C9" s="213"/>
      <c r="D9" s="9"/>
      <c r="E9" s="9"/>
      <c r="F9" s="9"/>
      <c r="G9" s="9"/>
      <c r="H9" s="9"/>
      <c r="I9" s="9"/>
      <c r="J9" s="9"/>
      <c r="K9" s="9"/>
      <c r="L9" s="9"/>
      <c r="M9" s="9"/>
      <c r="N9" s="9"/>
      <c r="O9" s="8"/>
    </row>
    <row r="10" spans="1:19" x14ac:dyDescent="0.3">
      <c r="A10" s="6"/>
      <c r="B10" s="91" t="s">
        <v>118</v>
      </c>
      <c r="C10" s="93">
        <v>46072.453541666662</v>
      </c>
      <c r="D10" s="9"/>
      <c r="E10" s="9"/>
      <c r="F10" s="9"/>
      <c r="G10" s="9"/>
      <c r="H10" s="9"/>
      <c r="I10" s="9"/>
      <c r="J10" s="9"/>
      <c r="K10" s="9"/>
      <c r="L10" s="9"/>
      <c r="M10" s="9"/>
      <c r="N10" s="9"/>
      <c r="O10" s="8"/>
    </row>
    <row r="11" spans="1:19" x14ac:dyDescent="0.3">
      <c r="A11" s="9"/>
      <c r="B11" s="86" t="s">
        <v>119</v>
      </c>
      <c r="C11" s="86">
        <v>667</v>
      </c>
      <c r="D11" s="9"/>
      <c r="E11" s="9"/>
      <c r="F11" s="9"/>
      <c r="G11" s="9"/>
      <c r="H11" s="9"/>
      <c r="I11" s="9"/>
      <c r="J11" s="9"/>
      <c r="K11" s="9"/>
      <c r="L11" s="9"/>
      <c r="M11" s="9"/>
      <c r="N11" s="9"/>
      <c r="O11" s="8"/>
    </row>
    <row r="12" spans="1:19" x14ac:dyDescent="0.3">
      <c r="A12" s="9"/>
      <c r="B12" s="9"/>
      <c r="C12" s="9"/>
      <c r="D12" s="9"/>
      <c r="E12" s="9"/>
      <c r="F12" s="9"/>
      <c r="G12" s="9"/>
      <c r="H12" s="9"/>
      <c r="I12" s="9"/>
      <c r="J12" s="9"/>
      <c r="K12" s="9"/>
      <c r="L12" s="9"/>
      <c r="M12" s="9"/>
      <c r="N12" s="9"/>
      <c r="O12" s="8"/>
    </row>
    <row r="13" spans="1:19" x14ac:dyDescent="0.3">
      <c r="A13" s="9"/>
      <c r="B13" s="9"/>
      <c r="C13" s="9"/>
      <c r="D13" s="9"/>
      <c r="E13" s="9"/>
      <c r="F13" s="9"/>
      <c r="G13" s="9"/>
      <c r="H13" s="9"/>
      <c r="I13" s="9"/>
      <c r="J13" s="9"/>
      <c r="K13" s="9"/>
      <c r="L13" s="9"/>
      <c r="M13" s="9"/>
      <c r="N13" s="9"/>
      <c r="O13" s="8"/>
    </row>
    <row r="14" spans="1:19" x14ac:dyDescent="0.3">
      <c r="A14" s="9"/>
      <c r="B14" s="9"/>
      <c r="C14" s="9"/>
      <c r="D14" s="9"/>
      <c r="E14" s="9"/>
      <c r="F14" s="9"/>
      <c r="G14" s="200"/>
      <c r="H14" s="9"/>
      <c r="I14" s="9"/>
      <c r="J14" s="9"/>
      <c r="K14" s="9"/>
      <c r="L14" s="9"/>
      <c r="M14" s="9"/>
      <c r="N14" s="9"/>
      <c r="O14" s="8"/>
    </row>
    <row r="15" spans="1:19" x14ac:dyDescent="0.3">
      <c r="A15" s="9"/>
      <c r="B15" s="9"/>
      <c r="C15" s="9"/>
      <c r="D15" s="9"/>
      <c r="E15" s="9"/>
      <c r="F15" s="9"/>
      <c r="G15" s="9"/>
      <c r="H15" s="9"/>
      <c r="I15" s="9"/>
      <c r="J15" s="9"/>
      <c r="K15" s="9"/>
      <c r="L15" s="9"/>
      <c r="M15" s="9"/>
      <c r="N15" s="9"/>
      <c r="O15" s="8"/>
    </row>
    <row r="16" spans="1:19" x14ac:dyDescent="0.3">
      <c r="A16" s="9"/>
      <c r="B16" s="9"/>
      <c r="C16" s="9"/>
      <c r="D16" s="9"/>
      <c r="E16" s="9"/>
      <c r="F16" s="9"/>
      <c r="G16" s="9"/>
      <c r="H16" s="9"/>
      <c r="I16" s="9"/>
      <c r="J16" s="9"/>
      <c r="K16" s="9"/>
      <c r="L16" s="9"/>
      <c r="M16" s="9"/>
      <c r="N16" s="9"/>
      <c r="O16" s="8"/>
    </row>
    <row r="17" spans="1:15" x14ac:dyDescent="0.3">
      <c r="A17" s="9"/>
      <c r="B17" s="9"/>
      <c r="C17" s="9"/>
      <c r="D17" s="9"/>
      <c r="E17" s="9"/>
      <c r="F17" s="9"/>
      <c r="G17" s="9"/>
      <c r="H17" s="9"/>
      <c r="I17" s="9"/>
      <c r="J17" s="9"/>
      <c r="K17" s="9"/>
      <c r="L17" s="9"/>
      <c r="M17" s="9"/>
      <c r="N17" s="9"/>
      <c r="O17" s="8"/>
    </row>
    <row r="18" spans="1:15" x14ac:dyDescent="0.3">
      <c r="A18" s="9"/>
      <c r="B18" s="9"/>
      <c r="C18" s="9"/>
      <c r="D18" s="9"/>
      <c r="E18" s="9"/>
      <c r="F18" s="9"/>
      <c r="G18" s="9"/>
      <c r="H18" s="9"/>
      <c r="I18" s="9"/>
      <c r="J18" s="9"/>
      <c r="K18" s="9"/>
      <c r="L18" s="9"/>
      <c r="M18" s="9"/>
      <c r="N18" s="9"/>
      <c r="O18" s="8"/>
    </row>
    <row r="19" spans="1:15" x14ac:dyDescent="0.3">
      <c r="A19" s="9"/>
      <c r="B19" s="9"/>
      <c r="C19" s="9"/>
      <c r="D19" s="9"/>
      <c r="E19" s="9"/>
      <c r="F19" s="9"/>
      <c r="G19" s="9"/>
      <c r="H19" s="9"/>
      <c r="I19" s="9"/>
      <c r="J19" s="9"/>
      <c r="K19" s="9"/>
      <c r="L19" s="9"/>
      <c r="M19" s="9"/>
      <c r="N19" s="9"/>
      <c r="O19" s="8"/>
    </row>
    <row r="20" spans="1:15" x14ac:dyDescent="0.3">
      <c r="A20" s="9"/>
      <c r="B20" s="9"/>
      <c r="C20" s="9"/>
      <c r="D20" s="9"/>
      <c r="E20" s="9"/>
      <c r="F20" s="9"/>
      <c r="G20" s="9"/>
      <c r="H20" s="9"/>
      <c r="I20" s="9"/>
      <c r="J20" s="9"/>
      <c r="K20" s="9"/>
      <c r="L20" s="9"/>
      <c r="M20" s="9"/>
      <c r="N20" s="9"/>
      <c r="O20" s="8"/>
    </row>
    <row r="21" spans="1:15" x14ac:dyDescent="0.3">
      <c r="A21" s="9"/>
      <c r="B21" s="9"/>
      <c r="C21" s="9"/>
      <c r="D21" s="9"/>
      <c r="E21" s="9"/>
      <c r="F21" s="9"/>
      <c r="G21" s="9"/>
      <c r="H21" s="9"/>
      <c r="I21" s="9"/>
      <c r="J21" s="9"/>
      <c r="K21" s="9"/>
      <c r="L21" s="9"/>
      <c r="M21" s="9"/>
      <c r="N21" s="9"/>
      <c r="O21" s="8"/>
    </row>
    <row r="22" spans="1:15" x14ac:dyDescent="0.3">
      <c r="A22" s="9"/>
      <c r="B22" s="9"/>
      <c r="C22" s="9"/>
      <c r="D22" s="9"/>
      <c r="E22" s="9"/>
      <c r="F22" s="9"/>
      <c r="G22" s="9"/>
      <c r="H22" s="9"/>
      <c r="I22" s="9"/>
      <c r="J22" s="9"/>
      <c r="K22" s="9"/>
      <c r="L22" s="9"/>
      <c r="M22" s="9"/>
      <c r="N22" s="9"/>
      <c r="O22" s="8"/>
    </row>
    <row r="23" spans="1:15" x14ac:dyDescent="0.3">
      <c r="A23" s="9"/>
      <c r="B23" s="9"/>
      <c r="C23" s="9"/>
      <c r="D23" s="9"/>
      <c r="E23" s="9"/>
      <c r="F23" s="9"/>
      <c r="G23" s="9"/>
      <c r="H23" s="9"/>
      <c r="I23" s="9"/>
      <c r="J23" s="9"/>
      <c r="K23" s="9"/>
      <c r="L23" s="9"/>
      <c r="M23" s="9"/>
      <c r="N23" s="9"/>
      <c r="O23" s="8"/>
    </row>
    <row r="24" spans="1:15" x14ac:dyDescent="0.3">
      <c r="A24" s="9"/>
      <c r="B24" s="9"/>
      <c r="C24" s="9"/>
      <c r="D24" s="9"/>
      <c r="E24" s="9"/>
      <c r="F24" s="9"/>
      <c r="G24" s="9"/>
      <c r="H24" s="9"/>
      <c r="I24" s="9"/>
      <c r="J24" s="9"/>
      <c r="K24" s="9"/>
      <c r="L24" s="9"/>
      <c r="M24" s="9"/>
      <c r="N24" s="9"/>
      <c r="O24" s="8"/>
    </row>
    <row r="25" spans="1:15" x14ac:dyDescent="0.3">
      <c r="A25" s="9"/>
      <c r="B25" s="9"/>
      <c r="C25" s="9"/>
      <c r="D25" s="9"/>
      <c r="E25" s="9"/>
      <c r="F25" s="9"/>
      <c r="G25" s="9"/>
      <c r="H25" s="9"/>
      <c r="I25" s="9"/>
      <c r="J25" s="9"/>
      <c r="K25" s="9"/>
      <c r="L25" s="9"/>
      <c r="M25" s="9"/>
      <c r="N25" s="9"/>
      <c r="O25" s="8"/>
    </row>
    <row r="26" spans="1:15" x14ac:dyDescent="0.3">
      <c r="A26" s="9"/>
      <c r="B26" s="9"/>
      <c r="C26" s="9"/>
      <c r="D26" s="9"/>
      <c r="E26" s="9"/>
      <c r="F26" s="9"/>
      <c r="G26" s="9"/>
      <c r="H26" s="9"/>
      <c r="I26" s="9"/>
      <c r="J26" s="9"/>
      <c r="K26" s="9"/>
      <c r="L26" s="9"/>
      <c r="M26" s="9"/>
      <c r="N26" s="9"/>
      <c r="O26" s="8"/>
    </row>
    <row r="27" spans="1:15" x14ac:dyDescent="0.3">
      <c r="A27" s="9"/>
      <c r="B27" s="9"/>
      <c r="C27" s="9"/>
      <c r="D27" s="9"/>
      <c r="E27" s="9"/>
      <c r="F27" s="9"/>
      <c r="G27" s="9"/>
      <c r="H27" s="9"/>
      <c r="I27" s="9"/>
      <c r="J27" s="9"/>
      <c r="K27" s="9"/>
      <c r="L27" s="9"/>
      <c r="M27" s="9"/>
      <c r="N27" s="9"/>
      <c r="O27" s="8"/>
    </row>
    <row r="28" spans="1:15" x14ac:dyDescent="0.3">
      <c r="A28" s="9"/>
      <c r="B28" s="9"/>
      <c r="C28" s="9"/>
      <c r="D28" s="9"/>
      <c r="E28" s="9"/>
      <c r="F28" s="9"/>
      <c r="G28" s="9"/>
      <c r="H28" s="9"/>
      <c r="I28" s="9"/>
      <c r="J28" s="9"/>
      <c r="K28" s="9"/>
      <c r="L28" s="9"/>
      <c r="M28" s="9"/>
      <c r="N28" s="9"/>
      <c r="O28" s="8"/>
    </row>
    <row r="29" spans="1:15" x14ac:dyDescent="0.3">
      <c r="A29" s="6"/>
      <c r="B29" s="9"/>
      <c r="C29" s="9"/>
      <c r="D29" s="9"/>
      <c r="E29" s="9"/>
      <c r="F29" s="9"/>
      <c r="G29" s="9"/>
      <c r="H29" s="9"/>
      <c r="I29" s="9"/>
      <c r="J29" s="9"/>
      <c r="K29" s="9"/>
      <c r="L29" s="9"/>
      <c r="M29" s="9"/>
      <c r="N29" s="9"/>
      <c r="O29" s="8"/>
    </row>
    <row r="30" spans="1:15" x14ac:dyDescent="0.3">
      <c r="A30" s="6"/>
      <c r="B30" s="9"/>
      <c r="C30" s="9"/>
      <c r="D30" s="9"/>
      <c r="E30" s="9"/>
      <c r="F30" s="4" t="s">
        <v>116</v>
      </c>
      <c r="G30" s="22" t="b" cm="1">
        <f t="array" ref="G30">_xll.U.DO(_xll.U.EVENT(_xll.U.GET_CLICKVAL(G5)),B10:C11)</f>
        <v>0</v>
      </c>
      <c r="H30" s="9"/>
      <c r="I30" s="9"/>
      <c r="J30" s="9"/>
      <c r="K30" s="9"/>
      <c r="L30" s="9"/>
      <c r="M30" s="9"/>
      <c r="N30" s="9"/>
      <c r="O30" s="8"/>
    </row>
    <row r="31" spans="1:15" x14ac:dyDescent="0.3">
      <c r="A31" s="6"/>
      <c r="B31" s="9"/>
      <c r="C31" s="9"/>
      <c r="D31" s="9"/>
      <c r="E31" s="9"/>
      <c r="F31" s="4" t="s">
        <v>487</v>
      </c>
      <c r="G31" s="63" cm="1">
        <f t="array" ref="G31">IF(G30,_xll.U.RAND(1,99999999),_xll.U.CURRENT_VALS())</f>
        <v>45818245</v>
      </c>
      <c r="H31" s="9"/>
      <c r="I31" s="9"/>
      <c r="J31" s="9"/>
      <c r="K31" s="9"/>
      <c r="L31" s="9"/>
      <c r="M31" s="9"/>
      <c r="N31" s="9"/>
      <c r="O31" s="8"/>
    </row>
    <row r="32" spans="1:15" x14ac:dyDescent="0.3">
      <c r="A32" s="6"/>
      <c r="B32" s="9"/>
      <c r="C32" s="9"/>
      <c r="D32" s="9"/>
      <c r="E32" s="9"/>
      <c r="F32" s="9"/>
      <c r="G32" s="9"/>
      <c r="H32" s="9"/>
      <c r="I32" s="9"/>
      <c r="J32" s="9"/>
      <c r="K32" s="9"/>
      <c r="L32" s="9"/>
      <c r="M32" s="9"/>
      <c r="N32" s="9"/>
      <c r="O32" s="8"/>
    </row>
    <row r="33" spans="1:15" x14ac:dyDescent="0.3">
      <c r="A33" s="6"/>
      <c r="B33" s="9"/>
      <c r="C33" s="9"/>
      <c r="D33" s="9"/>
      <c r="E33" s="9"/>
      <c r="F33" s="9"/>
      <c r="G33" s="9"/>
      <c r="H33" s="9"/>
      <c r="I33" s="9"/>
      <c r="J33" s="9"/>
      <c r="K33" s="9"/>
      <c r="L33" s="9"/>
      <c r="M33" s="9"/>
      <c r="N33" s="9"/>
      <c r="O33" s="8"/>
    </row>
    <row r="34" spans="1:15" x14ac:dyDescent="0.3">
      <c r="A34" s="6"/>
      <c r="B34" s="9"/>
      <c r="C34" s="9"/>
      <c r="D34" s="9"/>
      <c r="E34" s="9"/>
      <c r="F34" s="9"/>
      <c r="G34" s="9"/>
      <c r="H34" s="9"/>
      <c r="I34" s="9"/>
      <c r="J34" s="9"/>
      <c r="K34" s="9"/>
      <c r="L34" s="9"/>
      <c r="M34" s="9"/>
      <c r="N34" s="9"/>
      <c r="O34" s="8"/>
    </row>
    <row r="35" spans="1:15" x14ac:dyDescent="0.3">
      <c r="A35" s="6"/>
      <c r="B35" s="9"/>
      <c r="C35" s="9"/>
      <c r="D35" s="9"/>
      <c r="E35" s="9"/>
      <c r="F35" s="9"/>
      <c r="G35" s="9"/>
      <c r="H35" s="9"/>
      <c r="I35" s="9"/>
      <c r="J35" s="9"/>
      <c r="K35" s="9"/>
      <c r="L35" s="9"/>
      <c r="M35" s="9"/>
      <c r="N35" s="9"/>
      <c r="O35" s="8"/>
    </row>
    <row r="36" spans="1:15" x14ac:dyDescent="0.3">
      <c r="A36" s="6"/>
      <c r="B36" s="9"/>
      <c r="C36" s="9"/>
      <c r="D36" s="9"/>
      <c r="E36" s="9"/>
      <c r="F36" s="9"/>
      <c r="G36" s="9"/>
      <c r="H36" s="9"/>
      <c r="I36" s="9"/>
      <c r="J36" s="9"/>
      <c r="K36" s="9"/>
      <c r="L36" s="9"/>
      <c r="M36" s="9"/>
      <c r="N36" s="9"/>
      <c r="O36" s="8"/>
    </row>
    <row r="37" spans="1:15" x14ac:dyDescent="0.3">
      <c r="A37" s="6"/>
      <c r="B37" s="9"/>
      <c r="C37" s="9"/>
      <c r="D37" s="9"/>
      <c r="E37" s="9"/>
      <c r="F37" s="9"/>
      <c r="G37" s="9"/>
      <c r="H37" s="9"/>
      <c r="I37" s="9"/>
      <c r="J37" s="9"/>
      <c r="K37" s="9"/>
      <c r="L37" s="9"/>
      <c r="M37" s="9"/>
      <c r="N37" s="9"/>
      <c r="O37" s="8"/>
    </row>
    <row r="38" spans="1:15" x14ac:dyDescent="0.3">
      <c r="A38" s="6"/>
      <c r="B38" s="9"/>
      <c r="C38" s="9"/>
      <c r="D38" s="9"/>
      <c r="E38" s="9"/>
      <c r="F38" s="9"/>
      <c r="G38" s="9"/>
      <c r="H38" s="9"/>
      <c r="I38" s="9"/>
      <c r="J38" s="9"/>
      <c r="K38" s="9"/>
      <c r="L38" s="9"/>
      <c r="M38" s="9"/>
      <c r="N38" s="9"/>
      <c r="O38" s="8"/>
    </row>
    <row r="39" spans="1:15" x14ac:dyDescent="0.3">
      <c r="A39" s="6"/>
      <c r="B39" s="9"/>
      <c r="C39" s="9"/>
      <c r="D39" s="9"/>
      <c r="E39" s="9"/>
      <c r="F39" s="9"/>
      <c r="G39" s="9"/>
      <c r="H39" s="9"/>
      <c r="I39" s="9"/>
      <c r="J39" s="9"/>
      <c r="K39" s="9"/>
      <c r="L39" s="9"/>
      <c r="M39" s="9"/>
      <c r="N39" s="9"/>
      <c r="O39" s="8"/>
    </row>
    <row r="40" spans="1:15" x14ac:dyDescent="0.3">
      <c r="A40" s="6"/>
      <c r="B40" s="9"/>
      <c r="C40" s="9"/>
      <c r="D40" s="9"/>
      <c r="E40" s="9"/>
      <c r="F40" s="9"/>
      <c r="G40" s="9"/>
      <c r="H40" s="9"/>
      <c r="I40" s="9"/>
      <c r="J40" s="9"/>
      <c r="K40" s="9"/>
      <c r="L40" s="9"/>
      <c r="M40" s="9"/>
      <c r="N40" s="9"/>
      <c r="O40" s="8"/>
    </row>
    <row r="41" spans="1:15" x14ac:dyDescent="0.3">
      <c r="A41" s="6"/>
      <c r="B41" s="9"/>
      <c r="C41" s="9"/>
      <c r="D41" s="9"/>
      <c r="E41" s="9"/>
      <c r="F41" s="9"/>
      <c r="G41" s="9"/>
      <c r="H41" s="9"/>
      <c r="I41" s="9"/>
      <c r="J41" s="9"/>
      <c r="K41" s="9"/>
      <c r="L41" s="9"/>
      <c r="M41" s="9"/>
      <c r="N41" s="9"/>
      <c r="O41" s="8"/>
    </row>
    <row r="42" spans="1:15" x14ac:dyDescent="0.3">
      <c r="A42" s="6"/>
      <c r="B42" s="9"/>
      <c r="C42" s="9"/>
      <c r="D42" s="9"/>
      <c r="E42" s="9"/>
      <c r="F42" s="9"/>
      <c r="G42" s="9"/>
      <c r="H42" s="9"/>
      <c r="I42" s="9"/>
      <c r="J42" s="9"/>
      <c r="K42" s="9"/>
      <c r="L42" s="9"/>
      <c r="M42" s="9"/>
      <c r="N42" s="9"/>
      <c r="O42" s="8"/>
    </row>
    <row r="43" spans="1:15" x14ac:dyDescent="0.3">
      <c r="A43" s="6"/>
      <c r="B43" s="213" t="s">
        <v>121</v>
      </c>
      <c r="C43" s="213"/>
      <c r="D43" s="9"/>
      <c r="E43" s="9"/>
      <c r="F43" s="9"/>
      <c r="G43" s="90" t="s">
        <v>530</v>
      </c>
      <c r="H43" s="9"/>
      <c r="I43" s="9"/>
      <c r="J43" s="9"/>
      <c r="K43" s="9"/>
      <c r="L43" s="9"/>
      <c r="M43" s="9"/>
      <c r="N43" s="9"/>
      <c r="O43" s="8"/>
    </row>
    <row r="44" spans="1:15" x14ac:dyDescent="0.3">
      <c r="A44" s="6"/>
      <c r="B44" s="89" t="s">
        <v>118</v>
      </c>
      <c r="C44" s="92" cm="1">
        <f t="array" ref="C44">_xll.U.NOW(1)</f>
        <v>46072.453738425924</v>
      </c>
      <c r="D44" s="9"/>
      <c r="E44" s="9"/>
      <c r="F44" s="9"/>
      <c r="G44" s="9"/>
      <c r="H44" s="9"/>
      <c r="I44" s="9"/>
      <c r="J44" s="9"/>
      <c r="K44" s="9"/>
      <c r="L44" s="9"/>
      <c r="M44" s="9"/>
      <c r="N44" s="9"/>
      <c r="O44" s="8"/>
    </row>
    <row r="45" spans="1:15" x14ac:dyDescent="0.3">
      <c r="A45" s="6"/>
      <c r="B45" s="78" t="s">
        <v>119</v>
      </c>
      <c r="C45" s="78">
        <f>VALUE(RIGHT(C44,3))</f>
        <v>259</v>
      </c>
      <c r="D45" s="9"/>
      <c r="E45" s="9"/>
      <c r="F45" s="4" t="s">
        <v>531</v>
      </c>
      <c r="G45" s="22" t="str" cm="1">
        <f t="array" ref="G45">_xll.U.SET_CLICKVALS(G43,G43,1,,"return(calc)",,,,G46)</f>
        <v>COPY VALS 2</v>
      </c>
      <c r="H45" s="9"/>
      <c r="I45" s="9"/>
      <c r="J45" s="9"/>
      <c r="K45" s="9"/>
      <c r="L45" s="9"/>
      <c r="M45" s="9"/>
      <c r="N45" s="9"/>
      <c r="O45" s="8"/>
    </row>
    <row r="46" spans="1:15" x14ac:dyDescent="0.3">
      <c r="A46" s="6"/>
      <c r="B46" s="9"/>
      <c r="C46" s="9"/>
      <c r="D46" s="9"/>
      <c r="E46" s="9"/>
      <c r="F46" s="4" t="s">
        <v>122</v>
      </c>
      <c r="G46" s="22" t="str" cm="1">
        <f t="array" ref="G46">_xll.U.PASTE(B44:C45,B49:C50,,,,,,,TRUE)</f>
        <v>Blocked by self</v>
      </c>
      <c r="H46" s="9"/>
      <c r="I46" s="9"/>
      <c r="J46" s="9"/>
      <c r="K46" s="9"/>
      <c r="L46" s="9"/>
      <c r="M46" s="9"/>
      <c r="N46" s="9"/>
      <c r="O46" s="8"/>
    </row>
    <row r="47" spans="1:15" x14ac:dyDescent="0.3">
      <c r="A47" s="6"/>
      <c r="B47" s="9"/>
      <c r="C47" s="9"/>
      <c r="D47" s="9"/>
      <c r="E47" s="9"/>
      <c r="F47" s="9"/>
      <c r="G47" s="9"/>
      <c r="H47" s="9"/>
      <c r="I47" s="9"/>
      <c r="J47" s="9"/>
      <c r="K47" s="9"/>
      <c r="L47" s="9"/>
      <c r="M47" s="9"/>
      <c r="N47" s="9"/>
      <c r="O47" s="8"/>
    </row>
    <row r="48" spans="1:15" x14ac:dyDescent="0.3">
      <c r="A48" s="6"/>
      <c r="B48" s="213" t="s">
        <v>120</v>
      </c>
      <c r="C48" s="213"/>
      <c r="D48" s="9"/>
      <c r="E48" s="9"/>
      <c r="F48" s="9"/>
      <c r="G48" s="9"/>
      <c r="H48" s="9"/>
      <c r="I48" s="9"/>
      <c r="J48" s="9"/>
      <c r="K48" s="9"/>
      <c r="L48" s="9"/>
      <c r="M48" s="9"/>
      <c r="N48" s="9"/>
      <c r="O48" s="8"/>
    </row>
    <row r="49" spans="1:15" x14ac:dyDescent="0.3">
      <c r="A49" s="6"/>
      <c r="B49" s="91" t="s">
        <v>118</v>
      </c>
      <c r="C49" s="93">
        <v>44580.381296296291</v>
      </c>
      <c r="D49" s="9"/>
      <c r="E49" s="9"/>
      <c r="F49" s="9"/>
      <c r="G49" s="9"/>
      <c r="H49" s="9"/>
      <c r="I49" s="9"/>
      <c r="J49" s="9"/>
      <c r="K49" s="9"/>
      <c r="L49" s="9"/>
      <c r="M49" s="9"/>
      <c r="N49" s="9"/>
      <c r="O49" s="8"/>
    </row>
    <row r="50" spans="1:15" x14ac:dyDescent="0.3">
      <c r="A50" s="6"/>
      <c r="B50" s="86" t="s">
        <v>119</v>
      </c>
      <c r="C50" s="86">
        <v>963</v>
      </c>
      <c r="D50" s="9"/>
      <c r="E50" s="9"/>
      <c r="F50" s="9"/>
      <c r="G50" s="9"/>
      <c r="H50" s="9"/>
      <c r="I50" s="9"/>
      <c r="J50" s="9"/>
      <c r="K50" s="9"/>
      <c r="L50" s="9"/>
      <c r="M50" s="9"/>
      <c r="N50" s="9"/>
      <c r="O50" s="8"/>
    </row>
    <row r="51" spans="1:15" x14ac:dyDescent="0.3">
      <c r="A51" s="6"/>
      <c r="B51" s="9"/>
      <c r="C51" s="9"/>
      <c r="D51" s="9"/>
      <c r="E51" s="9"/>
      <c r="F51" s="9"/>
      <c r="G51" s="9"/>
      <c r="H51" s="9"/>
      <c r="I51" s="9"/>
      <c r="J51" s="9"/>
      <c r="K51" s="9"/>
      <c r="L51" s="9"/>
      <c r="M51" s="9"/>
      <c r="N51" s="9"/>
      <c r="O51" s="8"/>
    </row>
    <row r="52" spans="1:15" ht="15" thickBot="1" x14ac:dyDescent="0.35">
      <c r="A52" s="10"/>
      <c r="B52" s="11"/>
      <c r="C52" s="11"/>
      <c r="D52" s="11"/>
      <c r="E52" s="11"/>
      <c r="F52" s="11"/>
      <c r="G52" s="11"/>
      <c r="H52" s="11"/>
      <c r="I52" s="11"/>
      <c r="J52" s="11"/>
      <c r="K52" s="11"/>
      <c r="L52" s="11"/>
      <c r="M52" s="11"/>
      <c r="N52" s="11"/>
      <c r="O52" s="12"/>
    </row>
  </sheetData>
  <mergeCells count="5">
    <mergeCell ref="C1:D1"/>
    <mergeCell ref="B4:C4"/>
    <mergeCell ref="B9:C9"/>
    <mergeCell ref="B43:C43"/>
    <mergeCell ref="B48:C48"/>
  </mergeCells>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W74"/>
  <sheetViews>
    <sheetView workbookViewId="0">
      <pane ySplit="1" topLeftCell="A2" activePane="bottomLeft" state="frozen"/>
      <selection pane="bottomLeft"/>
    </sheetView>
  </sheetViews>
  <sheetFormatPr defaultColWidth="9.109375" defaultRowHeight="14.4" x14ac:dyDescent="0.3"/>
  <cols>
    <col min="2" max="2" width="28" bestFit="1" customWidth="1"/>
    <col min="3" max="3" width="32.109375" customWidth="1"/>
    <col min="4" max="5" width="19.109375" customWidth="1"/>
    <col min="6" max="9" width="16.88671875" customWidth="1"/>
    <col min="10" max="10" width="2.88671875" customWidth="1"/>
    <col min="11" max="11" width="11.88671875" customWidth="1"/>
    <col min="12" max="12" width="14.5546875" bestFit="1" customWidth="1"/>
    <col min="13" max="13" width="13.6640625" customWidth="1"/>
    <col min="14" max="14" width="12.109375" customWidth="1"/>
    <col min="23" max="23" width="14.109375" bestFit="1" customWidth="1"/>
  </cols>
  <sheetData>
    <row r="1" spans="1:21" ht="34.5" customHeight="1" thickBot="1" x14ac:dyDescent="0.35">
      <c r="A1" s="146" t="s">
        <v>255</v>
      </c>
      <c r="B1" s="207" t="e" vm="1">
        <v>#VALUE!</v>
      </c>
      <c r="C1" s="214" t="s">
        <v>235</v>
      </c>
      <c r="D1" s="215"/>
      <c r="E1" s="25"/>
      <c r="F1" s="5"/>
      <c r="G1" s="5"/>
      <c r="H1" s="5"/>
      <c r="I1" s="5"/>
      <c r="J1" s="5"/>
      <c r="K1" s="5"/>
      <c r="L1" s="5"/>
      <c r="M1" s="5"/>
      <c r="N1" s="5"/>
      <c r="O1" s="5"/>
      <c r="P1" s="5"/>
      <c r="Q1" s="5"/>
      <c r="R1" s="5"/>
      <c r="S1" s="5"/>
      <c r="T1" s="5"/>
      <c r="U1" s="7"/>
    </row>
    <row r="2" spans="1:21" ht="15" customHeight="1" x14ac:dyDescent="0.3">
      <c r="A2" s="6"/>
      <c r="B2" s="13"/>
      <c r="C2" s="13"/>
      <c r="D2" s="9"/>
      <c r="E2" s="9"/>
      <c r="F2" s="9"/>
      <c r="G2" s="9"/>
      <c r="H2" s="9"/>
      <c r="I2" s="9"/>
      <c r="J2" s="9"/>
      <c r="K2" s="9"/>
      <c r="L2" s="9"/>
      <c r="M2" s="9"/>
      <c r="N2" s="9"/>
      <c r="O2" s="9"/>
      <c r="P2" s="9"/>
      <c r="Q2" s="9"/>
      <c r="R2" s="9"/>
      <c r="S2" s="9"/>
      <c r="T2" s="9"/>
      <c r="U2" s="8"/>
    </row>
    <row r="3" spans="1:21" ht="15" customHeight="1" x14ac:dyDescent="0.3">
      <c r="A3" s="6"/>
      <c r="B3" s="9"/>
      <c r="C3" s="9"/>
      <c r="D3" s="9"/>
      <c r="E3" s="9"/>
      <c r="F3" s="9"/>
      <c r="G3" s="9"/>
      <c r="H3" s="9"/>
      <c r="I3" s="9"/>
      <c r="J3" s="9"/>
      <c r="K3" s="9"/>
      <c r="L3" s="9"/>
      <c r="M3" s="9"/>
      <c r="N3" s="9"/>
      <c r="O3" s="9"/>
      <c r="P3" s="9"/>
      <c r="Q3" s="9"/>
      <c r="R3" s="9"/>
      <c r="S3" s="9"/>
      <c r="T3" s="9"/>
      <c r="U3" s="8"/>
    </row>
    <row r="4" spans="1:21" ht="15" customHeight="1" x14ac:dyDescent="0.3">
      <c r="A4" s="6"/>
      <c r="B4" s="130" t="s">
        <v>237</v>
      </c>
      <c r="C4" s="9"/>
      <c r="D4" s="9"/>
      <c r="E4" s="9"/>
      <c r="F4" s="9"/>
      <c r="G4" s="9"/>
      <c r="H4" s="9"/>
      <c r="I4" s="9"/>
      <c r="J4" s="9"/>
      <c r="K4" s="9"/>
      <c r="L4" s="9"/>
      <c r="M4" s="9"/>
      <c r="N4" s="9"/>
      <c r="O4" s="9"/>
      <c r="P4" s="9"/>
      <c r="Q4" s="9"/>
      <c r="R4" s="9"/>
      <c r="S4" s="9"/>
      <c r="T4" s="9"/>
      <c r="U4" s="8"/>
    </row>
    <row r="5" spans="1:21" x14ac:dyDescent="0.3">
      <c r="A5" s="6"/>
      <c r="B5" s="9"/>
      <c r="C5" s="9"/>
      <c r="D5" s="9"/>
      <c r="E5" s="9"/>
      <c r="F5" s="9"/>
      <c r="G5" s="9"/>
      <c r="H5" s="9"/>
      <c r="I5" s="9"/>
      <c r="J5" s="9"/>
      <c r="K5" s="9"/>
      <c r="L5" s="9"/>
      <c r="M5" s="9"/>
      <c r="N5" s="9"/>
      <c r="O5" s="9"/>
      <c r="P5" s="9"/>
      <c r="Q5" s="9"/>
      <c r="R5" s="9"/>
      <c r="S5" s="9"/>
      <c r="T5" s="9"/>
      <c r="U5" s="8"/>
    </row>
    <row r="6" spans="1:21" x14ac:dyDescent="0.3">
      <c r="A6" s="6"/>
      <c r="B6" s="131" t="str" cm="1">
        <f t="array" ref="B6">_xll.U.SET_CLICKVALS(B4,B4,1,0,{TRUE,FALSE}, FALSE)</f>
        <v>LAUNCH</v>
      </c>
      <c r="C6" s="9"/>
      <c r="D6" s="9"/>
      <c r="E6" s="9"/>
      <c r="F6" s="9"/>
      <c r="G6" s="9"/>
      <c r="H6" s="9"/>
      <c r="I6" s="9"/>
      <c r="J6" s="9"/>
      <c r="K6" s="9"/>
      <c r="L6" s="9"/>
      <c r="M6" s="9"/>
      <c r="N6" s="9"/>
      <c r="O6" s="9"/>
      <c r="P6" s="9"/>
      <c r="Q6" s="9"/>
      <c r="R6" s="9"/>
      <c r="S6" s="9"/>
      <c r="T6" s="9"/>
      <c r="U6" s="8"/>
    </row>
    <row r="7" spans="1:21" x14ac:dyDescent="0.3">
      <c r="A7" s="6"/>
      <c r="B7" s="119" t="b" cm="1">
        <f t="array" ref="B7">_xll.U.GET_CLICKVAL(B6)</f>
        <v>0</v>
      </c>
      <c r="C7" s="9"/>
      <c r="D7" s="9"/>
      <c r="E7" s="9"/>
      <c r="F7" s="9"/>
      <c r="G7" s="9"/>
      <c r="H7" s="9"/>
      <c r="I7" s="9"/>
      <c r="J7" s="9"/>
      <c r="K7" s="9"/>
      <c r="L7" s="9"/>
      <c r="M7" s="9"/>
      <c r="N7" s="9"/>
      <c r="O7" s="9"/>
      <c r="P7" s="9"/>
      <c r="Q7" s="9"/>
      <c r="R7" s="9"/>
      <c r="S7" s="9"/>
      <c r="T7" s="9"/>
      <c r="U7" s="8"/>
    </row>
    <row r="8" spans="1:21" x14ac:dyDescent="0.3">
      <c r="A8" s="6"/>
      <c r="B8" s="9"/>
      <c r="C8" s="9"/>
      <c r="D8" s="9"/>
      <c r="E8" s="9"/>
      <c r="F8" s="9"/>
      <c r="G8" s="9"/>
      <c r="H8" s="9"/>
      <c r="I8" s="9"/>
      <c r="J8" s="9"/>
      <c r="K8" s="9"/>
      <c r="L8" s="9"/>
      <c r="M8" s="9"/>
      <c r="N8" s="9"/>
      <c r="O8" s="9"/>
      <c r="P8" s="9"/>
      <c r="Q8" s="9"/>
      <c r="R8" s="9"/>
      <c r="S8" s="9"/>
      <c r="T8" s="9"/>
      <c r="U8" s="8"/>
    </row>
    <row r="9" spans="1:21" x14ac:dyDescent="0.3">
      <c r="A9" s="6"/>
      <c r="B9" s="20" t="s">
        <v>239</v>
      </c>
      <c r="C9" s="9"/>
      <c r="D9" s="9"/>
      <c r="E9" s="9"/>
      <c r="F9" s="9"/>
      <c r="G9" s="9"/>
      <c r="H9" s="9"/>
      <c r="I9" s="9"/>
      <c r="J9" s="9"/>
      <c r="K9" s="9"/>
      <c r="L9" s="9"/>
      <c r="M9" s="9"/>
      <c r="N9" s="9"/>
      <c r="O9" s="9"/>
      <c r="P9" s="9"/>
      <c r="Q9" s="9"/>
      <c r="R9" s="9"/>
      <c r="S9" s="9"/>
      <c r="T9" s="9"/>
      <c r="U9" s="8"/>
    </row>
    <row r="10" spans="1:21" x14ac:dyDescent="0.3">
      <c r="A10" s="6"/>
      <c r="B10" s="120" t="s">
        <v>538</v>
      </c>
      <c r="C10" s="132" t="b">
        <f t="array" ref="C10:C11">IF(B7,_xll.U.LAUNCH_EXCEL(B10:B11))</f>
        <v>0</v>
      </c>
      <c r="D10" s="9"/>
      <c r="E10" s="9"/>
      <c r="F10" s="9"/>
      <c r="G10" s="9"/>
      <c r="H10" s="9"/>
      <c r="I10" s="9"/>
      <c r="J10" s="9"/>
      <c r="K10" s="9"/>
      <c r="L10" s="9"/>
      <c r="M10" s="9"/>
      <c r="N10" s="9"/>
      <c r="O10" s="9"/>
      <c r="P10" s="9"/>
      <c r="Q10" s="9"/>
      <c r="R10" s="9"/>
      <c r="S10" s="9"/>
      <c r="T10" s="9"/>
      <c r="U10" s="8"/>
    </row>
    <row r="11" spans="1:21" x14ac:dyDescent="0.3">
      <c r="A11" s="6"/>
      <c r="B11" s="120" t="s">
        <v>539</v>
      </c>
      <c r="C11" s="132" t="b">
        <v>0</v>
      </c>
      <c r="D11" s="9"/>
      <c r="E11" s="9"/>
      <c r="F11" s="9"/>
      <c r="G11" s="9"/>
      <c r="H11" s="9"/>
      <c r="I11" s="9"/>
      <c r="J11" s="9"/>
      <c r="K11" s="9"/>
      <c r="L11" s="9"/>
      <c r="M11" s="9"/>
      <c r="N11" s="9"/>
      <c r="O11" s="9"/>
      <c r="P11" s="9"/>
      <c r="Q11" s="9"/>
      <c r="R11" s="9"/>
      <c r="S11" s="9"/>
      <c r="T11" s="9"/>
      <c r="U11" s="8"/>
    </row>
    <row r="12" spans="1:21" x14ac:dyDescent="0.3">
      <c r="A12" s="6"/>
      <c r="B12" s="9"/>
      <c r="C12" s="9"/>
      <c r="D12" s="9"/>
      <c r="E12" s="9"/>
      <c r="F12" s="9"/>
      <c r="G12" s="9"/>
      <c r="H12" s="9"/>
      <c r="I12" s="9"/>
      <c r="J12" s="9"/>
      <c r="K12" s="9"/>
      <c r="L12" s="9"/>
      <c r="M12" s="9"/>
      <c r="N12" s="9"/>
      <c r="O12" s="9"/>
      <c r="P12" s="9"/>
      <c r="Q12" s="9"/>
      <c r="R12" s="9"/>
      <c r="S12" s="9"/>
      <c r="T12" s="9"/>
      <c r="U12" s="8"/>
    </row>
    <row r="13" spans="1:21" x14ac:dyDescent="0.3">
      <c r="A13" s="6"/>
      <c r="B13" s="9"/>
      <c r="C13" s="9"/>
      <c r="D13" s="9"/>
      <c r="E13" s="9"/>
      <c r="F13" s="9"/>
      <c r="G13" s="9"/>
      <c r="H13" s="9"/>
      <c r="I13" s="9"/>
      <c r="J13" s="9"/>
      <c r="K13" s="9"/>
      <c r="L13" s="9"/>
      <c r="M13" s="9"/>
      <c r="N13" s="9"/>
      <c r="O13" s="9"/>
      <c r="P13" s="9"/>
      <c r="Q13" s="9"/>
      <c r="R13" s="9"/>
      <c r="S13" s="9"/>
      <c r="T13" s="9"/>
      <c r="U13" s="8"/>
    </row>
    <row r="14" spans="1:21" x14ac:dyDescent="0.3">
      <c r="A14" s="6"/>
      <c r="B14" s="9"/>
      <c r="C14" s="9"/>
      <c r="D14" s="9"/>
      <c r="E14" s="9"/>
      <c r="F14" s="9"/>
      <c r="G14" s="9"/>
      <c r="H14" s="9"/>
      <c r="I14" s="9"/>
      <c r="J14" s="9"/>
      <c r="K14" s="9"/>
      <c r="L14" s="9"/>
      <c r="M14" s="9"/>
      <c r="N14" s="9"/>
      <c r="O14" s="9"/>
      <c r="P14" s="9"/>
      <c r="Q14" s="9"/>
      <c r="R14" s="9"/>
      <c r="S14" s="9"/>
      <c r="T14" s="9"/>
      <c r="U14" s="8"/>
    </row>
    <row r="15" spans="1:21" x14ac:dyDescent="0.3">
      <c r="A15" s="6"/>
      <c r="B15" s="9"/>
      <c r="C15" s="9"/>
      <c r="D15" s="9"/>
      <c r="E15" s="9"/>
      <c r="F15" s="9"/>
      <c r="G15" s="9"/>
      <c r="H15" s="9"/>
      <c r="I15" s="9"/>
      <c r="J15" s="9"/>
      <c r="K15" s="9"/>
      <c r="L15" s="9"/>
      <c r="M15" s="9"/>
      <c r="N15" s="9"/>
      <c r="O15" s="9"/>
      <c r="P15" s="9"/>
      <c r="Q15" s="9"/>
      <c r="R15" s="9"/>
      <c r="S15" s="9"/>
      <c r="T15" s="9"/>
      <c r="U15" s="8"/>
    </row>
    <row r="16" spans="1:21" x14ac:dyDescent="0.3">
      <c r="A16" s="6"/>
      <c r="B16" s="9"/>
      <c r="C16" s="9"/>
      <c r="D16" s="9"/>
      <c r="E16" s="9"/>
      <c r="F16" s="9"/>
      <c r="G16" s="9"/>
      <c r="H16" s="9"/>
      <c r="I16" s="9"/>
      <c r="J16" s="9"/>
      <c r="K16" s="9"/>
      <c r="L16" s="9"/>
      <c r="M16" s="9"/>
      <c r="N16" s="9"/>
      <c r="O16" s="9"/>
      <c r="P16" s="9"/>
      <c r="Q16" s="9"/>
      <c r="R16" s="9"/>
      <c r="S16" s="9"/>
      <c r="T16" s="9"/>
      <c r="U16" s="8"/>
    </row>
    <row r="17" spans="1:23" x14ac:dyDescent="0.3">
      <c r="A17" s="6"/>
      <c r="B17" s="133" cm="1">
        <f t="array" ref="B17">_xll.U.DO(_xll.U.CONTROL_EXCEL(B18:C29),_xll.U.NOW())</f>
        <v>46072.45360335648</v>
      </c>
      <c r="C17" s="9"/>
      <c r="D17" s="9"/>
      <c r="E17" s="9"/>
      <c r="F17" s="9"/>
      <c r="G17" s="9"/>
      <c r="H17" s="9"/>
      <c r="I17" s="9"/>
      <c r="J17" s="9"/>
      <c r="K17" s="9"/>
      <c r="L17" s="9"/>
      <c r="M17" s="9"/>
      <c r="N17" s="9"/>
      <c r="O17" s="9"/>
      <c r="P17" s="9"/>
      <c r="Q17" s="9"/>
      <c r="R17" s="9"/>
      <c r="S17" s="9"/>
      <c r="T17" s="9"/>
      <c r="U17" s="8"/>
    </row>
    <row r="18" spans="1:23" x14ac:dyDescent="0.3">
      <c r="A18" s="6"/>
      <c r="B18" s="2" t="s">
        <v>238</v>
      </c>
      <c r="C18" s="2" t="str">
        <f>B10</f>
        <v>U_InstallTest_Pub.xlsx</v>
      </c>
      <c r="D18" s="9"/>
      <c r="E18" s="9"/>
      <c r="F18" s="9"/>
      <c r="G18" s="9"/>
      <c r="H18" s="9"/>
      <c r="I18" s="9"/>
      <c r="J18" s="9"/>
      <c r="K18" s="9"/>
      <c r="L18" s="9"/>
      <c r="M18" s="9"/>
      <c r="N18" s="9"/>
      <c r="O18" s="9"/>
      <c r="P18" s="9"/>
      <c r="Q18" s="9"/>
      <c r="R18" s="9"/>
      <c r="S18" s="9"/>
      <c r="T18" s="9"/>
      <c r="U18" s="8"/>
      <c r="W18" s="20" t="s">
        <v>306</v>
      </c>
    </row>
    <row r="19" spans="1:23" x14ac:dyDescent="0.3">
      <c r="A19" s="6"/>
      <c r="B19" s="135" t="s">
        <v>240</v>
      </c>
      <c r="C19" s="134" t="b" cm="1">
        <f t="array" ref="C19">_xll.U.GET_CLICKVAL(B19&amp;"|"&amp;C$18)</f>
        <v>0</v>
      </c>
      <c r="D19" s="136" t="str">
        <f>B19</f>
        <v>Clean</v>
      </c>
      <c r="E19" s="108"/>
      <c r="F19" s="9"/>
      <c r="G19" s="9"/>
      <c r="H19" s="9"/>
      <c r="I19" s="9"/>
      <c r="J19" s="9"/>
      <c r="K19" s="9"/>
      <c r="L19" s="9"/>
      <c r="M19" s="9"/>
      <c r="N19" s="9"/>
      <c r="O19" s="9"/>
      <c r="P19" s="9"/>
      <c r="Q19" s="9"/>
      <c r="R19" s="9"/>
      <c r="S19" s="9"/>
      <c r="T19" s="9"/>
      <c r="U19" s="8"/>
      <c r="W19" s="84" t="str" cm="1">
        <f t="array" ref="W19">_xll.U.SET_CLICKVALS(_xll.U.HAPPEND(B19&amp;"|"&amp;C$18,B19),D19,0,1,{TRUE,FALSE},FALSE)</f>
        <v>Clean</v>
      </c>
    </row>
    <row r="20" spans="1:23" x14ac:dyDescent="0.3">
      <c r="A20" s="6"/>
      <c r="B20" s="135" t="s">
        <v>250</v>
      </c>
      <c r="C20" s="134" t="b" cm="1">
        <f t="array" ref="C20">_xll.U.GET_CLICKVAL(B20&amp;"|"&amp;C$18)</f>
        <v>0</v>
      </c>
      <c r="D20" s="136" t="str">
        <f>B20</f>
        <v>Minimized</v>
      </c>
      <c r="E20" s="108"/>
      <c r="F20" s="9"/>
      <c r="G20" s="9"/>
      <c r="H20" s="9"/>
      <c r="I20" s="9"/>
      <c r="J20" s="9"/>
      <c r="K20" s="9"/>
      <c r="L20" s="9"/>
      <c r="M20" s="9"/>
      <c r="N20" s="9"/>
      <c r="O20" s="9"/>
      <c r="P20" s="9"/>
      <c r="Q20" s="9"/>
      <c r="R20" s="9"/>
      <c r="S20" s="9"/>
      <c r="T20" s="9"/>
      <c r="U20" s="8"/>
      <c r="W20" s="84" t="str" cm="1">
        <f t="array" ref="W20">_xll.U.SET_CLICKVALS(_xll.U.HAPPEND(B20&amp;"|"&amp;C$18,B20),D20,0,1,{TRUE,FALSE},FALSE)</f>
        <v>Minimized</v>
      </c>
    </row>
    <row r="21" spans="1:23" x14ac:dyDescent="0.3">
      <c r="A21" s="6"/>
      <c r="B21" s="135" t="s">
        <v>241</v>
      </c>
      <c r="C21" s="134" cm="1">
        <f t="array" ref="C21">_xll.U.GET_CLICKVAL(B21&amp;"|"&amp;C$18)</f>
        <v>100</v>
      </c>
      <c r="D21" s="137" t="str">
        <f>B21</f>
        <v>Zoom</v>
      </c>
      <c r="E21" s="138" t="str">
        <f>B21</f>
        <v>Zoom</v>
      </c>
      <c r="F21" s="9"/>
      <c r="G21" s="9"/>
      <c r="H21" s="9"/>
      <c r="I21" s="9"/>
      <c r="J21" s="9"/>
      <c r="K21" s="9"/>
      <c r="L21" s="9"/>
      <c r="M21" s="9"/>
      <c r="N21" s="9"/>
      <c r="O21" s="9"/>
      <c r="P21" s="9"/>
      <c r="Q21" s="9"/>
      <c r="R21" s="9"/>
      <c r="S21" s="9"/>
      <c r="T21" s="9"/>
      <c r="U21" s="8"/>
      <c r="W21" s="84" t="str" cm="1">
        <f t="array" ref="W21">_xll.U.SET_CLICKVALS(_xll.U.HAPPEND(B21&amp;"|"&amp;C18,B21),(E21,D21),1,0,100,25)</f>
        <v>Zoom</v>
      </c>
    </row>
    <row r="22" spans="1:23" x14ac:dyDescent="0.3">
      <c r="A22" s="6"/>
      <c r="B22" s="135" t="s">
        <v>242</v>
      </c>
      <c r="C22" s="111">
        <v>0</v>
      </c>
      <c r="D22" s="108"/>
      <c r="E22" s="108"/>
      <c r="F22" s="9"/>
      <c r="G22" s="9"/>
      <c r="H22" s="9"/>
      <c r="I22" s="9"/>
      <c r="J22" s="9"/>
      <c r="K22" s="9"/>
      <c r="L22" s="9"/>
      <c r="M22" s="9"/>
      <c r="N22" s="9"/>
      <c r="O22" s="9"/>
      <c r="P22" s="9"/>
      <c r="Q22" s="9"/>
      <c r="R22" s="9"/>
      <c r="S22" s="9"/>
      <c r="T22" s="9"/>
      <c r="U22" s="8"/>
    </row>
    <row r="23" spans="1:23" x14ac:dyDescent="0.3">
      <c r="A23" s="6"/>
      <c r="B23" s="135" t="s">
        <v>243</v>
      </c>
      <c r="C23" s="111">
        <v>0</v>
      </c>
      <c r="D23" s="108"/>
      <c r="E23" s="108"/>
      <c r="F23" s="9"/>
      <c r="G23" s="9"/>
      <c r="H23" s="9"/>
      <c r="I23" s="9"/>
      <c r="J23" s="9"/>
      <c r="K23" s="9"/>
      <c r="L23" s="9"/>
      <c r="M23" s="9"/>
      <c r="N23" s="9"/>
      <c r="O23" s="9"/>
      <c r="P23" s="9"/>
      <c r="Q23" s="9"/>
      <c r="R23" s="9"/>
      <c r="S23" s="9"/>
      <c r="T23" s="9"/>
      <c r="U23" s="8"/>
    </row>
    <row r="24" spans="1:23" x14ac:dyDescent="0.3">
      <c r="A24" s="6"/>
      <c r="B24" s="135" t="s">
        <v>244</v>
      </c>
      <c r="C24" s="111">
        <v>350</v>
      </c>
      <c r="D24" s="108"/>
      <c r="E24" s="108"/>
      <c r="F24" s="9"/>
      <c r="G24" s="9"/>
      <c r="H24" s="9"/>
      <c r="I24" s="9"/>
      <c r="J24" s="9"/>
      <c r="K24" s="9"/>
      <c r="L24" s="9"/>
      <c r="M24" s="9"/>
      <c r="N24" s="9"/>
      <c r="O24" s="9"/>
      <c r="P24" s="9"/>
      <c r="Q24" s="9"/>
      <c r="R24" s="9"/>
      <c r="S24" s="9"/>
      <c r="T24" s="9"/>
      <c r="U24" s="8"/>
    </row>
    <row r="25" spans="1:23" x14ac:dyDescent="0.3">
      <c r="A25" s="6"/>
      <c r="B25" s="135" t="s">
        <v>245</v>
      </c>
      <c r="C25" s="111">
        <v>600</v>
      </c>
      <c r="D25" s="108"/>
      <c r="E25" s="108"/>
      <c r="F25" s="9"/>
      <c r="G25" s="9"/>
      <c r="H25" s="9"/>
      <c r="I25" s="9"/>
      <c r="J25" s="9"/>
      <c r="K25" s="9"/>
      <c r="L25" s="9"/>
      <c r="M25" s="9"/>
      <c r="N25" s="9"/>
      <c r="O25" s="9"/>
      <c r="P25" s="9"/>
      <c r="Q25" s="9"/>
      <c r="R25" s="9"/>
      <c r="S25" s="9"/>
      <c r="T25" s="9"/>
      <c r="U25" s="8"/>
    </row>
    <row r="26" spans="1:23" x14ac:dyDescent="0.3">
      <c r="A26" s="6"/>
      <c r="B26" s="135" t="s">
        <v>246</v>
      </c>
      <c r="C26" s="111">
        <v>1</v>
      </c>
      <c r="D26" s="108"/>
      <c r="E26" s="108"/>
      <c r="F26" s="9"/>
      <c r="G26" s="9"/>
      <c r="H26" s="9"/>
      <c r="I26" s="9"/>
      <c r="J26" s="9"/>
      <c r="K26" s="9"/>
      <c r="L26" s="9"/>
      <c r="M26" s="9"/>
      <c r="N26" s="9"/>
      <c r="O26" s="9"/>
      <c r="P26" s="9"/>
      <c r="Q26" s="9"/>
      <c r="R26" s="9"/>
      <c r="S26" s="9"/>
      <c r="T26" s="9"/>
      <c r="U26" s="8"/>
    </row>
    <row r="27" spans="1:23" x14ac:dyDescent="0.3">
      <c r="A27" s="6"/>
      <c r="B27" s="135" t="s">
        <v>247</v>
      </c>
      <c r="C27" s="111">
        <v>1</v>
      </c>
      <c r="D27" s="108"/>
      <c r="E27" s="108"/>
      <c r="F27" s="9"/>
      <c r="G27" s="9"/>
      <c r="H27" s="9"/>
      <c r="I27" s="9"/>
      <c r="J27" s="9"/>
      <c r="K27" s="9"/>
      <c r="L27" s="9"/>
      <c r="M27" s="9"/>
      <c r="N27" s="9"/>
      <c r="O27" s="9"/>
      <c r="P27" s="9"/>
      <c r="Q27" s="9"/>
      <c r="R27" s="9"/>
      <c r="S27" s="9"/>
      <c r="T27" s="9"/>
      <c r="U27" s="8"/>
    </row>
    <row r="28" spans="1:23" x14ac:dyDescent="0.3">
      <c r="A28" s="6"/>
      <c r="B28" s="135" t="s">
        <v>248</v>
      </c>
      <c r="C28" s="134" t="b" cm="1">
        <f t="array" ref="C28">_xll.U.GET_CLICKVAL(B28&amp;"|"&amp;C$18)</f>
        <v>0</v>
      </c>
      <c r="D28" s="136" t="str">
        <f>B28</f>
        <v>Formulas</v>
      </c>
      <c r="E28" s="108"/>
      <c r="F28" s="9"/>
      <c r="G28" s="9"/>
      <c r="H28" s="9"/>
      <c r="I28" s="9"/>
      <c r="J28" s="9"/>
      <c r="K28" s="9"/>
      <c r="L28" s="9"/>
      <c r="M28" s="9"/>
      <c r="N28" s="9"/>
      <c r="O28" s="9"/>
      <c r="P28" s="9"/>
      <c r="Q28" s="9"/>
      <c r="R28" s="9"/>
      <c r="S28" s="9"/>
      <c r="T28" s="9"/>
      <c r="U28" s="8"/>
      <c r="W28" s="84" t="str" cm="1">
        <f t="array" ref="W28">_xll.U.SET_CLICKVALS(_xll.U.HAPPEND(B28&amp;"|"&amp;C$18,B28),D28,0,1,{TRUE,FALSE},FALSE)</f>
        <v>Formulas</v>
      </c>
    </row>
    <row r="29" spans="1:23" x14ac:dyDescent="0.3">
      <c r="A29" s="6"/>
      <c r="B29" s="135" t="s">
        <v>249</v>
      </c>
      <c r="C29" s="134" t="b" cm="1">
        <f t="array" ref="C29">_xll.U.GET_CLICKVAL(B29&amp;"|"&amp;C$18)</f>
        <v>0</v>
      </c>
      <c r="D29" s="136" t="str">
        <f>B29</f>
        <v>Close</v>
      </c>
      <c r="E29" s="108"/>
      <c r="F29" s="9"/>
      <c r="G29" s="9"/>
      <c r="H29" s="9"/>
      <c r="I29" s="9"/>
      <c r="J29" s="9"/>
      <c r="K29" s="9"/>
      <c r="L29" s="9"/>
      <c r="M29" s="9"/>
      <c r="N29" s="9"/>
      <c r="O29" s="9"/>
      <c r="P29" s="9"/>
      <c r="Q29" s="9"/>
      <c r="R29" s="9"/>
      <c r="S29" s="9"/>
      <c r="T29" s="9"/>
      <c r="U29" s="8"/>
      <c r="W29" s="84" t="str" cm="1">
        <f t="array" ref="W29">_xll.U.SET_CLICKVALS(_xll.U.HAPPEND(B29&amp;"|"&amp;C$18,B29),D29,0,1,{TRUE,FALSE},FALSE)</f>
        <v>Close</v>
      </c>
    </row>
    <row r="30" spans="1:23" x14ac:dyDescent="0.3">
      <c r="A30" s="6"/>
      <c r="B30" s="9"/>
      <c r="C30" s="9"/>
      <c r="D30" s="108"/>
      <c r="E30" s="108"/>
      <c r="F30" s="9"/>
      <c r="G30" s="9"/>
      <c r="H30" s="9"/>
      <c r="I30" s="9"/>
      <c r="J30" s="9"/>
      <c r="K30" s="9"/>
      <c r="L30" s="9"/>
      <c r="M30" s="9"/>
      <c r="N30" s="9"/>
      <c r="O30" s="9"/>
      <c r="P30" s="9"/>
      <c r="Q30" s="9"/>
      <c r="R30" s="9"/>
      <c r="S30" s="9"/>
      <c r="T30" s="9"/>
      <c r="U30" s="8"/>
    </row>
    <row r="31" spans="1:23" x14ac:dyDescent="0.3">
      <c r="A31" s="6"/>
      <c r="B31" s="9"/>
      <c r="C31" s="9"/>
      <c r="D31" s="108"/>
      <c r="E31" s="108"/>
      <c r="F31" s="9"/>
      <c r="G31" s="9"/>
      <c r="H31" s="9"/>
      <c r="I31" s="9"/>
      <c r="J31" s="9"/>
      <c r="K31" s="9"/>
      <c r="L31" s="9"/>
      <c r="M31" s="9"/>
      <c r="N31" s="9"/>
      <c r="O31" s="9"/>
      <c r="P31" s="9"/>
      <c r="Q31" s="9"/>
      <c r="R31" s="9"/>
      <c r="S31" s="9"/>
      <c r="T31" s="9"/>
      <c r="U31" s="8"/>
    </row>
    <row r="32" spans="1:23" x14ac:dyDescent="0.3">
      <c r="A32" s="6"/>
      <c r="B32" s="133" cm="1">
        <f t="array" ref="B32">_xll.U.DO(_xll.U.CONTROL_EXCEL(B33:C42),_xll.U.NOW())</f>
        <v>46072.453603344904</v>
      </c>
      <c r="C32" s="9"/>
      <c r="D32" s="108"/>
      <c r="E32" s="108"/>
      <c r="F32" s="9"/>
      <c r="G32" s="9"/>
      <c r="H32" s="9"/>
      <c r="I32" s="9"/>
      <c r="J32" s="9"/>
      <c r="K32" s="9"/>
      <c r="L32" s="9"/>
      <c r="M32" s="9"/>
      <c r="N32" s="9"/>
      <c r="O32" s="9"/>
      <c r="P32" s="9"/>
      <c r="Q32" s="9"/>
      <c r="R32" s="9"/>
      <c r="S32" s="9"/>
      <c r="T32" s="9"/>
      <c r="U32" s="8"/>
    </row>
    <row r="33" spans="1:23" x14ac:dyDescent="0.3">
      <c r="A33" s="6"/>
      <c r="B33" s="2" t="s">
        <v>238</v>
      </c>
      <c r="C33" s="2" t="str">
        <f>B11</f>
        <v>U_InstallTest_Sub.xlsx</v>
      </c>
      <c r="D33" s="108"/>
      <c r="E33" s="108"/>
      <c r="F33" s="9"/>
      <c r="G33" s="9"/>
      <c r="H33" s="9"/>
      <c r="I33" s="9"/>
      <c r="J33" s="9"/>
      <c r="K33" s="9"/>
      <c r="L33" s="9"/>
      <c r="M33" s="9"/>
      <c r="N33" s="9"/>
      <c r="O33" s="9"/>
      <c r="P33" s="9"/>
      <c r="Q33" s="9"/>
      <c r="R33" s="9"/>
      <c r="S33" s="9"/>
      <c r="T33" s="9"/>
      <c r="U33" s="8"/>
    </row>
    <row r="34" spans="1:23" x14ac:dyDescent="0.3">
      <c r="A34" s="6"/>
      <c r="B34" s="135" t="s">
        <v>240</v>
      </c>
      <c r="C34" s="134" t="b" cm="1">
        <f t="array" ref="C34">_xll.U.GET_CLICKVAL(B34&amp;"|"&amp;C$33)</f>
        <v>0</v>
      </c>
      <c r="D34" s="136" t="str">
        <f>B34</f>
        <v>Clean</v>
      </c>
      <c r="E34" s="108"/>
      <c r="F34" s="9"/>
      <c r="G34" s="9"/>
      <c r="H34" s="9"/>
      <c r="I34" s="9"/>
      <c r="J34" s="9"/>
      <c r="K34" s="9"/>
      <c r="L34" s="9"/>
      <c r="M34" s="9"/>
      <c r="N34" s="9"/>
      <c r="O34" s="9"/>
      <c r="P34" s="9"/>
      <c r="Q34" s="9"/>
      <c r="R34" s="9"/>
      <c r="S34" s="9"/>
      <c r="T34" s="9"/>
      <c r="U34" s="8"/>
      <c r="W34" s="84" t="str" cm="1">
        <f t="array" ref="W34">_xll.U.SET_CLICKVALS(_xll.U.HAPPEND(B34&amp;"|"&amp;C$33,B34),D34,0,1,{TRUE,FALSE},FALSE)</f>
        <v>Clean</v>
      </c>
    </row>
    <row r="35" spans="1:23" x14ac:dyDescent="0.3">
      <c r="A35" s="6"/>
      <c r="B35" s="135" t="s">
        <v>250</v>
      </c>
      <c r="C35" s="134" t="b" cm="1">
        <f t="array" ref="C35">_xll.U.GET_CLICKVAL(B35&amp;"|"&amp;C$33)</f>
        <v>0</v>
      </c>
      <c r="D35" s="136" t="str">
        <f>B35</f>
        <v>Minimized</v>
      </c>
      <c r="E35" s="108"/>
      <c r="F35" s="9"/>
      <c r="G35" s="9"/>
      <c r="H35" s="9"/>
      <c r="I35" s="9"/>
      <c r="J35" s="9"/>
      <c r="K35" s="9"/>
      <c r="L35" s="9"/>
      <c r="M35" s="9"/>
      <c r="N35" s="9"/>
      <c r="O35" s="9"/>
      <c r="P35" s="9"/>
      <c r="Q35" s="9"/>
      <c r="R35" s="9"/>
      <c r="S35" s="9"/>
      <c r="T35" s="9"/>
      <c r="U35" s="8"/>
      <c r="W35" s="84" t="str" cm="1">
        <f t="array" ref="W35">_xll.U.SET_CLICKVALS(_xll.U.HAPPEND(B35&amp;"|"&amp;C$33,B35),D35,0,1,{TRUE,FALSE},FALSE)</f>
        <v>Minimized</v>
      </c>
    </row>
    <row r="36" spans="1:23" x14ac:dyDescent="0.3">
      <c r="A36" s="6"/>
      <c r="B36" s="135" t="s">
        <v>241</v>
      </c>
      <c r="C36" s="134" cm="1">
        <f t="array" ref="C36">_xll.U.GET_CLICKVAL(B36&amp;"|"&amp;C$33)</f>
        <v>100</v>
      </c>
      <c r="D36" s="137" t="str">
        <f>B36</f>
        <v>Zoom</v>
      </c>
      <c r="E36" s="138" t="str">
        <f>B36</f>
        <v>Zoom</v>
      </c>
      <c r="F36" s="9"/>
      <c r="G36" s="9"/>
      <c r="H36" s="9"/>
      <c r="I36" s="9"/>
      <c r="J36" s="9"/>
      <c r="K36" s="9"/>
      <c r="L36" s="9"/>
      <c r="M36" s="9"/>
      <c r="N36" s="9"/>
      <c r="O36" s="9"/>
      <c r="P36" s="9"/>
      <c r="Q36" s="9"/>
      <c r="R36" s="9"/>
      <c r="S36" s="9"/>
      <c r="T36" s="9"/>
      <c r="U36" s="8"/>
      <c r="W36" s="84" t="str" cm="1">
        <f t="array" ref="W36">_xll.U.SET_CLICKVALS(_xll.U.HAPPEND(B36&amp;"|"&amp;C33,B36),(E36,D36),1,0,100,25)</f>
        <v>Zoom</v>
      </c>
    </row>
    <row r="37" spans="1:23" x14ac:dyDescent="0.3">
      <c r="A37" s="6"/>
      <c r="B37" s="135" t="s">
        <v>242</v>
      </c>
      <c r="C37" s="111">
        <v>350</v>
      </c>
      <c r="D37" s="108"/>
      <c r="E37" s="108"/>
      <c r="F37" s="9"/>
      <c r="G37" s="9"/>
      <c r="H37" s="9"/>
      <c r="I37" s="9"/>
      <c r="J37" s="9"/>
      <c r="K37" s="9"/>
      <c r="L37" s="9"/>
      <c r="M37" s="9"/>
      <c r="N37" s="9"/>
      <c r="O37" s="9"/>
      <c r="P37" s="9"/>
      <c r="Q37" s="9"/>
      <c r="R37" s="9"/>
      <c r="S37" s="9"/>
      <c r="T37" s="9"/>
      <c r="U37" s="8"/>
    </row>
    <row r="38" spans="1:23" x14ac:dyDescent="0.3">
      <c r="A38" s="6"/>
      <c r="B38" s="135" t="s">
        <v>243</v>
      </c>
      <c r="C38" s="111">
        <v>0</v>
      </c>
      <c r="D38" s="108"/>
      <c r="E38" s="108"/>
      <c r="F38" s="9"/>
      <c r="G38" s="9"/>
      <c r="H38" s="9"/>
      <c r="I38" s="9"/>
      <c r="J38" s="9"/>
      <c r="K38" s="9"/>
      <c r="L38" s="9"/>
      <c r="M38" s="9"/>
      <c r="N38" s="9"/>
      <c r="O38" s="9"/>
      <c r="P38" s="9"/>
      <c r="Q38" s="9"/>
      <c r="R38" s="9"/>
      <c r="S38" s="9"/>
      <c r="T38" s="9"/>
      <c r="U38" s="8"/>
    </row>
    <row r="39" spans="1:23" x14ac:dyDescent="0.3">
      <c r="A39" s="6"/>
      <c r="B39" s="135" t="s">
        <v>244</v>
      </c>
      <c r="C39" s="111">
        <v>350</v>
      </c>
      <c r="D39" s="108"/>
      <c r="E39" s="108"/>
      <c r="F39" s="9"/>
      <c r="G39" s="9"/>
      <c r="H39" s="9"/>
      <c r="I39" s="9"/>
      <c r="J39" s="9"/>
      <c r="K39" s="9"/>
      <c r="L39" s="9"/>
      <c r="M39" s="9"/>
      <c r="N39" s="9"/>
      <c r="O39" s="9"/>
      <c r="P39" s="9"/>
      <c r="Q39" s="9"/>
      <c r="R39" s="9"/>
      <c r="S39" s="9"/>
      <c r="T39" s="9"/>
      <c r="U39" s="8"/>
    </row>
    <row r="40" spans="1:23" x14ac:dyDescent="0.3">
      <c r="A40" s="6"/>
      <c r="B40" s="135" t="s">
        <v>245</v>
      </c>
      <c r="C40" s="111">
        <v>600</v>
      </c>
      <c r="D40" s="108"/>
      <c r="E40" s="108"/>
      <c r="F40" s="9"/>
      <c r="G40" s="9"/>
      <c r="H40" s="9"/>
      <c r="I40" s="9"/>
      <c r="J40" s="9"/>
      <c r="K40" s="9"/>
      <c r="L40" s="9"/>
      <c r="M40" s="9"/>
      <c r="N40" s="9"/>
      <c r="O40" s="9"/>
      <c r="P40" s="9"/>
      <c r="Q40" s="9"/>
      <c r="R40" s="9"/>
      <c r="S40" s="9"/>
      <c r="T40" s="9"/>
      <c r="U40" s="8"/>
    </row>
    <row r="41" spans="1:23" x14ac:dyDescent="0.3">
      <c r="A41" s="6"/>
      <c r="B41" s="135" t="s">
        <v>246</v>
      </c>
      <c r="C41" s="111">
        <v>1</v>
      </c>
      <c r="D41" s="108"/>
      <c r="E41" s="108"/>
      <c r="F41" s="9"/>
      <c r="G41" s="9"/>
      <c r="H41" s="9"/>
      <c r="I41" s="9"/>
      <c r="J41" s="9"/>
      <c r="K41" s="9"/>
      <c r="L41" s="9"/>
      <c r="M41" s="9"/>
      <c r="N41" s="9"/>
      <c r="O41" s="9"/>
      <c r="P41" s="9"/>
      <c r="Q41" s="9"/>
      <c r="R41" s="9"/>
      <c r="S41" s="9"/>
      <c r="T41" s="9"/>
      <c r="U41" s="8"/>
    </row>
    <row r="42" spans="1:23" x14ac:dyDescent="0.3">
      <c r="A42" s="6"/>
      <c r="B42" s="135" t="s">
        <v>247</v>
      </c>
      <c r="C42" s="111">
        <v>1</v>
      </c>
      <c r="D42" s="108"/>
      <c r="E42" s="108"/>
      <c r="F42" s="9"/>
      <c r="G42" s="9"/>
      <c r="H42" s="9"/>
      <c r="I42" s="9"/>
      <c r="J42" s="9"/>
      <c r="K42" s="9"/>
      <c r="L42" s="9"/>
      <c r="M42" s="9"/>
      <c r="N42" s="9"/>
      <c r="O42" s="9"/>
      <c r="P42" s="9"/>
      <c r="Q42" s="9"/>
      <c r="R42" s="9"/>
      <c r="S42" s="9"/>
      <c r="T42" s="9"/>
      <c r="U42" s="8"/>
    </row>
    <row r="43" spans="1:23" x14ac:dyDescent="0.3">
      <c r="A43" s="6"/>
      <c r="B43" s="9"/>
      <c r="C43" s="9"/>
      <c r="D43" s="9"/>
      <c r="E43" s="9"/>
      <c r="F43" s="9"/>
      <c r="G43" s="9"/>
      <c r="H43" s="9"/>
      <c r="I43" s="9"/>
      <c r="J43" s="9"/>
      <c r="K43" s="9"/>
      <c r="L43" s="9"/>
      <c r="M43" s="9"/>
      <c r="N43" s="9"/>
      <c r="O43" s="9"/>
      <c r="P43" s="9"/>
      <c r="Q43" s="9"/>
      <c r="R43" s="9"/>
      <c r="S43" s="9"/>
      <c r="T43" s="9"/>
      <c r="U43" s="8"/>
    </row>
    <row r="44" spans="1:23" x14ac:dyDescent="0.3">
      <c r="A44" s="6"/>
      <c r="B44" s="9"/>
      <c r="C44" s="9"/>
      <c r="D44" s="9"/>
      <c r="E44" s="9"/>
      <c r="F44" s="9"/>
      <c r="G44" s="9"/>
      <c r="H44" s="9"/>
      <c r="I44" s="9"/>
      <c r="J44" s="9"/>
      <c r="K44" s="9"/>
      <c r="L44" s="9"/>
      <c r="M44" s="9"/>
      <c r="N44" s="9"/>
      <c r="O44" s="9"/>
      <c r="P44" s="9"/>
      <c r="Q44" s="9"/>
      <c r="R44" s="9"/>
      <c r="S44" s="9"/>
      <c r="T44" s="9"/>
      <c r="U44" s="8"/>
    </row>
    <row r="45" spans="1:23" x14ac:dyDescent="0.3">
      <c r="A45" s="6"/>
      <c r="B45" s="133" cm="1">
        <f t="array" ref="B45">_xll.U.DO(_xll.U.CONTROL_EXCEL(B46:C48),_xll.U.NOW())</f>
        <v>46072.453603333335</v>
      </c>
      <c r="C45" s="9"/>
      <c r="D45" s="9"/>
      <c r="E45" s="9"/>
      <c r="F45" s="9"/>
      <c r="G45" s="9"/>
      <c r="H45" s="9"/>
      <c r="I45" s="9"/>
      <c r="J45" s="9"/>
      <c r="K45" s="9"/>
      <c r="L45" s="9"/>
      <c r="M45" s="9"/>
      <c r="N45" s="9"/>
      <c r="O45" s="9"/>
      <c r="P45" s="9"/>
      <c r="Q45" s="9"/>
      <c r="R45" s="9"/>
      <c r="S45" s="9"/>
      <c r="T45" s="9"/>
      <c r="U45" s="8"/>
    </row>
    <row r="46" spans="1:23" x14ac:dyDescent="0.3">
      <c r="A46" s="6"/>
      <c r="B46" s="2" t="s">
        <v>238</v>
      </c>
      <c r="C46" s="2" t="str">
        <f>B11</f>
        <v>U_InstallTest_Sub.xlsx</v>
      </c>
      <c r="D46" s="9"/>
      <c r="E46" s="9"/>
      <c r="F46" s="9"/>
      <c r="G46" s="9"/>
      <c r="H46" s="9"/>
      <c r="I46" s="9"/>
      <c r="J46" s="9"/>
      <c r="K46" s="9"/>
      <c r="L46" s="9"/>
      <c r="M46" s="9"/>
      <c r="N46" s="9"/>
      <c r="O46" s="9"/>
      <c r="P46" s="9"/>
      <c r="Q46" s="9"/>
      <c r="R46" s="9"/>
      <c r="S46" s="9"/>
      <c r="T46" s="9"/>
      <c r="U46" s="8"/>
    </row>
    <row r="47" spans="1:23" x14ac:dyDescent="0.3">
      <c r="A47" s="6"/>
      <c r="B47" s="135" t="s">
        <v>248</v>
      </c>
      <c r="C47" s="134" t="b" cm="1">
        <f t="array" ref="C47">_xll.U.GET_CLICKVAL(B47&amp;"|"&amp;C$46)</f>
        <v>0</v>
      </c>
      <c r="D47" s="136" t="str">
        <f>B47</f>
        <v>Formulas</v>
      </c>
      <c r="E47" s="108"/>
      <c r="F47" s="9"/>
      <c r="G47" s="9"/>
      <c r="H47" s="9"/>
      <c r="I47" s="9"/>
      <c r="J47" s="9"/>
      <c r="K47" s="9"/>
      <c r="L47" s="9"/>
      <c r="M47" s="9"/>
      <c r="N47" s="9"/>
      <c r="O47" s="9"/>
      <c r="P47" s="9"/>
      <c r="Q47" s="9"/>
      <c r="R47" s="9"/>
      <c r="S47" s="9"/>
      <c r="T47" s="9"/>
      <c r="U47" s="8"/>
      <c r="W47" s="84" t="str" cm="1">
        <f t="array" ref="W47">_xll.U.SET_CLICKVALS(_xll.U.HAPPEND(B47&amp;"|"&amp;C$33,B47),D47,0,1,{TRUE,FALSE},FALSE)</f>
        <v>Formulas</v>
      </c>
    </row>
    <row r="48" spans="1:23" x14ac:dyDescent="0.3">
      <c r="A48" s="6"/>
      <c r="B48" s="135" t="s">
        <v>249</v>
      </c>
      <c r="C48" s="134" t="b" cm="1">
        <f t="array" ref="C48">_xll.U.GET_CLICKVAL(B48&amp;"|"&amp;C$46)</f>
        <v>0</v>
      </c>
      <c r="D48" s="136" t="str">
        <f>B48</f>
        <v>Close</v>
      </c>
      <c r="E48" s="108"/>
      <c r="F48" s="9"/>
      <c r="G48" s="9"/>
      <c r="H48" s="9"/>
      <c r="I48" s="9"/>
      <c r="J48" s="9"/>
      <c r="K48" s="9"/>
      <c r="L48" s="9"/>
      <c r="M48" s="9"/>
      <c r="N48" s="9"/>
      <c r="O48" s="9"/>
      <c r="P48" s="9"/>
      <c r="Q48" s="9"/>
      <c r="R48" s="9"/>
      <c r="S48" s="9"/>
      <c r="T48" s="9"/>
      <c r="U48" s="8"/>
      <c r="W48" s="84" t="str" cm="1">
        <f t="array" ref="W48">_xll.U.SET_CLICKVALS(_xll.U.HAPPEND(B48&amp;"|"&amp;C$33,B48),D48,0,1,{TRUE,FALSE},FALSE)</f>
        <v>Close</v>
      </c>
    </row>
    <row r="49" spans="1:21" x14ac:dyDescent="0.3">
      <c r="A49" s="6"/>
      <c r="B49" s="9"/>
      <c r="C49" s="9"/>
      <c r="D49" s="9"/>
      <c r="E49" s="9"/>
      <c r="F49" s="9"/>
      <c r="G49" s="9"/>
      <c r="H49" s="9"/>
      <c r="I49" s="9"/>
      <c r="J49" s="9"/>
      <c r="K49" s="9"/>
      <c r="L49" s="9"/>
      <c r="M49" s="9"/>
      <c r="N49" s="9"/>
      <c r="O49" s="9"/>
      <c r="P49" s="9"/>
      <c r="Q49" s="9"/>
      <c r="R49" s="9"/>
      <c r="S49" s="9"/>
      <c r="T49" s="9"/>
      <c r="U49" s="8"/>
    </row>
    <row r="50" spans="1:21" x14ac:dyDescent="0.3">
      <c r="A50" s="6"/>
      <c r="B50" s="9"/>
      <c r="C50" s="9"/>
      <c r="D50" s="9"/>
      <c r="E50" s="9"/>
      <c r="F50" s="9"/>
      <c r="G50" s="9"/>
      <c r="H50" s="9"/>
      <c r="I50" s="9"/>
      <c r="J50" s="9"/>
      <c r="K50" s="9"/>
      <c r="L50" s="9"/>
      <c r="M50" s="9"/>
      <c r="N50" s="9"/>
      <c r="O50" s="9"/>
      <c r="P50" s="9"/>
      <c r="Q50" s="9"/>
      <c r="R50" s="9"/>
      <c r="S50" s="9"/>
      <c r="T50" s="9"/>
      <c r="U50" s="8"/>
    </row>
    <row r="51" spans="1:21" x14ac:dyDescent="0.3">
      <c r="A51" s="6"/>
      <c r="B51" s="9"/>
      <c r="C51" s="9"/>
      <c r="D51" s="9"/>
      <c r="E51" s="9"/>
      <c r="F51" s="9"/>
      <c r="G51" s="9"/>
      <c r="H51" s="9"/>
      <c r="I51" s="9"/>
      <c r="J51" s="9"/>
      <c r="K51" s="9"/>
      <c r="L51" s="9"/>
      <c r="M51" s="9"/>
      <c r="N51" s="9"/>
      <c r="O51" s="9"/>
      <c r="P51" s="9"/>
      <c r="Q51" s="9"/>
      <c r="R51" s="9"/>
      <c r="S51" s="9"/>
      <c r="T51" s="9"/>
      <c r="U51" s="8"/>
    </row>
    <row r="52" spans="1:21" x14ac:dyDescent="0.3">
      <c r="A52" s="6"/>
      <c r="B52" s="9"/>
      <c r="C52" s="9"/>
      <c r="D52" s="9"/>
      <c r="E52" s="9"/>
      <c r="F52" s="9"/>
      <c r="G52" s="9"/>
      <c r="H52" s="9"/>
      <c r="I52" s="9"/>
      <c r="J52" s="9"/>
      <c r="K52" s="9"/>
      <c r="L52" s="9"/>
      <c r="M52" s="9"/>
      <c r="N52" s="9"/>
      <c r="O52" s="9"/>
      <c r="P52" s="9"/>
      <c r="Q52" s="9"/>
      <c r="R52" s="9"/>
      <c r="S52" s="9"/>
      <c r="T52" s="9"/>
      <c r="U52" s="8"/>
    </row>
    <row r="53" spans="1:21" x14ac:dyDescent="0.3">
      <c r="A53" s="6"/>
      <c r="B53" s="9"/>
      <c r="C53" s="9"/>
      <c r="D53" s="9"/>
      <c r="E53" s="9"/>
      <c r="F53" s="9"/>
      <c r="G53" s="9"/>
      <c r="H53" s="9"/>
      <c r="I53" s="9"/>
      <c r="J53" s="9"/>
      <c r="K53" s="9"/>
      <c r="L53" s="9"/>
      <c r="M53" s="9"/>
      <c r="N53" s="9"/>
      <c r="O53" s="9"/>
      <c r="P53" s="9"/>
      <c r="Q53" s="9"/>
      <c r="R53" s="9"/>
      <c r="S53" s="9"/>
      <c r="T53" s="9"/>
      <c r="U53" s="8"/>
    </row>
    <row r="54" spans="1:21" x14ac:dyDescent="0.3">
      <c r="A54" s="6"/>
      <c r="B54" s="9"/>
      <c r="C54" s="9"/>
      <c r="D54" s="9"/>
      <c r="E54" s="9"/>
      <c r="F54" s="9"/>
      <c r="G54" s="9"/>
      <c r="H54" s="9"/>
      <c r="I54" s="9"/>
      <c r="J54" s="9"/>
      <c r="K54" s="9"/>
      <c r="L54" s="9"/>
      <c r="M54" s="9"/>
      <c r="N54" s="9"/>
      <c r="O54" s="9"/>
      <c r="P54" s="9"/>
      <c r="Q54" s="9"/>
      <c r="R54" s="9"/>
      <c r="S54" s="9"/>
      <c r="T54" s="9"/>
      <c r="U54" s="8"/>
    </row>
    <row r="55" spans="1:21" x14ac:dyDescent="0.3">
      <c r="A55" s="6"/>
      <c r="B55" s="9"/>
      <c r="C55" s="9"/>
      <c r="D55" s="9"/>
      <c r="E55" s="9"/>
      <c r="F55" s="9"/>
      <c r="G55" s="9"/>
      <c r="H55" s="9"/>
      <c r="I55" s="9"/>
      <c r="J55" s="9"/>
      <c r="K55" s="9"/>
      <c r="L55" s="9"/>
      <c r="M55" s="9"/>
      <c r="N55" s="9"/>
      <c r="O55" s="9"/>
      <c r="P55" s="9"/>
      <c r="Q55" s="9"/>
      <c r="R55" s="9"/>
      <c r="S55" s="9"/>
      <c r="T55" s="9"/>
      <c r="U55" s="8"/>
    </row>
    <row r="56" spans="1:21" x14ac:dyDescent="0.3">
      <c r="A56" s="6"/>
      <c r="B56" s="9"/>
      <c r="C56" s="9"/>
      <c r="D56" s="9"/>
      <c r="E56" s="9"/>
      <c r="F56" s="9"/>
      <c r="G56" s="9"/>
      <c r="H56" s="9"/>
      <c r="I56" s="9"/>
      <c r="J56" s="9"/>
      <c r="K56" s="9"/>
      <c r="L56" s="9"/>
      <c r="M56" s="9"/>
      <c r="N56" s="9"/>
      <c r="O56" s="9"/>
      <c r="P56" s="9"/>
      <c r="Q56" s="9"/>
      <c r="R56" s="9"/>
      <c r="S56" s="9"/>
      <c r="T56" s="9"/>
      <c r="U56" s="8"/>
    </row>
    <row r="57" spans="1:21" x14ac:dyDescent="0.3">
      <c r="A57" s="6"/>
      <c r="B57" s="9"/>
      <c r="C57" s="9"/>
      <c r="D57" s="9"/>
      <c r="E57" s="9"/>
      <c r="F57" s="9"/>
      <c r="G57" s="9"/>
      <c r="H57" s="9"/>
      <c r="I57" s="9"/>
      <c r="J57" s="9"/>
      <c r="K57" s="9"/>
      <c r="L57" s="9"/>
      <c r="M57" s="9"/>
      <c r="N57" s="9"/>
      <c r="O57" s="9"/>
      <c r="P57" s="9"/>
      <c r="Q57" s="9"/>
      <c r="R57" s="9"/>
      <c r="S57" s="9"/>
      <c r="T57" s="9"/>
      <c r="U57" s="8"/>
    </row>
    <row r="58" spans="1:21" ht="15" thickBot="1" x14ac:dyDescent="0.35">
      <c r="A58" s="10"/>
      <c r="B58" s="11"/>
      <c r="C58" s="11"/>
      <c r="D58" s="11"/>
      <c r="E58" s="11"/>
      <c r="F58" s="11"/>
      <c r="G58" s="11"/>
      <c r="H58" s="11"/>
      <c r="I58" s="11"/>
      <c r="J58" s="11"/>
      <c r="K58" s="11"/>
      <c r="L58" s="11"/>
      <c r="M58" s="11"/>
      <c r="N58" s="11"/>
      <c r="O58" s="11"/>
      <c r="P58" s="11"/>
      <c r="Q58" s="11"/>
      <c r="R58" s="11"/>
      <c r="S58" s="11"/>
      <c r="T58" s="11"/>
      <c r="U58" s="12"/>
    </row>
    <row r="71" spans="4:4" x14ac:dyDescent="0.3">
      <c r="D71" t="s">
        <v>5</v>
      </c>
    </row>
    <row r="72" spans="4:4" x14ac:dyDescent="0.3">
      <c r="D72" t="s">
        <v>5</v>
      </c>
    </row>
    <row r="73" spans="4:4" x14ac:dyDescent="0.3">
      <c r="D73" t="s">
        <v>5</v>
      </c>
    </row>
    <row r="74" spans="4:4" x14ac:dyDescent="0.3">
      <c r="D74" t="s">
        <v>5</v>
      </c>
    </row>
  </sheetData>
  <mergeCells count="1">
    <mergeCell ref="C1:D1"/>
  </mergeCells>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T309"/>
  <sheetViews>
    <sheetView workbookViewId="0">
      <pane ySplit="1" topLeftCell="A2" activePane="bottomLeft" state="frozen"/>
      <selection pane="bottomLeft" activeCell="A2" sqref="A2"/>
    </sheetView>
  </sheetViews>
  <sheetFormatPr defaultRowHeight="14.4" x14ac:dyDescent="0.3"/>
  <cols>
    <col min="1" max="1" width="9.109375" customWidth="1"/>
    <col min="2" max="2" width="23.88671875" customWidth="1"/>
    <col min="3" max="4" width="18" customWidth="1"/>
    <col min="5" max="5" width="14.5546875" customWidth="1"/>
    <col min="6" max="6" width="10" customWidth="1"/>
    <col min="7" max="7" width="12.44140625" customWidth="1"/>
    <col min="8" max="8" width="40.44140625" customWidth="1"/>
    <col min="9" max="9" width="10.5546875" customWidth="1"/>
    <col min="11" max="11" width="14.6640625" customWidth="1"/>
    <col min="12" max="12" width="3.88671875" customWidth="1"/>
    <col min="13" max="13" width="14.6640625" customWidth="1"/>
    <col min="14" max="14" width="3.88671875" customWidth="1"/>
    <col min="15" max="15" width="14.6640625" customWidth="1"/>
    <col min="16" max="21" width="12.109375" customWidth="1"/>
  </cols>
  <sheetData>
    <row r="1" spans="1:20" ht="34.5" customHeight="1" thickBot="1" x14ac:dyDescent="0.35">
      <c r="A1" s="146" t="s">
        <v>255</v>
      </c>
      <c r="B1" s="207" t="e" vm="1">
        <v>#VALUE!</v>
      </c>
      <c r="C1" s="214" t="s">
        <v>49</v>
      </c>
      <c r="D1" s="215"/>
      <c r="E1" s="25"/>
      <c r="F1" s="38"/>
      <c r="G1" s="38"/>
      <c r="H1" s="5"/>
      <c r="I1" s="5"/>
      <c r="J1" s="5"/>
      <c r="K1" s="5"/>
      <c r="L1" s="5"/>
      <c r="M1" s="5"/>
      <c r="N1" s="5"/>
      <c r="O1" s="5"/>
      <c r="P1" s="5"/>
      <c r="Q1" s="5"/>
      <c r="R1" s="5"/>
      <c r="S1" s="5"/>
      <c r="T1" s="7"/>
    </row>
    <row r="2" spans="1:20" x14ac:dyDescent="0.3">
      <c r="A2" s="6"/>
      <c r="B2" s="9"/>
      <c r="C2" s="9"/>
      <c r="D2" s="9"/>
      <c r="E2" s="9"/>
      <c r="F2" s="9"/>
      <c r="G2" s="9"/>
      <c r="H2" s="9"/>
      <c r="I2" s="9"/>
      <c r="J2" s="9"/>
      <c r="K2" s="9"/>
      <c r="L2" s="9"/>
      <c r="M2" s="9"/>
      <c r="N2" s="9"/>
      <c r="O2" s="9"/>
      <c r="P2" s="9"/>
      <c r="Q2" s="9"/>
      <c r="R2" s="9"/>
      <c r="S2" s="9"/>
      <c r="T2" s="8"/>
    </row>
    <row r="3" spans="1:20" x14ac:dyDescent="0.3">
      <c r="A3" s="9"/>
      <c r="B3" s="31" t="str" cm="1">
        <f t="array" ref="B3">IF(H6="","record trade",IF(H6=H7,_xll.U.CLEAR(B6:F6),_xll.U.PASTE(_xll.U.REGION(B6:H6),B7:H51)))</f>
        <v>record trade</v>
      </c>
      <c r="C3" s="9"/>
      <c r="D3" s="31" t="str" cm="1">
        <f t="array" ref="D3">IF(OR(B6="",D6&lt;&gt;""),"seed price",_xll.U.PASTE(IF(D6&lt;&gt;"",D6,IFERROR(VLOOKUP(B6,Q6:R30,2,FALSE),"")),D6))</f>
        <v>seed price</v>
      </c>
      <c r="E3" s="31"/>
      <c r="F3" s="9"/>
      <c r="G3" s="9"/>
      <c r="H3" s="9"/>
      <c r="I3" s="9"/>
      <c r="J3" s="9"/>
      <c r="K3" s="31" cm="1">
        <f t="array" ref="K3">_xll.U.PASTE(_xll.U.VUNIQUE(_xll.U.VAPPEND(K8:K20,UPPER(K5))),K8:K20,,,,TRUE)</f>
        <v>46072.453603194444</v>
      </c>
      <c r="L3" s="9"/>
      <c r="M3" s="31" cm="1">
        <f t="array" ref="M3">_xll.U.PASTE(_xll.U.VUNIQUE(_xll.U.VAPPEND(M8:M20,UPPER(M5))),M8:M20,,,,TRUE)</f>
        <v>46072.453602928239</v>
      </c>
      <c r="N3" s="9"/>
      <c r="O3" s="31" cm="1">
        <f t="array" ref="O3">_xll.U.PASTE(_xll.U.VUNIQUE(_xll.U.VAPPEND(O8:O20,UPPER(O5))),O8:O20,,,,TRUE)</f>
        <v>46072.453603194444</v>
      </c>
      <c r="P3" s="9"/>
      <c r="Q3" s="9"/>
      <c r="R3" s="9"/>
      <c r="S3" s="9"/>
      <c r="T3" s="8"/>
    </row>
    <row r="4" spans="1:20" x14ac:dyDescent="0.3">
      <c r="A4" s="36"/>
      <c r="B4" s="216" t="s">
        <v>50</v>
      </c>
      <c r="C4" s="221"/>
      <c r="D4" s="221"/>
      <c r="E4" s="221"/>
      <c r="F4" s="221"/>
      <c r="G4" s="221"/>
      <c r="H4" s="217"/>
      <c r="I4" s="37"/>
      <c r="J4" s="9"/>
      <c r="K4" s="20" t="s">
        <v>29</v>
      </c>
      <c r="L4" s="9"/>
      <c r="M4" s="20" t="s">
        <v>51</v>
      </c>
      <c r="N4" s="9"/>
      <c r="O4" s="20" t="s">
        <v>30</v>
      </c>
      <c r="P4" s="9"/>
      <c r="Q4" s="213" t="s">
        <v>66</v>
      </c>
      <c r="R4" s="213"/>
      <c r="S4" s="9"/>
      <c r="T4" s="8"/>
    </row>
    <row r="5" spans="1:20" x14ac:dyDescent="0.3">
      <c r="A5" s="36"/>
      <c r="B5" s="20" t="s">
        <v>1</v>
      </c>
      <c r="C5" s="20" t="s">
        <v>32</v>
      </c>
      <c r="D5" s="20" t="s">
        <v>33</v>
      </c>
      <c r="E5" s="20" t="s">
        <v>34</v>
      </c>
      <c r="F5" s="20" t="s">
        <v>6</v>
      </c>
      <c r="G5" s="20" t="s">
        <v>26</v>
      </c>
      <c r="H5" s="20" t="s">
        <v>35</v>
      </c>
      <c r="I5" s="37"/>
      <c r="J5" s="9"/>
      <c r="K5" s="17"/>
      <c r="L5" s="9"/>
      <c r="M5" s="17"/>
      <c r="N5" s="9"/>
      <c r="O5" s="17"/>
      <c r="P5" s="9"/>
      <c r="Q5" s="20" t="s">
        <v>1</v>
      </c>
      <c r="R5" s="20" t="s">
        <v>4</v>
      </c>
      <c r="S5" s="9"/>
      <c r="T5" s="8"/>
    </row>
    <row r="6" spans="1:20" x14ac:dyDescent="0.3">
      <c r="A6" s="36"/>
      <c r="B6" s="17"/>
      <c r="C6" s="18"/>
      <c r="D6" s="19"/>
      <c r="E6" s="19"/>
      <c r="F6" s="17"/>
      <c r="G6" s="42" t="str" cm="1">
        <f t="array" ref="G6">IF(H6="","",_xll.U.NOW())</f>
        <v/>
      </c>
      <c r="H6" s="43" t="str" cm="1">
        <f t="array" ref="H6">IF(COUNTBLANK(B6:F6)&gt;0,"",_xll.U.UUID())</f>
        <v/>
      </c>
      <c r="I6" s="37"/>
      <c r="J6" s="9"/>
      <c r="K6" s="9"/>
      <c r="L6" s="9"/>
      <c r="M6" s="9"/>
      <c r="N6" s="9"/>
      <c r="O6" s="9"/>
      <c r="P6" s="9"/>
      <c r="Q6" s="24" t="s">
        <v>7</v>
      </c>
      <c r="R6" s="41">
        <v>148.79</v>
      </c>
      <c r="S6" s="9"/>
      <c r="T6" s="8"/>
    </row>
    <row r="7" spans="1:20" x14ac:dyDescent="0.3">
      <c r="A7" s="36"/>
      <c r="B7" s="44" t="s">
        <v>7</v>
      </c>
      <c r="C7" s="45">
        <v>125</v>
      </c>
      <c r="D7" s="46">
        <v>148.79</v>
      </c>
      <c r="E7" s="46" t="s">
        <v>42</v>
      </c>
      <c r="F7" s="47" t="s">
        <v>43</v>
      </c>
      <c r="G7" s="48">
        <v>44235.894221643503</v>
      </c>
      <c r="H7" s="49" t="s">
        <v>310</v>
      </c>
      <c r="I7" s="37"/>
      <c r="J7" s="9"/>
      <c r="K7" s="20" t="s">
        <v>38</v>
      </c>
      <c r="L7" s="9"/>
      <c r="M7" s="20" t="s">
        <v>52</v>
      </c>
      <c r="N7" s="9"/>
      <c r="O7" s="20" t="s">
        <v>39</v>
      </c>
      <c r="P7" s="9"/>
      <c r="Q7" s="24" t="s">
        <v>12</v>
      </c>
      <c r="R7" s="41">
        <v>1002.8</v>
      </c>
      <c r="S7" s="9"/>
      <c r="T7" s="8"/>
    </row>
    <row r="8" spans="1:20" x14ac:dyDescent="0.3">
      <c r="A8" s="36"/>
      <c r="B8" s="44" t="s">
        <v>40</v>
      </c>
      <c r="C8" s="45">
        <v>-50</v>
      </c>
      <c r="D8" s="46">
        <v>33.299999999999997</v>
      </c>
      <c r="E8" s="46" t="s">
        <v>37</v>
      </c>
      <c r="F8" s="47" t="s">
        <v>44</v>
      </c>
      <c r="G8" s="48">
        <v>44235.893023726901</v>
      </c>
      <c r="H8" s="49" t="s">
        <v>309</v>
      </c>
      <c r="I8" s="37"/>
      <c r="J8" s="9"/>
      <c r="K8" s="39" t="s">
        <v>7</v>
      </c>
      <c r="L8" s="9"/>
      <c r="M8" s="39" t="s">
        <v>31</v>
      </c>
      <c r="N8" s="9"/>
      <c r="O8" s="39" t="s">
        <v>41</v>
      </c>
      <c r="P8" s="9"/>
      <c r="Q8" s="24" t="s">
        <v>40</v>
      </c>
      <c r="R8" s="41">
        <v>33.299999999999997</v>
      </c>
      <c r="S8" s="9"/>
      <c r="T8" s="8"/>
    </row>
    <row r="9" spans="1:20" x14ac:dyDescent="0.3">
      <c r="A9" s="36"/>
      <c r="B9" s="44" t="s">
        <v>40</v>
      </c>
      <c r="C9" s="45">
        <v>-50</v>
      </c>
      <c r="D9" s="46">
        <v>33.299999999999997</v>
      </c>
      <c r="E9" s="46" t="s">
        <v>37</v>
      </c>
      <c r="F9" s="47" t="s">
        <v>44</v>
      </c>
      <c r="G9" s="48">
        <v>44235.893023726901</v>
      </c>
      <c r="H9" s="49" t="s">
        <v>309</v>
      </c>
      <c r="I9" s="37"/>
      <c r="J9" s="9"/>
      <c r="K9" s="39" t="s">
        <v>12</v>
      </c>
      <c r="L9" s="9"/>
      <c r="M9" s="39" t="s">
        <v>36</v>
      </c>
      <c r="N9" s="9"/>
      <c r="O9" s="39" t="s">
        <v>43</v>
      </c>
      <c r="P9" s="9"/>
      <c r="Q9" s="24" t="s">
        <v>53</v>
      </c>
      <c r="R9" s="41">
        <v>24.41</v>
      </c>
      <c r="S9" s="9"/>
      <c r="T9" s="8"/>
    </row>
    <row r="10" spans="1:20" x14ac:dyDescent="0.3">
      <c r="A10" s="36"/>
      <c r="B10" s="44" t="s">
        <v>12</v>
      </c>
      <c r="C10" s="45">
        <v>150</v>
      </c>
      <c r="D10" s="46">
        <v>1002.8</v>
      </c>
      <c r="E10" s="46" t="s">
        <v>36</v>
      </c>
      <c r="F10" s="47" t="s">
        <v>43</v>
      </c>
      <c r="G10" s="48">
        <v>42941.815352766207</v>
      </c>
      <c r="H10" s="49" t="s">
        <v>69</v>
      </c>
      <c r="I10" s="37"/>
      <c r="J10" s="9"/>
      <c r="K10" s="39" t="s">
        <v>40</v>
      </c>
      <c r="L10" s="9"/>
      <c r="M10" s="39" t="s">
        <v>37</v>
      </c>
      <c r="N10" s="9"/>
      <c r="O10" s="39" t="s">
        <v>44</v>
      </c>
      <c r="P10" s="9"/>
      <c r="Q10" s="24" t="s">
        <v>54</v>
      </c>
      <c r="R10" s="41">
        <v>90.07</v>
      </c>
      <c r="S10" s="9"/>
      <c r="T10" s="8"/>
    </row>
    <row r="11" spans="1:20" x14ac:dyDescent="0.3">
      <c r="A11" s="36"/>
      <c r="B11" s="44" t="s">
        <v>12</v>
      </c>
      <c r="C11" s="45">
        <v>150</v>
      </c>
      <c r="D11" s="46">
        <v>1002.8</v>
      </c>
      <c r="E11" s="46" t="s">
        <v>36</v>
      </c>
      <c r="F11" s="47" t="s">
        <v>43</v>
      </c>
      <c r="G11" s="48">
        <v>42941.815352766207</v>
      </c>
      <c r="H11" s="49" t="s">
        <v>69</v>
      </c>
      <c r="I11" s="37"/>
      <c r="J11" s="9"/>
      <c r="K11" s="39" t="s">
        <v>45</v>
      </c>
      <c r="L11" s="9"/>
      <c r="M11" s="39" t="s">
        <v>42</v>
      </c>
      <c r="N11" s="9"/>
      <c r="O11" s="39" t="s">
        <v>5</v>
      </c>
      <c r="P11" s="9"/>
      <c r="Q11" s="24" t="s">
        <v>15</v>
      </c>
      <c r="R11" s="41">
        <v>157.83000000000001</v>
      </c>
      <c r="S11" s="9"/>
      <c r="T11" s="8"/>
    </row>
    <row r="12" spans="1:20" x14ac:dyDescent="0.3">
      <c r="A12" s="36"/>
      <c r="B12" s="44" t="s">
        <v>40</v>
      </c>
      <c r="C12" s="45">
        <v>40</v>
      </c>
      <c r="D12" s="46">
        <v>33.299999999999997</v>
      </c>
      <c r="E12" s="46" t="s">
        <v>31</v>
      </c>
      <c r="F12" s="47" t="s">
        <v>44</v>
      </c>
      <c r="G12" s="48">
        <v>42941.73277440972</v>
      </c>
      <c r="H12" s="49" t="s">
        <v>68</v>
      </c>
      <c r="I12" s="37"/>
      <c r="J12" s="9"/>
      <c r="K12" s="39" t="s">
        <v>15</v>
      </c>
      <c r="L12" s="9"/>
      <c r="M12" s="39" t="s">
        <v>5</v>
      </c>
      <c r="N12" s="9"/>
      <c r="O12" s="39"/>
      <c r="P12" s="9"/>
      <c r="Q12" s="24" t="s">
        <v>55</v>
      </c>
      <c r="R12" s="41">
        <v>27.36</v>
      </c>
      <c r="S12" s="9"/>
      <c r="T12" s="8"/>
    </row>
    <row r="13" spans="1:20" x14ac:dyDescent="0.3">
      <c r="A13" s="36"/>
      <c r="B13" s="44" t="s">
        <v>15</v>
      </c>
      <c r="C13" s="45">
        <v>-100</v>
      </c>
      <c r="D13" s="46">
        <v>157.83000000000001</v>
      </c>
      <c r="E13" s="46" t="s">
        <v>36</v>
      </c>
      <c r="F13" s="47" t="s">
        <v>41</v>
      </c>
      <c r="G13" s="48">
        <v>42941.729635300922</v>
      </c>
      <c r="H13" s="49" t="s">
        <v>67</v>
      </c>
      <c r="I13" s="37"/>
      <c r="J13" s="9"/>
      <c r="K13" s="39" t="s">
        <v>13</v>
      </c>
      <c r="L13" s="9"/>
      <c r="M13" s="39" t="s">
        <v>5</v>
      </c>
      <c r="N13" s="9"/>
      <c r="O13" s="39"/>
      <c r="P13" s="9"/>
      <c r="Q13" s="24" t="s">
        <v>13</v>
      </c>
      <c r="R13" s="41">
        <v>948.67</v>
      </c>
      <c r="S13" s="9"/>
      <c r="T13" s="8"/>
    </row>
    <row r="14" spans="1:20" x14ac:dyDescent="0.3">
      <c r="A14" s="36"/>
      <c r="B14" s="44"/>
      <c r="C14" s="45"/>
      <c r="D14" s="46"/>
      <c r="E14" s="46"/>
      <c r="F14" s="47"/>
      <c r="G14" s="48"/>
      <c r="H14" s="49"/>
      <c r="I14" s="37"/>
      <c r="J14" s="9"/>
      <c r="K14" s="39" t="s">
        <v>8</v>
      </c>
      <c r="L14" s="9"/>
      <c r="M14" s="39" t="s">
        <v>5</v>
      </c>
      <c r="N14" s="9"/>
      <c r="O14" s="39"/>
      <c r="P14" s="9"/>
      <c r="Q14" s="24" t="s">
        <v>56</v>
      </c>
      <c r="R14" s="41">
        <v>50.24</v>
      </c>
      <c r="S14" s="9"/>
      <c r="T14" s="8"/>
    </row>
    <row r="15" spans="1:20" x14ac:dyDescent="0.3">
      <c r="A15" s="36"/>
      <c r="B15" s="44"/>
      <c r="C15" s="45"/>
      <c r="D15" s="46"/>
      <c r="E15" s="46"/>
      <c r="F15" s="47"/>
      <c r="G15" s="48"/>
      <c r="H15" s="49"/>
      <c r="I15" s="37"/>
      <c r="J15" s="9"/>
      <c r="K15" s="39" t="s">
        <v>47</v>
      </c>
      <c r="L15" s="9" t="s">
        <v>46</v>
      </c>
      <c r="M15" s="39" t="s">
        <v>5</v>
      </c>
      <c r="N15" s="9"/>
      <c r="O15" s="39"/>
      <c r="P15" s="9"/>
      <c r="Q15" s="24" t="s">
        <v>57</v>
      </c>
      <c r="R15" s="41">
        <v>10.01</v>
      </c>
      <c r="S15" s="9"/>
      <c r="T15" s="8"/>
    </row>
    <row r="16" spans="1:20" x14ac:dyDescent="0.3">
      <c r="A16" s="36"/>
      <c r="B16" s="44"/>
      <c r="C16" s="45"/>
      <c r="D16" s="46"/>
      <c r="E16" s="46"/>
      <c r="F16" s="47"/>
      <c r="G16" s="48"/>
      <c r="H16" s="49"/>
      <c r="I16" s="37"/>
      <c r="J16" s="9"/>
      <c r="K16" s="39" t="s">
        <v>48</v>
      </c>
      <c r="L16" s="9"/>
      <c r="M16" s="39" t="s">
        <v>5</v>
      </c>
      <c r="N16" s="9"/>
      <c r="O16" s="39"/>
      <c r="P16" s="9"/>
      <c r="Q16" s="24" t="s">
        <v>58</v>
      </c>
      <c r="R16" s="41">
        <v>80.73</v>
      </c>
      <c r="S16" s="9"/>
      <c r="T16" s="8"/>
    </row>
    <row r="17" spans="1:20" x14ac:dyDescent="0.3">
      <c r="A17" s="36"/>
      <c r="B17" s="44"/>
      <c r="C17" s="45"/>
      <c r="D17" s="46"/>
      <c r="E17" s="46"/>
      <c r="F17" s="47"/>
      <c r="G17" s="48"/>
      <c r="H17" s="49"/>
      <c r="I17" s="37"/>
      <c r="J17" s="9"/>
      <c r="K17" s="39" t="s">
        <v>5</v>
      </c>
      <c r="L17" s="9"/>
      <c r="M17" s="39" t="s">
        <v>5</v>
      </c>
      <c r="N17" s="9"/>
      <c r="O17" s="39"/>
      <c r="P17" s="9"/>
      <c r="Q17" s="24" t="s">
        <v>47</v>
      </c>
      <c r="R17" s="41">
        <v>71.81</v>
      </c>
      <c r="S17" s="9"/>
      <c r="T17" s="8"/>
    </row>
    <row r="18" spans="1:20" x14ac:dyDescent="0.3">
      <c r="A18" s="36"/>
      <c r="B18" s="44"/>
      <c r="C18" s="45"/>
      <c r="D18" s="46"/>
      <c r="E18" s="46"/>
      <c r="F18" s="47"/>
      <c r="G18" s="48"/>
      <c r="H18" s="49"/>
      <c r="I18" s="37"/>
      <c r="J18" s="9"/>
      <c r="K18" s="39" t="s">
        <v>5</v>
      </c>
      <c r="L18" s="9"/>
      <c r="M18" s="39" t="s">
        <v>5</v>
      </c>
      <c r="N18" s="9"/>
      <c r="O18" s="39"/>
      <c r="P18" s="9"/>
      <c r="Q18" s="24" t="s">
        <v>48</v>
      </c>
      <c r="R18" s="41">
        <v>157.94999999999999</v>
      </c>
      <c r="S18" s="9"/>
      <c r="T18" s="8"/>
    </row>
    <row r="19" spans="1:20" x14ac:dyDescent="0.3">
      <c r="A19" s="36"/>
      <c r="B19" s="44"/>
      <c r="C19" s="45"/>
      <c r="D19" s="46"/>
      <c r="E19" s="46"/>
      <c r="F19" s="47"/>
      <c r="G19" s="48"/>
      <c r="H19" s="49"/>
      <c r="I19" s="37"/>
      <c r="J19" s="9"/>
      <c r="K19" s="39" t="s">
        <v>5</v>
      </c>
      <c r="L19" s="9"/>
      <c r="M19" s="39" t="s">
        <v>5</v>
      </c>
      <c r="N19" s="9"/>
      <c r="O19" s="39"/>
      <c r="P19" s="9"/>
      <c r="Q19" s="24" t="s">
        <v>59</v>
      </c>
      <c r="R19" s="41">
        <v>16.64</v>
      </c>
      <c r="S19" s="9"/>
      <c r="T19" s="8"/>
    </row>
    <row r="20" spans="1:20" x14ac:dyDescent="0.3">
      <c r="A20" s="36"/>
      <c r="B20" s="44"/>
      <c r="C20" s="45"/>
      <c r="D20" s="46"/>
      <c r="E20" s="46"/>
      <c r="F20" s="47"/>
      <c r="G20" s="48"/>
      <c r="H20" s="49"/>
      <c r="I20" s="37"/>
      <c r="J20" s="9"/>
      <c r="K20" s="40" t="s">
        <v>5</v>
      </c>
      <c r="L20" s="9"/>
      <c r="M20" s="40" t="s">
        <v>5</v>
      </c>
      <c r="N20" s="9"/>
      <c r="O20" s="40"/>
      <c r="P20" s="9"/>
      <c r="Q20" s="24" t="s">
        <v>60</v>
      </c>
      <c r="R20" s="41">
        <v>63.2</v>
      </c>
      <c r="S20" s="9"/>
      <c r="T20" s="8"/>
    </row>
    <row r="21" spans="1:20" x14ac:dyDescent="0.3">
      <c r="A21" s="36"/>
      <c r="B21" s="44"/>
      <c r="C21" s="45"/>
      <c r="D21" s="46"/>
      <c r="E21" s="46"/>
      <c r="F21" s="47"/>
      <c r="G21" s="48"/>
      <c r="H21" s="49"/>
      <c r="I21" s="37"/>
      <c r="J21" s="9"/>
      <c r="K21" s="9"/>
      <c r="L21" s="9"/>
      <c r="M21" s="9"/>
      <c r="N21" s="9"/>
      <c r="O21" s="9"/>
      <c r="P21" s="9"/>
      <c r="Q21" s="24" t="s">
        <v>61</v>
      </c>
      <c r="R21" s="41">
        <v>248.35</v>
      </c>
      <c r="S21" s="9"/>
      <c r="T21" s="8"/>
    </row>
    <row r="22" spans="1:20" x14ac:dyDescent="0.3">
      <c r="A22" s="36"/>
      <c r="B22" s="44"/>
      <c r="C22" s="45"/>
      <c r="D22" s="46"/>
      <c r="E22" s="46"/>
      <c r="F22" s="47"/>
      <c r="G22" s="48"/>
      <c r="H22" s="49"/>
      <c r="I22" s="37"/>
      <c r="J22" s="9"/>
      <c r="K22" s="9"/>
      <c r="L22" s="9"/>
      <c r="M22" s="9"/>
      <c r="N22" s="9"/>
      <c r="O22" s="9"/>
      <c r="P22" s="9"/>
      <c r="Q22" s="24" t="s">
        <v>62</v>
      </c>
      <c r="R22" s="41">
        <v>11.46</v>
      </c>
      <c r="S22" s="9"/>
      <c r="T22" s="8"/>
    </row>
    <row r="23" spans="1:20" x14ac:dyDescent="0.3">
      <c r="A23" s="36"/>
      <c r="B23" s="44"/>
      <c r="C23" s="45"/>
      <c r="D23" s="46"/>
      <c r="E23" s="46"/>
      <c r="F23" s="47"/>
      <c r="G23" s="48"/>
      <c r="H23" s="49"/>
      <c r="I23" s="37"/>
      <c r="J23" s="9"/>
      <c r="K23" s="9"/>
      <c r="L23" s="9"/>
      <c r="M23" s="9"/>
      <c r="N23" s="9"/>
      <c r="O23" s="9"/>
      <c r="P23" s="9"/>
      <c r="Q23" s="24" t="s">
        <v>63</v>
      </c>
      <c r="R23" s="41">
        <v>315.14</v>
      </c>
      <c r="S23" s="9"/>
      <c r="T23" s="8"/>
    </row>
    <row r="24" spans="1:20" x14ac:dyDescent="0.3">
      <c r="A24" s="36"/>
      <c r="B24" s="44"/>
      <c r="C24" s="45"/>
      <c r="D24" s="46"/>
      <c r="E24" s="46"/>
      <c r="F24" s="47"/>
      <c r="G24" s="48"/>
      <c r="H24" s="49"/>
      <c r="I24" s="37"/>
      <c r="J24" s="9"/>
      <c r="K24" s="9"/>
      <c r="L24" s="9"/>
      <c r="M24" s="9"/>
      <c r="N24" s="9"/>
      <c r="O24" s="9"/>
      <c r="P24" s="9"/>
      <c r="Q24" s="24" t="s">
        <v>64</v>
      </c>
      <c r="R24" s="41">
        <v>42.94</v>
      </c>
      <c r="S24" s="9"/>
      <c r="T24" s="8"/>
    </row>
    <row r="25" spans="1:20" x14ac:dyDescent="0.3">
      <c r="A25" s="36"/>
      <c r="B25" s="44"/>
      <c r="C25" s="45"/>
      <c r="D25" s="46"/>
      <c r="E25" s="46"/>
      <c r="F25" s="47"/>
      <c r="G25" s="48"/>
      <c r="H25" s="49"/>
      <c r="I25" s="37"/>
      <c r="J25" s="9"/>
      <c r="K25" s="9"/>
      <c r="L25" s="9"/>
      <c r="M25" s="9"/>
      <c r="N25" s="9"/>
      <c r="O25" s="9"/>
      <c r="P25" s="9"/>
      <c r="Q25" s="24" t="s">
        <v>65</v>
      </c>
      <c r="R25" s="41">
        <v>30.27</v>
      </c>
      <c r="S25" s="9"/>
      <c r="T25" s="8"/>
    </row>
    <row r="26" spans="1:20" x14ac:dyDescent="0.3">
      <c r="A26" s="36"/>
      <c r="B26" s="44"/>
      <c r="C26" s="45"/>
      <c r="D26" s="46"/>
      <c r="E26" s="46"/>
      <c r="F26" s="47"/>
      <c r="G26" s="48"/>
      <c r="H26" s="49"/>
      <c r="I26" s="37"/>
      <c r="J26" s="9"/>
      <c r="K26" s="9"/>
      <c r="L26" s="9"/>
      <c r="M26" s="9"/>
      <c r="N26" s="9"/>
      <c r="O26" s="9"/>
      <c r="P26" s="9"/>
      <c r="Q26" s="24"/>
      <c r="R26" s="41"/>
      <c r="S26" s="9"/>
      <c r="T26" s="8"/>
    </row>
    <row r="27" spans="1:20" x14ac:dyDescent="0.3">
      <c r="A27" s="36"/>
      <c r="B27" s="44"/>
      <c r="C27" s="45"/>
      <c r="D27" s="46"/>
      <c r="E27" s="46"/>
      <c r="F27" s="47"/>
      <c r="G27" s="48"/>
      <c r="H27" s="49"/>
      <c r="I27" s="37"/>
      <c r="J27" s="9"/>
      <c r="K27" s="9"/>
      <c r="L27" s="9"/>
      <c r="M27" s="9"/>
      <c r="N27" s="9"/>
      <c r="O27" s="9"/>
      <c r="P27" s="9"/>
      <c r="Q27" s="24"/>
      <c r="R27" s="41"/>
      <c r="S27" s="9"/>
      <c r="T27" s="8"/>
    </row>
    <row r="28" spans="1:20" x14ac:dyDescent="0.3">
      <c r="A28" s="36"/>
      <c r="B28" s="44"/>
      <c r="C28" s="45"/>
      <c r="D28" s="46"/>
      <c r="E28" s="46"/>
      <c r="F28" s="47"/>
      <c r="G28" s="48"/>
      <c r="H28" s="49"/>
      <c r="I28" s="37"/>
      <c r="J28" s="9"/>
      <c r="K28" s="9"/>
      <c r="L28" s="9"/>
      <c r="M28" s="9"/>
      <c r="N28" s="9"/>
      <c r="O28" s="9"/>
      <c r="P28" s="9"/>
      <c r="Q28" s="24"/>
      <c r="R28" s="41"/>
      <c r="S28" s="9"/>
      <c r="T28" s="8"/>
    </row>
    <row r="29" spans="1:20" x14ac:dyDescent="0.3">
      <c r="A29" s="36"/>
      <c r="B29" s="44"/>
      <c r="C29" s="45"/>
      <c r="D29" s="46"/>
      <c r="E29" s="46"/>
      <c r="F29" s="47"/>
      <c r="G29" s="48"/>
      <c r="H29" s="49"/>
      <c r="I29" s="37"/>
      <c r="J29" s="9"/>
      <c r="K29" s="9"/>
      <c r="L29" s="9"/>
      <c r="M29" s="9"/>
      <c r="N29" s="9"/>
      <c r="O29" s="9"/>
      <c r="P29" s="9"/>
      <c r="Q29" s="24"/>
      <c r="R29" s="41"/>
      <c r="S29" s="9"/>
      <c r="T29" s="8"/>
    </row>
    <row r="30" spans="1:20" x14ac:dyDescent="0.3">
      <c r="A30" s="36"/>
      <c r="B30" s="44"/>
      <c r="C30" s="45"/>
      <c r="D30" s="46"/>
      <c r="E30" s="46"/>
      <c r="F30" s="47"/>
      <c r="G30" s="48"/>
      <c r="H30" s="49"/>
      <c r="I30" s="37"/>
      <c r="J30" s="9"/>
      <c r="K30" s="9"/>
      <c r="L30" s="9"/>
      <c r="M30" s="9"/>
      <c r="N30" s="9"/>
      <c r="O30" s="9"/>
      <c r="P30" s="9"/>
      <c r="Q30" s="24"/>
      <c r="R30" s="41"/>
      <c r="S30" s="9"/>
      <c r="T30" s="8"/>
    </row>
    <row r="31" spans="1:20" x14ac:dyDescent="0.3">
      <c r="A31" s="36"/>
      <c r="B31" s="44"/>
      <c r="C31" s="45"/>
      <c r="D31" s="46"/>
      <c r="E31" s="46"/>
      <c r="F31" s="47"/>
      <c r="G31" s="48"/>
      <c r="H31" s="49"/>
      <c r="I31" s="37"/>
      <c r="J31" s="9"/>
      <c r="K31" s="9"/>
      <c r="L31" s="9"/>
      <c r="M31" s="9"/>
      <c r="N31" s="9"/>
      <c r="O31" s="9"/>
      <c r="P31" s="9"/>
      <c r="Q31" s="9"/>
      <c r="R31" s="9"/>
      <c r="S31" s="9"/>
      <c r="T31" s="8"/>
    </row>
    <row r="32" spans="1:20" x14ac:dyDescent="0.3">
      <c r="A32" s="36"/>
      <c r="B32" s="44"/>
      <c r="C32" s="45"/>
      <c r="D32" s="46"/>
      <c r="E32" s="46"/>
      <c r="F32" s="47"/>
      <c r="G32" s="48"/>
      <c r="H32" s="49"/>
      <c r="I32" s="37"/>
      <c r="J32" s="9"/>
      <c r="K32" s="9"/>
      <c r="L32" s="9"/>
      <c r="M32" s="9"/>
      <c r="N32" s="9"/>
      <c r="O32" s="9"/>
      <c r="P32" s="9"/>
      <c r="Q32" s="9"/>
      <c r="R32" s="9"/>
      <c r="S32" s="9"/>
      <c r="T32" s="8"/>
    </row>
    <row r="33" spans="1:20" x14ac:dyDescent="0.3">
      <c r="A33" s="36"/>
      <c r="B33" s="44"/>
      <c r="C33" s="45"/>
      <c r="D33" s="46"/>
      <c r="E33" s="46"/>
      <c r="F33" s="47"/>
      <c r="G33" s="48"/>
      <c r="H33" s="49"/>
      <c r="I33" s="37"/>
      <c r="J33" s="9"/>
      <c r="K33" s="9"/>
      <c r="L33" s="9"/>
      <c r="M33" s="9"/>
      <c r="N33" s="9"/>
      <c r="O33" s="9"/>
      <c r="P33" s="9"/>
      <c r="Q33" s="9"/>
      <c r="R33" s="9"/>
      <c r="S33" s="9"/>
      <c r="T33" s="8"/>
    </row>
    <row r="34" spans="1:20" x14ac:dyDescent="0.3">
      <c r="A34" s="36"/>
      <c r="B34" s="44"/>
      <c r="C34" s="45"/>
      <c r="D34" s="46"/>
      <c r="E34" s="46"/>
      <c r="F34" s="47"/>
      <c r="G34" s="48"/>
      <c r="H34" s="49"/>
      <c r="I34" s="37"/>
      <c r="J34" s="9"/>
      <c r="K34" s="9"/>
      <c r="L34" s="9"/>
      <c r="M34" s="9"/>
      <c r="N34" s="9"/>
      <c r="O34" s="9"/>
      <c r="P34" s="9"/>
      <c r="Q34" s="9"/>
      <c r="R34" s="9"/>
      <c r="S34" s="9"/>
      <c r="T34" s="8"/>
    </row>
    <row r="35" spans="1:20" x14ac:dyDescent="0.3">
      <c r="A35" s="36"/>
      <c r="B35" s="44"/>
      <c r="C35" s="45"/>
      <c r="D35" s="46"/>
      <c r="E35" s="46"/>
      <c r="F35" s="47"/>
      <c r="G35" s="48"/>
      <c r="H35" s="49"/>
      <c r="I35" s="37"/>
      <c r="J35" s="9"/>
      <c r="K35" s="9"/>
      <c r="L35" s="9"/>
      <c r="M35" s="9"/>
      <c r="N35" s="9"/>
      <c r="O35" s="9"/>
      <c r="P35" s="9"/>
      <c r="Q35" s="9"/>
      <c r="R35" s="9"/>
      <c r="S35" s="9"/>
      <c r="T35" s="8"/>
    </row>
    <row r="36" spans="1:20" x14ac:dyDescent="0.3">
      <c r="A36" s="36"/>
      <c r="B36" s="44"/>
      <c r="C36" s="45"/>
      <c r="D36" s="46"/>
      <c r="E36" s="46"/>
      <c r="F36" s="47"/>
      <c r="G36" s="48"/>
      <c r="H36" s="49"/>
      <c r="I36" s="37"/>
      <c r="J36" s="9"/>
      <c r="K36" s="9"/>
      <c r="L36" s="9"/>
      <c r="M36" s="9"/>
      <c r="N36" s="9"/>
      <c r="O36" s="9"/>
      <c r="P36" s="9"/>
      <c r="Q36" s="9"/>
      <c r="R36" s="9"/>
      <c r="S36" s="9"/>
      <c r="T36" s="8"/>
    </row>
    <row r="37" spans="1:20" x14ac:dyDescent="0.3">
      <c r="A37" s="36"/>
      <c r="B37" s="44"/>
      <c r="C37" s="45"/>
      <c r="D37" s="46"/>
      <c r="E37" s="46"/>
      <c r="F37" s="47"/>
      <c r="G37" s="48"/>
      <c r="H37" s="49"/>
      <c r="I37" s="37"/>
      <c r="J37" s="9"/>
      <c r="K37" s="9"/>
      <c r="L37" s="9"/>
      <c r="M37" s="9"/>
      <c r="N37" s="9"/>
      <c r="O37" s="9"/>
      <c r="P37" s="9"/>
      <c r="Q37" s="9"/>
      <c r="R37" s="9"/>
      <c r="S37" s="9"/>
      <c r="T37" s="8"/>
    </row>
    <row r="38" spans="1:20" x14ac:dyDescent="0.3">
      <c r="A38" s="36"/>
      <c r="B38" s="44"/>
      <c r="C38" s="45"/>
      <c r="D38" s="46"/>
      <c r="E38" s="46"/>
      <c r="F38" s="47"/>
      <c r="G38" s="48"/>
      <c r="H38" s="49"/>
      <c r="I38" s="37"/>
      <c r="J38" s="9"/>
      <c r="K38" s="9"/>
      <c r="L38" s="9"/>
      <c r="M38" s="9"/>
      <c r="N38" s="9"/>
      <c r="O38" s="9"/>
      <c r="P38" s="9"/>
      <c r="Q38" s="9"/>
      <c r="R38" s="9"/>
      <c r="S38" s="9"/>
      <c r="T38" s="8"/>
    </row>
    <row r="39" spans="1:20" x14ac:dyDescent="0.3">
      <c r="A39" s="36"/>
      <c r="B39" s="44"/>
      <c r="C39" s="45"/>
      <c r="D39" s="46"/>
      <c r="E39" s="46"/>
      <c r="F39" s="47"/>
      <c r="G39" s="48"/>
      <c r="H39" s="49"/>
      <c r="I39" s="37"/>
      <c r="J39" s="9"/>
      <c r="K39" s="9"/>
      <c r="L39" s="9"/>
      <c r="M39" s="9"/>
      <c r="N39" s="9"/>
      <c r="O39" s="9"/>
      <c r="P39" s="9"/>
      <c r="Q39" s="9"/>
      <c r="R39" s="9"/>
      <c r="S39" s="9"/>
      <c r="T39" s="8"/>
    </row>
    <row r="40" spans="1:20" x14ac:dyDescent="0.3">
      <c r="A40" s="36"/>
      <c r="B40" s="44"/>
      <c r="C40" s="45"/>
      <c r="D40" s="46"/>
      <c r="E40" s="46"/>
      <c r="F40" s="47"/>
      <c r="G40" s="48"/>
      <c r="H40" s="49"/>
      <c r="I40" s="37"/>
      <c r="J40" s="9"/>
      <c r="K40" s="9"/>
      <c r="L40" s="9"/>
      <c r="M40" s="9"/>
      <c r="N40" s="9"/>
      <c r="O40" s="9"/>
      <c r="P40" s="9"/>
      <c r="Q40" s="9"/>
      <c r="R40" s="9"/>
      <c r="S40" s="9"/>
      <c r="T40" s="8"/>
    </row>
    <row r="41" spans="1:20" x14ac:dyDescent="0.3">
      <c r="A41" s="36"/>
      <c r="B41" s="44"/>
      <c r="C41" s="45"/>
      <c r="D41" s="46"/>
      <c r="E41" s="46"/>
      <c r="F41" s="47"/>
      <c r="G41" s="48"/>
      <c r="H41" s="49"/>
      <c r="I41" s="37"/>
      <c r="J41" s="9"/>
      <c r="K41" s="9"/>
      <c r="L41" s="9"/>
      <c r="M41" s="9"/>
      <c r="N41" s="9"/>
      <c r="O41" s="9"/>
      <c r="P41" s="9"/>
      <c r="Q41" s="9"/>
      <c r="R41" s="9"/>
      <c r="S41" s="9"/>
      <c r="T41" s="8"/>
    </row>
    <row r="42" spans="1:20" x14ac:dyDescent="0.3">
      <c r="A42" s="36"/>
      <c r="B42" s="44"/>
      <c r="C42" s="45"/>
      <c r="D42" s="46"/>
      <c r="E42" s="46"/>
      <c r="F42" s="47"/>
      <c r="G42" s="48"/>
      <c r="H42" s="49"/>
      <c r="I42" s="37"/>
      <c r="J42" s="9"/>
      <c r="K42" s="9"/>
      <c r="L42" s="9"/>
      <c r="M42" s="9"/>
      <c r="N42" s="9"/>
      <c r="O42" s="9"/>
      <c r="P42" s="9"/>
      <c r="Q42" s="9"/>
      <c r="R42" s="9"/>
      <c r="S42" s="9"/>
      <c r="T42" s="8"/>
    </row>
    <row r="43" spans="1:20" x14ac:dyDescent="0.3">
      <c r="A43" s="36"/>
      <c r="B43" s="44"/>
      <c r="C43" s="45"/>
      <c r="D43" s="46"/>
      <c r="E43" s="46"/>
      <c r="F43" s="47"/>
      <c r="G43" s="48"/>
      <c r="H43" s="49"/>
      <c r="I43" s="37"/>
      <c r="J43" s="9"/>
      <c r="K43" s="9"/>
      <c r="L43" s="9"/>
      <c r="M43" s="9"/>
      <c r="N43" s="9"/>
      <c r="O43" s="9"/>
      <c r="P43" s="9"/>
      <c r="Q43" s="9"/>
      <c r="R43" s="9"/>
      <c r="S43" s="9"/>
      <c r="T43" s="8"/>
    </row>
    <row r="44" spans="1:20" x14ac:dyDescent="0.3">
      <c r="A44" s="36"/>
      <c r="B44" s="44"/>
      <c r="C44" s="45"/>
      <c r="D44" s="46"/>
      <c r="E44" s="46"/>
      <c r="F44" s="47"/>
      <c r="G44" s="48"/>
      <c r="H44" s="49"/>
      <c r="I44" s="37"/>
      <c r="J44" s="9"/>
      <c r="K44" s="9"/>
      <c r="L44" s="9"/>
      <c r="M44" s="9"/>
      <c r="N44" s="9"/>
      <c r="O44" s="9"/>
      <c r="P44" s="9"/>
      <c r="Q44" s="9"/>
      <c r="R44" s="9"/>
      <c r="S44" s="9"/>
      <c r="T44" s="8"/>
    </row>
    <row r="45" spans="1:20" x14ac:dyDescent="0.3">
      <c r="A45" s="36"/>
      <c r="B45" s="44"/>
      <c r="C45" s="45"/>
      <c r="D45" s="46"/>
      <c r="E45" s="46"/>
      <c r="F45" s="47"/>
      <c r="G45" s="48"/>
      <c r="H45" s="49"/>
      <c r="I45" s="37"/>
      <c r="J45" s="9"/>
      <c r="K45" s="9"/>
      <c r="L45" s="9"/>
      <c r="M45" s="9"/>
      <c r="N45" s="9"/>
      <c r="O45" s="9"/>
      <c r="P45" s="9"/>
      <c r="Q45" s="9"/>
      <c r="R45" s="9"/>
      <c r="S45" s="9"/>
      <c r="T45" s="8"/>
    </row>
    <row r="46" spans="1:20" x14ac:dyDescent="0.3">
      <c r="A46" s="36"/>
      <c r="B46" s="44"/>
      <c r="C46" s="45"/>
      <c r="D46" s="46"/>
      <c r="E46" s="46"/>
      <c r="F46" s="47"/>
      <c r="G46" s="48"/>
      <c r="H46" s="49"/>
      <c r="I46" s="37"/>
      <c r="J46" s="9"/>
      <c r="K46" s="9"/>
      <c r="L46" s="9"/>
      <c r="M46" s="9"/>
      <c r="N46" s="9"/>
      <c r="O46" s="9"/>
      <c r="P46" s="9"/>
      <c r="Q46" s="9"/>
      <c r="R46" s="9"/>
      <c r="S46" s="9"/>
      <c r="T46" s="8"/>
    </row>
    <row r="47" spans="1:20" x14ac:dyDescent="0.3">
      <c r="A47" s="36"/>
      <c r="B47" s="44"/>
      <c r="C47" s="45"/>
      <c r="D47" s="46"/>
      <c r="E47" s="46"/>
      <c r="F47" s="47"/>
      <c r="G47" s="48"/>
      <c r="H47" s="49"/>
      <c r="I47" s="37"/>
      <c r="J47" s="9"/>
      <c r="K47" s="9"/>
      <c r="L47" s="9"/>
      <c r="M47" s="9"/>
      <c r="N47" s="9"/>
      <c r="O47" s="9"/>
      <c r="P47" s="9"/>
      <c r="Q47" s="9"/>
      <c r="R47" s="9"/>
      <c r="S47" s="9"/>
      <c r="T47" s="8"/>
    </row>
    <row r="48" spans="1:20" x14ac:dyDescent="0.3">
      <c r="A48" s="36"/>
      <c r="B48" s="44"/>
      <c r="C48" s="45"/>
      <c r="D48" s="46"/>
      <c r="E48" s="46"/>
      <c r="F48" s="47"/>
      <c r="G48" s="48"/>
      <c r="H48" s="49"/>
      <c r="I48" s="37"/>
      <c r="J48" s="9"/>
      <c r="K48" s="9"/>
      <c r="L48" s="9"/>
      <c r="M48" s="9"/>
      <c r="N48" s="9"/>
      <c r="O48" s="9"/>
      <c r="P48" s="9"/>
      <c r="Q48" s="9"/>
      <c r="R48" s="9"/>
      <c r="S48" s="9"/>
      <c r="T48" s="8"/>
    </row>
    <row r="49" spans="1:20" x14ac:dyDescent="0.3">
      <c r="A49" s="36"/>
      <c r="B49" s="44"/>
      <c r="C49" s="45"/>
      <c r="D49" s="46"/>
      <c r="E49" s="46"/>
      <c r="F49" s="47"/>
      <c r="G49" s="48"/>
      <c r="H49" s="49"/>
      <c r="I49" s="37"/>
      <c r="J49" s="9"/>
      <c r="K49" s="9"/>
      <c r="L49" s="9"/>
      <c r="M49" s="9"/>
      <c r="N49" s="9"/>
      <c r="O49" s="9"/>
      <c r="P49" s="9"/>
      <c r="Q49" s="9"/>
      <c r="R49" s="9"/>
      <c r="S49" s="9"/>
      <c r="T49" s="8"/>
    </row>
    <row r="50" spans="1:20" x14ac:dyDescent="0.3">
      <c r="A50" s="36"/>
      <c r="B50" s="44"/>
      <c r="C50" s="45"/>
      <c r="D50" s="46"/>
      <c r="E50" s="46"/>
      <c r="F50" s="47"/>
      <c r="G50" s="48"/>
      <c r="H50" s="49"/>
      <c r="I50" s="37"/>
      <c r="J50" s="9"/>
      <c r="K50" s="9"/>
      <c r="L50" s="9"/>
      <c r="M50" s="9"/>
      <c r="N50" s="9"/>
      <c r="O50" s="9"/>
      <c r="P50" s="9"/>
      <c r="Q50" s="9"/>
      <c r="R50" s="9"/>
      <c r="S50" s="9"/>
      <c r="T50" s="8"/>
    </row>
    <row r="51" spans="1:20" x14ac:dyDescent="0.3">
      <c r="A51" s="36"/>
      <c r="B51" s="50"/>
      <c r="C51" s="51"/>
      <c r="D51" s="52"/>
      <c r="E51" s="52"/>
      <c r="F51" s="53"/>
      <c r="G51" s="54"/>
      <c r="H51" s="55"/>
      <c r="I51" s="37"/>
      <c r="J51" s="9"/>
      <c r="K51" s="9"/>
      <c r="L51" s="9"/>
      <c r="M51" s="9"/>
      <c r="N51" s="9"/>
      <c r="O51" s="9"/>
      <c r="P51" s="9"/>
      <c r="Q51" s="9"/>
      <c r="R51" s="9"/>
      <c r="S51" s="9"/>
      <c r="T51" s="8"/>
    </row>
    <row r="52" spans="1:20" x14ac:dyDescent="0.3">
      <c r="A52" s="6"/>
      <c r="B52" s="9"/>
      <c r="C52" s="9"/>
      <c r="D52" s="9"/>
      <c r="E52" s="9"/>
      <c r="F52" s="32"/>
      <c r="G52" s="33"/>
      <c r="H52" s="33"/>
      <c r="I52" s="9"/>
      <c r="J52" s="9"/>
      <c r="K52" s="9"/>
      <c r="L52" s="9"/>
      <c r="M52" s="9"/>
      <c r="N52" s="9"/>
      <c r="O52" s="9"/>
      <c r="P52" s="9"/>
      <c r="Q52" s="9"/>
      <c r="R52" s="9"/>
      <c r="S52" s="9"/>
      <c r="T52" s="8"/>
    </row>
    <row r="53" spans="1:20" x14ac:dyDescent="0.3">
      <c r="A53" s="6"/>
      <c r="B53" s="9"/>
      <c r="C53" s="9"/>
      <c r="D53" s="9"/>
      <c r="E53" s="9"/>
      <c r="F53" s="32"/>
      <c r="G53" s="33"/>
      <c r="H53" s="33"/>
      <c r="I53" s="9"/>
      <c r="J53" s="9"/>
      <c r="K53" s="9"/>
      <c r="L53" s="9"/>
      <c r="M53" s="9"/>
      <c r="N53" s="9"/>
      <c r="O53" s="9"/>
      <c r="P53" s="9"/>
      <c r="Q53" s="9"/>
      <c r="R53" s="9"/>
      <c r="S53" s="9"/>
      <c r="T53" s="8"/>
    </row>
    <row r="54" spans="1:20" x14ac:dyDescent="0.3">
      <c r="A54" s="6"/>
      <c r="B54" s="9"/>
      <c r="C54" s="9"/>
      <c r="D54" s="9"/>
      <c r="E54" s="9"/>
      <c r="F54" s="32"/>
      <c r="G54" s="33"/>
      <c r="H54" s="33"/>
      <c r="I54" s="9"/>
      <c r="J54" s="9"/>
      <c r="K54" s="9"/>
      <c r="L54" s="9"/>
      <c r="M54" s="9"/>
      <c r="N54" s="9"/>
      <c r="O54" s="9"/>
      <c r="P54" s="9"/>
      <c r="Q54" s="9"/>
      <c r="R54" s="9"/>
      <c r="S54" s="9"/>
      <c r="T54" s="8"/>
    </row>
    <row r="55" spans="1:20" x14ac:dyDescent="0.3">
      <c r="A55" s="6"/>
      <c r="B55" s="9"/>
      <c r="C55" s="9"/>
      <c r="D55" s="9"/>
      <c r="E55" s="9"/>
      <c r="F55" s="32"/>
      <c r="G55" s="33"/>
      <c r="H55" s="33"/>
      <c r="I55" s="9"/>
      <c r="J55" s="9"/>
      <c r="K55" s="9"/>
      <c r="L55" s="9"/>
      <c r="M55" s="9"/>
      <c r="N55" s="9"/>
      <c r="O55" s="9"/>
      <c r="P55" s="9"/>
      <c r="Q55" s="9"/>
      <c r="R55" s="9"/>
      <c r="S55" s="9"/>
      <c r="T55" s="8"/>
    </row>
    <row r="56" spans="1:20" x14ac:dyDescent="0.3">
      <c r="A56" s="6"/>
      <c r="B56" s="9"/>
      <c r="C56" s="9"/>
      <c r="D56" s="9"/>
      <c r="E56" s="9"/>
      <c r="F56" s="32"/>
      <c r="G56" s="33"/>
      <c r="H56" s="33"/>
      <c r="I56" s="9"/>
      <c r="J56" s="9"/>
      <c r="K56" s="9"/>
      <c r="L56" s="9"/>
      <c r="M56" s="9"/>
      <c r="N56" s="9"/>
      <c r="O56" s="9"/>
      <c r="P56" s="9"/>
      <c r="Q56" s="9"/>
      <c r="R56" s="9"/>
      <c r="S56" s="9"/>
      <c r="T56" s="8"/>
    </row>
    <row r="57" spans="1:20" x14ac:dyDescent="0.3">
      <c r="A57" s="6"/>
      <c r="B57" s="9"/>
      <c r="C57" s="9"/>
      <c r="D57" s="9"/>
      <c r="E57" s="9"/>
      <c r="F57" s="32"/>
      <c r="G57" s="33"/>
      <c r="H57" s="33"/>
      <c r="I57" s="9"/>
      <c r="J57" s="9"/>
      <c r="K57" s="9"/>
      <c r="L57" s="9"/>
      <c r="M57" s="9"/>
      <c r="N57" s="9"/>
      <c r="O57" s="9"/>
      <c r="P57" s="9"/>
      <c r="Q57" s="9"/>
      <c r="R57" s="9"/>
      <c r="S57" s="9"/>
      <c r="T57" s="8"/>
    </row>
    <row r="58" spans="1:20" ht="15" thickBot="1" x14ac:dyDescent="0.35">
      <c r="A58" s="10"/>
      <c r="B58" s="11"/>
      <c r="C58" s="11"/>
      <c r="D58" s="11"/>
      <c r="E58" s="11"/>
      <c r="F58" s="34"/>
      <c r="G58" s="35"/>
      <c r="H58" s="35"/>
      <c r="I58" s="11"/>
      <c r="J58" s="11"/>
      <c r="K58" s="11"/>
      <c r="L58" s="11"/>
      <c r="M58" s="11"/>
      <c r="N58" s="11"/>
      <c r="O58" s="11"/>
      <c r="P58" s="11"/>
      <c r="Q58" s="11"/>
      <c r="R58" s="11"/>
      <c r="S58" s="11"/>
      <c r="T58" s="12"/>
    </row>
    <row r="59" spans="1:20" x14ac:dyDescent="0.3">
      <c r="A59" s="9"/>
      <c r="B59" s="9"/>
      <c r="C59" s="9"/>
      <c r="D59" s="9"/>
      <c r="F59" s="29"/>
      <c r="G59" s="30"/>
      <c r="H59" s="30"/>
    </row>
    <row r="60" spans="1:20" x14ac:dyDescent="0.3">
      <c r="I60" s="29"/>
    </row>
    <row r="61" spans="1:20" x14ac:dyDescent="0.3">
      <c r="I61" s="29"/>
    </row>
    <row r="62" spans="1:20" x14ac:dyDescent="0.3">
      <c r="I62" s="29"/>
    </row>
    <row r="63" spans="1:20" x14ac:dyDescent="0.3">
      <c r="I63" s="29"/>
    </row>
    <row r="64" spans="1:20" x14ac:dyDescent="0.3">
      <c r="I64" s="29"/>
    </row>
    <row r="65" spans="9:9" x14ac:dyDescent="0.3">
      <c r="I65" s="29"/>
    </row>
    <row r="66" spans="9:9" x14ac:dyDescent="0.3">
      <c r="I66" s="29"/>
    </row>
    <row r="67" spans="9:9" x14ac:dyDescent="0.3">
      <c r="I67" s="29"/>
    </row>
    <row r="68" spans="9:9" x14ac:dyDescent="0.3">
      <c r="I68" s="29"/>
    </row>
    <row r="69" spans="9:9" x14ac:dyDescent="0.3">
      <c r="I69" s="29"/>
    </row>
    <row r="70" spans="9:9" x14ac:dyDescent="0.3">
      <c r="I70" s="29"/>
    </row>
    <row r="71" spans="9:9" x14ac:dyDescent="0.3">
      <c r="I71" s="29"/>
    </row>
    <row r="72" spans="9:9" x14ac:dyDescent="0.3">
      <c r="I72" s="29"/>
    </row>
    <row r="73" spans="9:9" x14ac:dyDescent="0.3">
      <c r="I73" s="29"/>
    </row>
    <row r="74" spans="9:9" x14ac:dyDescent="0.3">
      <c r="I74" s="29"/>
    </row>
    <row r="75" spans="9:9" x14ac:dyDescent="0.3">
      <c r="I75" s="29"/>
    </row>
    <row r="76" spans="9:9" x14ac:dyDescent="0.3">
      <c r="I76" s="29"/>
    </row>
    <row r="77" spans="9:9" x14ac:dyDescent="0.3">
      <c r="I77" s="29"/>
    </row>
    <row r="78" spans="9:9" x14ac:dyDescent="0.3">
      <c r="I78" s="29"/>
    </row>
    <row r="79" spans="9:9" x14ac:dyDescent="0.3">
      <c r="I79" s="29"/>
    </row>
    <row r="80" spans="9:9" x14ac:dyDescent="0.3">
      <c r="I80" s="29"/>
    </row>
    <row r="81" spans="9:9" x14ac:dyDescent="0.3">
      <c r="I81" s="29"/>
    </row>
    <row r="82" spans="9:9" x14ac:dyDescent="0.3">
      <c r="I82" s="29"/>
    </row>
    <row r="83" spans="9:9" x14ac:dyDescent="0.3">
      <c r="I83" s="29"/>
    </row>
    <row r="84" spans="9:9" x14ac:dyDescent="0.3">
      <c r="I84" s="29"/>
    </row>
    <row r="85" spans="9:9" x14ac:dyDescent="0.3">
      <c r="I85" s="29"/>
    </row>
    <row r="86" spans="9:9" x14ac:dyDescent="0.3">
      <c r="I86" s="29"/>
    </row>
    <row r="87" spans="9:9" x14ac:dyDescent="0.3">
      <c r="I87" s="29"/>
    </row>
    <row r="88" spans="9:9" x14ac:dyDescent="0.3">
      <c r="I88" s="29"/>
    </row>
    <row r="89" spans="9:9" x14ac:dyDescent="0.3">
      <c r="I89" s="29"/>
    </row>
    <row r="90" spans="9:9" x14ac:dyDescent="0.3">
      <c r="I90" s="29"/>
    </row>
    <row r="91" spans="9:9" x14ac:dyDescent="0.3">
      <c r="I91" s="29"/>
    </row>
    <row r="92" spans="9:9" x14ac:dyDescent="0.3">
      <c r="I92" s="29"/>
    </row>
    <row r="93" spans="9:9" x14ac:dyDescent="0.3">
      <c r="I93" s="29"/>
    </row>
    <row r="94" spans="9:9" x14ac:dyDescent="0.3">
      <c r="I94" s="29"/>
    </row>
    <row r="95" spans="9:9" x14ac:dyDescent="0.3">
      <c r="I95" s="29"/>
    </row>
    <row r="96" spans="9:9" x14ac:dyDescent="0.3">
      <c r="I96" s="29"/>
    </row>
    <row r="97" spans="9:9" x14ac:dyDescent="0.3">
      <c r="I97" s="29"/>
    </row>
    <row r="98" spans="9:9" x14ac:dyDescent="0.3">
      <c r="I98" s="29"/>
    </row>
    <row r="99" spans="9:9" x14ac:dyDescent="0.3">
      <c r="I99" s="29"/>
    </row>
    <row r="100" spans="9:9" x14ac:dyDescent="0.3">
      <c r="I100" s="29"/>
    </row>
    <row r="101" spans="9:9" x14ac:dyDescent="0.3">
      <c r="I101" s="29"/>
    </row>
    <row r="102" spans="9:9" x14ac:dyDescent="0.3">
      <c r="I102" s="29"/>
    </row>
    <row r="103" spans="9:9" x14ac:dyDescent="0.3">
      <c r="I103" s="29"/>
    </row>
    <row r="104" spans="9:9" x14ac:dyDescent="0.3">
      <c r="I104" s="29"/>
    </row>
    <row r="105" spans="9:9" x14ac:dyDescent="0.3">
      <c r="I105" s="29"/>
    </row>
    <row r="106" spans="9:9" x14ac:dyDescent="0.3">
      <c r="I106" s="29"/>
    </row>
    <row r="107" spans="9:9" x14ac:dyDescent="0.3">
      <c r="I107" s="29"/>
    </row>
    <row r="108" spans="9:9" x14ac:dyDescent="0.3">
      <c r="I108" s="29"/>
    </row>
    <row r="109" spans="9:9" x14ac:dyDescent="0.3">
      <c r="I109" s="29"/>
    </row>
    <row r="110" spans="9:9" x14ac:dyDescent="0.3">
      <c r="I110" s="29"/>
    </row>
    <row r="111" spans="9:9" x14ac:dyDescent="0.3">
      <c r="I111" s="29"/>
    </row>
    <row r="112" spans="9:9" x14ac:dyDescent="0.3">
      <c r="I112" s="29"/>
    </row>
    <row r="113" spans="9:9" x14ac:dyDescent="0.3">
      <c r="I113" s="29"/>
    </row>
    <row r="114" spans="9:9" x14ac:dyDescent="0.3">
      <c r="I114" s="29"/>
    </row>
    <row r="115" spans="9:9" x14ac:dyDescent="0.3">
      <c r="I115" s="29"/>
    </row>
    <row r="116" spans="9:9" x14ac:dyDescent="0.3">
      <c r="I116" s="29"/>
    </row>
    <row r="117" spans="9:9" x14ac:dyDescent="0.3">
      <c r="I117" s="29"/>
    </row>
    <row r="118" spans="9:9" x14ac:dyDescent="0.3">
      <c r="I118" s="29"/>
    </row>
    <row r="119" spans="9:9" x14ac:dyDescent="0.3">
      <c r="I119" s="29"/>
    </row>
    <row r="120" spans="9:9" x14ac:dyDescent="0.3">
      <c r="I120" s="29"/>
    </row>
    <row r="121" spans="9:9" x14ac:dyDescent="0.3">
      <c r="I121" s="29"/>
    </row>
    <row r="122" spans="9:9" x14ac:dyDescent="0.3">
      <c r="I122" s="29"/>
    </row>
    <row r="123" spans="9:9" x14ac:dyDescent="0.3">
      <c r="I123" s="29"/>
    </row>
    <row r="124" spans="9:9" x14ac:dyDescent="0.3">
      <c r="I124" s="29"/>
    </row>
    <row r="125" spans="9:9" x14ac:dyDescent="0.3">
      <c r="I125" s="29"/>
    </row>
    <row r="126" spans="9:9" x14ac:dyDescent="0.3">
      <c r="I126" s="29"/>
    </row>
    <row r="127" spans="9:9" x14ac:dyDescent="0.3">
      <c r="I127" s="29"/>
    </row>
    <row r="128" spans="9:9" x14ac:dyDescent="0.3">
      <c r="I128" s="29"/>
    </row>
    <row r="129" spans="9:9" x14ac:dyDescent="0.3">
      <c r="I129" s="29"/>
    </row>
    <row r="130" spans="9:9" x14ac:dyDescent="0.3">
      <c r="I130" s="29"/>
    </row>
    <row r="131" spans="9:9" x14ac:dyDescent="0.3">
      <c r="I131" s="29"/>
    </row>
    <row r="132" spans="9:9" x14ac:dyDescent="0.3">
      <c r="I132" s="29"/>
    </row>
    <row r="133" spans="9:9" x14ac:dyDescent="0.3">
      <c r="I133" s="29"/>
    </row>
    <row r="134" spans="9:9" x14ac:dyDescent="0.3">
      <c r="I134" s="29"/>
    </row>
    <row r="135" spans="9:9" x14ac:dyDescent="0.3">
      <c r="I135" s="29"/>
    </row>
    <row r="136" spans="9:9" x14ac:dyDescent="0.3">
      <c r="I136" s="29"/>
    </row>
    <row r="137" spans="9:9" x14ac:dyDescent="0.3">
      <c r="I137" s="29"/>
    </row>
    <row r="138" spans="9:9" x14ac:dyDescent="0.3">
      <c r="I138" s="29"/>
    </row>
    <row r="139" spans="9:9" x14ac:dyDescent="0.3">
      <c r="I139" s="29"/>
    </row>
    <row r="140" spans="9:9" x14ac:dyDescent="0.3">
      <c r="I140" s="29"/>
    </row>
    <row r="141" spans="9:9" x14ac:dyDescent="0.3">
      <c r="I141" s="29"/>
    </row>
    <row r="142" spans="9:9" x14ac:dyDescent="0.3">
      <c r="I142" s="29"/>
    </row>
    <row r="143" spans="9:9" x14ac:dyDescent="0.3">
      <c r="I143" s="29"/>
    </row>
    <row r="144" spans="9:9" x14ac:dyDescent="0.3">
      <c r="I144" s="29"/>
    </row>
    <row r="145" spans="9:9" x14ac:dyDescent="0.3">
      <c r="I145" s="29"/>
    </row>
    <row r="146" spans="9:9" x14ac:dyDescent="0.3">
      <c r="I146" s="29"/>
    </row>
    <row r="147" spans="9:9" x14ac:dyDescent="0.3">
      <c r="I147" s="29"/>
    </row>
    <row r="148" spans="9:9" x14ac:dyDescent="0.3">
      <c r="I148" s="29"/>
    </row>
    <row r="149" spans="9:9" x14ac:dyDescent="0.3">
      <c r="I149" s="29"/>
    </row>
    <row r="150" spans="9:9" x14ac:dyDescent="0.3">
      <c r="I150" s="29"/>
    </row>
    <row r="151" spans="9:9" x14ac:dyDescent="0.3">
      <c r="I151" s="29"/>
    </row>
    <row r="152" spans="9:9" x14ac:dyDescent="0.3">
      <c r="I152" s="29"/>
    </row>
    <row r="153" spans="9:9" x14ac:dyDescent="0.3">
      <c r="I153" s="29"/>
    </row>
    <row r="154" spans="9:9" x14ac:dyDescent="0.3">
      <c r="I154" s="29"/>
    </row>
    <row r="155" spans="9:9" x14ac:dyDescent="0.3">
      <c r="I155" s="29"/>
    </row>
    <row r="156" spans="9:9" x14ac:dyDescent="0.3">
      <c r="I156" s="29"/>
    </row>
    <row r="157" spans="9:9" x14ac:dyDescent="0.3">
      <c r="I157" s="29"/>
    </row>
    <row r="158" spans="9:9" x14ac:dyDescent="0.3">
      <c r="I158" s="29"/>
    </row>
    <row r="159" spans="9:9" x14ac:dyDescent="0.3">
      <c r="I159" s="29"/>
    </row>
    <row r="160" spans="9:9" x14ac:dyDescent="0.3">
      <c r="I160" s="29"/>
    </row>
    <row r="161" spans="9:9" x14ac:dyDescent="0.3">
      <c r="I161" s="29"/>
    </row>
    <row r="162" spans="9:9" x14ac:dyDescent="0.3">
      <c r="I162" s="29"/>
    </row>
    <row r="163" spans="9:9" x14ac:dyDescent="0.3">
      <c r="I163" s="29"/>
    </row>
    <row r="164" spans="9:9" x14ac:dyDescent="0.3">
      <c r="I164" s="29"/>
    </row>
    <row r="165" spans="9:9" x14ac:dyDescent="0.3">
      <c r="I165" s="29"/>
    </row>
    <row r="166" spans="9:9" x14ac:dyDescent="0.3">
      <c r="I166" s="29"/>
    </row>
    <row r="167" spans="9:9" x14ac:dyDescent="0.3">
      <c r="I167" s="29"/>
    </row>
    <row r="168" spans="9:9" x14ac:dyDescent="0.3">
      <c r="I168" s="29"/>
    </row>
    <row r="169" spans="9:9" x14ac:dyDescent="0.3">
      <c r="I169" s="29"/>
    </row>
    <row r="170" spans="9:9" x14ac:dyDescent="0.3">
      <c r="I170" s="29"/>
    </row>
    <row r="171" spans="9:9" x14ac:dyDescent="0.3">
      <c r="I171" s="29"/>
    </row>
    <row r="172" spans="9:9" x14ac:dyDescent="0.3">
      <c r="I172" s="29"/>
    </row>
    <row r="173" spans="9:9" x14ac:dyDescent="0.3">
      <c r="I173" s="29"/>
    </row>
    <row r="174" spans="9:9" x14ac:dyDescent="0.3">
      <c r="I174" s="29"/>
    </row>
    <row r="175" spans="9:9" x14ac:dyDescent="0.3">
      <c r="I175" s="29"/>
    </row>
    <row r="176" spans="9:9" x14ac:dyDescent="0.3">
      <c r="I176" s="29"/>
    </row>
    <row r="177" spans="9:9" x14ac:dyDescent="0.3">
      <c r="I177" s="29"/>
    </row>
    <row r="178" spans="9:9" x14ac:dyDescent="0.3">
      <c r="I178" s="29"/>
    </row>
    <row r="179" spans="9:9" x14ac:dyDescent="0.3">
      <c r="I179" s="29"/>
    </row>
    <row r="180" spans="9:9" x14ac:dyDescent="0.3">
      <c r="I180" s="29"/>
    </row>
    <row r="181" spans="9:9" x14ac:dyDescent="0.3">
      <c r="I181" s="29"/>
    </row>
    <row r="182" spans="9:9" x14ac:dyDescent="0.3">
      <c r="I182" s="29"/>
    </row>
    <row r="183" spans="9:9" x14ac:dyDescent="0.3">
      <c r="I183" s="29"/>
    </row>
    <row r="184" spans="9:9" x14ac:dyDescent="0.3">
      <c r="I184" s="29"/>
    </row>
    <row r="185" spans="9:9" x14ac:dyDescent="0.3">
      <c r="I185" s="29"/>
    </row>
    <row r="186" spans="9:9" x14ac:dyDescent="0.3">
      <c r="I186" s="29"/>
    </row>
    <row r="187" spans="9:9" x14ac:dyDescent="0.3">
      <c r="I187" s="29"/>
    </row>
    <row r="188" spans="9:9" x14ac:dyDescent="0.3">
      <c r="I188" s="29"/>
    </row>
    <row r="189" spans="9:9" x14ac:dyDescent="0.3">
      <c r="I189" s="29"/>
    </row>
    <row r="190" spans="9:9" x14ac:dyDescent="0.3">
      <c r="I190" s="29"/>
    </row>
    <row r="191" spans="9:9" x14ac:dyDescent="0.3">
      <c r="I191" s="29"/>
    </row>
    <row r="192" spans="9:9" x14ac:dyDescent="0.3">
      <c r="I192" s="29"/>
    </row>
    <row r="193" spans="9:9" x14ac:dyDescent="0.3">
      <c r="I193" s="29"/>
    </row>
    <row r="194" spans="9:9" x14ac:dyDescent="0.3">
      <c r="I194" s="29"/>
    </row>
    <row r="195" spans="9:9" x14ac:dyDescent="0.3">
      <c r="I195" s="29"/>
    </row>
    <row r="196" spans="9:9" x14ac:dyDescent="0.3">
      <c r="I196" s="29"/>
    </row>
    <row r="197" spans="9:9" x14ac:dyDescent="0.3">
      <c r="I197" s="29"/>
    </row>
    <row r="198" spans="9:9" x14ac:dyDescent="0.3">
      <c r="I198" s="29"/>
    </row>
    <row r="199" spans="9:9" x14ac:dyDescent="0.3">
      <c r="I199" s="29"/>
    </row>
    <row r="200" spans="9:9" x14ac:dyDescent="0.3">
      <c r="I200" s="29"/>
    </row>
    <row r="201" spans="9:9" x14ac:dyDescent="0.3">
      <c r="I201" s="29"/>
    </row>
    <row r="202" spans="9:9" x14ac:dyDescent="0.3">
      <c r="I202" s="29"/>
    </row>
    <row r="203" spans="9:9" x14ac:dyDescent="0.3">
      <c r="I203" s="29"/>
    </row>
    <row r="204" spans="9:9" x14ac:dyDescent="0.3">
      <c r="I204" s="29"/>
    </row>
    <row r="205" spans="9:9" x14ac:dyDescent="0.3">
      <c r="I205" s="29"/>
    </row>
    <row r="206" spans="9:9" x14ac:dyDescent="0.3">
      <c r="I206" s="29"/>
    </row>
    <row r="207" spans="9:9" x14ac:dyDescent="0.3">
      <c r="I207" s="29"/>
    </row>
    <row r="208" spans="9:9" x14ac:dyDescent="0.3">
      <c r="I208" s="29"/>
    </row>
    <row r="209" spans="9:9" x14ac:dyDescent="0.3">
      <c r="I209" s="29"/>
    </row>
    <row r="210" spans="9:9" x14ac:dyDescent="0.3">
      <c r="I210" s="29"/>
    </row>
    <row r="211" spans="9:9" x14ac:dyDescent="0.3">
      <c r="I211" s="29"/>
    </row>
    <row r="212" spans="9:9" x14ac:dyDescent="0.3">
      <c r="I212" s="29"/>
    </row>
    <row r="213" spans="9:9" x14ac:dyDescent="0.3">
      <c r="I213" s="29"/>
    </row>
    <row r="214" spans="9:9" x14ac:dyDescent="0.3">
      <c r="I214" s="29"/>
    </row>
    <row r="215" spans="9:9" x14ac:dyDescent="0.3">
      <c r="I215" s="29"/>
    </row>
    <row r="216" spans="9:9" x14ac:dyDescent="0.3">
      <c r="I216" s="29"/>
    </row>
    <row r="217" spans="9:9" x14ac:dyDescent="0.3">
      <c r="I217" s="29"/>
    </row>
    <row r="218" spans="9:9" x14ac:dyDescent="0.3">
      <c r="I218" s="29"/>
    </row>
    <row r="219" spans="9:9" x14ac:dyDescent="0.3">
      <c r="I219" s="29"/>
    </row>
    <row r="220" spans="9:9" x14ac:dyDescent="0.3">
      <c r="I220" s="29"/>
    </row>
    <row r="221" spans="9:9" x14ac:dyDescent="0.3">
      <c r="I221" s="29"/>
    </row>
    <row r="222" spans="9:9" x14ac:dyDescent="0.3">
      <c r="I222" s="29"/>
    </row>
    <row r="223" spans="9:9" x14ac:dyDescent="0.3">
      <c r="I223" s="29"/>
    </row>
    <row r="224" spans="9:9" x14ac:dyDescent="0.3">
      <c r="I224" s="29"/>
    </row>
    <row r="225" spans="9:9" x14ac:dyDescent="0.3">
      <c r="I225" s="29"/>
    </row>
    <row r="226" spans="9:9" x14ac:dyDescent="0.3">
      <c r="I226" s="29"/>
    </row>
    <row r="227" spans="9:9" x14ac:dyDescent="0.3">
      <c r="I227" s="29"/>
    </row>
    <row r="228" spans="9:9" x14ac:dyDescent="0.3">
      <c r="I228" s="29"/>
    </row>
    <row r="229" spans="9:9" x14ac:dyDescent="0.3">
      <c r="I229" s="29"/>
    </row>
    <row r="230" spans="9:9" x14ac:dyDescent="0.3">
      <c r="I230" s="29"/>
    </row>
    <row r="231" spans="9:9" x14ac:dyDescent="0.3">
      <c r="I231" s="29"/>
    </row>
    <row r="232" spans="9:9" x14ac:dyDescent="0.3">
      <c r="I232" s="29"/>
    </row>
    <row r="233" spans="9:9" x14ac:dyDescent="0.3">
      <c r="I233" s="29"/>
    </row>
    <row r="234" spans="9:9" x14ac:dyDescent="0.3">
      <c r="I234" s="29"/>
    </row>
    <row r="235" spans="9:9" x14ac:dyDescent="0.3">
      <c r="I235" s="29"/>
    </row>
    <row r="236" spans="9:9" x14ac:dyDescent="0.3">
      <c r="I236" s="29"/>
    </row>
    <row r="237" spans="9:9" x14ac:dyDescent="0.3">
      <c r="I237" s="29"/>
    </row>
    <row r="238" spans="9:9" x14ac:dyDescent="0.3">
      <c r="I238" s="29"/>
    </row>
    <row r="239" spans="9:9" x14ac:dyDescent="0.3">
      <c r="I239" s="29"/>
    </row>
    <row r="240" spans="9:9" x14ac:dyDescent="0.3">
      <c r="I240" s="29"/>
    </row>
    <row r="241" spans="9:9" x14ac:dyDescent="0.3">
      <c r="I241" s="29"/>
    </row>
    <row r="242" spans="9:9" x14ac:dyDescent="0.3">
      <c r="I242" s="29"/>
    </row>
    <row r="243" spans="9:9" x14ac:dyDescent="0.3">
      <c r="I243" s="29"/>
    </row>
    <row r="244" spans="9:9" x14ac:dyDescent="0.3">
      <c r="I244" s="29"/>
    </row>
    <row r="245" spans="9:9" x14ac:dyDescent="0.3">
      <c r="I245" s="29"/>
    </row>
    <row r="246" spans="9:9" x14ac:dyDescent="0.3">
      <c r="I246" s="29"/>
    </row>
    <row r="247" spans="9:9" x14ac:dyDescent="0.3">
      <c r="I247" s="29"/>
    </row>
    <row r="248" spans="9:9" x14ac:dyDescent="0.3">
      <c r="I248" s="29"/>
    </row>
    <row r="249" spans="9:9" x14ac:dyDescent="0.3">
      <c r="I249" s="29"/>
    </row>
    <row r="250" spans="9:9" x14ac:dyDescent="0.3">
      <c r="I250" s="29"/>
    </row>
    <row r="251" spans="9:9" x14ac:dyDescent="0.3">
      <c r="I251" s="29"/>
    </row>
    <row r="252" spans="9:9" x14ac:dyDescent="0.3">
      <c r="I252" s="29"/>
    </row>
    <row r="253" spans="9:9" x14ac:dyDescent="0.3">
      <c r="I253" s="29"/>
    </row>
    <row r="254" spans="9:9" x14ac:dyDescent="0.3">
      <c r="I254" s="29"/>
    </row>
    <row r="255" spans="9:9" x14ac:dyDescent="0.3">
      <c r="I255" s="29"/>
    </row>
    <row r="256" spans="9:9" x14ac:dyDescent="0.3">
      <c r="I256" s="29"/>
    </row>
    <row r="257" spans="9:9" x14ac:dyDescent="0.3">
      <c r="I257" s="29"/>
    </row>
    <row r="258" spans="9:9" x14ac:dyDescent="0.3">
      <c r="I258" s="29"/>
    </row>
    <row r="259" spans="9:9" x14ac:dyDescent="0.3">
      <c r="I259" s="29"/>
    </row>
    <row r="260" spans="9:9" x14ac:dyDescent="0.3">
      <c r="I260" s="29"/>
    </row>
    <row r="261" spans="9:9" x14ac:dyDescent="0.3">
      <c r="I261" s="29"/>
    </row>
    <row r="262" spans="9:9" x14ac:dyDescent="0.3">
      <c r="I262" s="29"/>
    </row>
    <row r="263" spans="9:9" x14ac:dyDescent="0.3">
      <c r="I263" s="29"/>
    </row>
    <row r="264" spans="9:9" x14ac:dyDescent="0.3">
      <c r="I264" s="29"/>
    </row>
    <row r="265" spans="9:9" x14ac:dyDescent="0.3">
      <c r="I265" s="29"/>
    </row>
    <row r="266" spans="9:9" x14ac:dyDescent="0.3">
      <c r="I266" s="29"/>
    </row>
    <row r="267" spans="9:9" x14ac:dyDescent="0.3">
      <c r="I267" s="29"/>
    </row>
    <row r="268" spans="9:9" x14ac:dyDescent="0.3">
      <c r="I268" s="29"/>
    </row>
    <row r="269" spans="9:9" x14ac:dyDescent="0.3">
      <c r="I269" s="29"/>
    </row>
    <row r="270" spans="9:9" x14ac:dyDescent="0.3">
      <c r="I270" s="29"/>
    </row>
    <row r="271" spans="9:9" x14ac:dyDescent="0.3">
      <c r="I271" s="29"/>
    </row>
    <row r="272" spans="9:9" x14ac:dyDescent="0.3">
      <c r="I272" s="29"/>
    </row>
    <row r="273" spans="9:9" x14ac:dyDescent="0.3">
      <c r="I273" s="29"/>
    </row>
    <row r="274" spans="9:9" x14ac:dyDescent="0.3">
      <c r="I274" s="29"/>
    </row>
    <row r="275" spans="9:9" x14ac:dyDescent="0.3">
      <c r="I275" s="29"/>
    </row>
    <row r="276" spans="9:9" x14ac:dyDescent="0.3">
      <c r="I276" s="29"/>
    </row>
    <row r="277" spans="9:9" x14ac:dyDescent="0.3">
      <c r="I277" s="29"/>
    </row>
    <row r="278" spans="9:9" x14ac:dyDescent="0.3">
      <c r="I278" s="29"/>
    </row>
    <row r="279" spans="9:9" x14ac:dyDescent="0.3">
      <c r="I279" s="29"/>
    </row>
    <row r="280" spans="9:9" x14ac:dyDescent="0.3">
      <c r="I280" s="29"/>
    </row>
    <row r="281" spans="9:9" x14ac:dyDescent="0.3">
      <c r="I281" s="29"/>
    </row>
    <row r="282" spans="9:9" x14ac:dyDescent="0.3">
      <c r="I282" s="29"/>
    </row>
    <row r="283" spans="9:9" x14ac:dyDescent="0.3">
      <c r="I283" s="29"/>
    </row>
    <row r="284" spans="9:9" x14ac:dyDescent="0.3">
      <c r="I284" s="29"/>
    </row>
    <row r="285" spans="9:9" x14ac:dyDescent="0.3">
      <c r="I285" s="29"/>
    </row>
    <row r="286" spans="9:9" x14ac:dyDescent="0.3">
      <c r="I286" s="29"/>
    </row>
    <row r="287" spans="9:9" x14ac:dyDescent="0.3">
      <c r="I287" s="29"/>
    </row>
    <row r="288" spans="9:9" x14ac:dyDescent="0.3">
      <c r="I288" s="29"/>
    </row>
    <row r="289" spans="9:9" x14ac:dyDescent="0.3">
      <c r="I289" s="29"/>
    </row>
    <row r="290" spans="9:9" x14ac:dyDescent="0.3">
      <c r="I290" s="29"/>
    </row>
    <row r="291" spans="9:9" x14ac:dyDescent="0.3">
      <c r="I291" s="29"/>
    </row>
    <row r="292" spans="9:9" x14ac:dyDescent="0.3">
      <c r="I292" s="29"/>
    </row>
    <row r="293" spans="9:9" x14ac:dyDescent="0.3">
      <c r="I293" s="29"/>
    </row>
    <row r="294" spans="9:9" x14ac:dyDescent="0.3">
      <c r="I294" s="29"/>
    </row>
    <row r="295" spans="9:9" x14ac:dyDescent="0.3">
      <c r="I295" s="29"/>
    </row>
    <row r="296" spans="9:9" x14ac:dyDescent="0.3">
      <c r="I296" s="29"/>
    </row>
    <row r="297" spans="9:9" x14ac:dyDescent="0.3">
      <c r="I297" s="29"/>
    </row>
    <row r="298" spans="9:9" x14ac:dyDescent="0.3">
      <c r="I298" s="29"/>
    </row>
    <row r="299" spans="9:9" x14ac:dyDescent="0.3">
      <c r="I299" s="29"/>
    </row>
    <row r="300" spans="9:9" x14ac:dyDescent="0.3">
      <c r="I300" s="29"/>
    </row>
    <row r="301" spans="9:9" x14ac:dyDescent="0.3">
      <c r="I301" s="29"/>
    </row>
    <row r="302" spans="9:9" x14ac:dyDescent="0.3">
      <c r="I302" s="29"/>
    </row>
    <row r="303" spans="9:9" x14ac:dyDescent="0.3">
      <c r="I303" s="29"/>
    </row>
    <row r="304" spans="9:9" x14ac:dyDescent="0.3">
      <c r="I304" s="29"/>
    </row>
    <row r="305" spans="9:9" x14ac:dyDescent="0.3">
      <c r="I305" s="29"/>
    </row>
    <row r="306" spans="9:9" x14ac:dyDescent="0.3">
      <c r="I306" s="29"/>
    </row>
    <row r="307" spans="9:9" x14ac:dyDescent="0.3">
      <c r="I307" s="29"/>
    </row>
    <row r="308" spans="9:9" x14ac:dyDescent="0.3">
      <c r="I308" s="29"/>
    </row>
    <row r="309" spans="9:9" x14ac:dyDescent="0.3">
      <c r="I309" s="29"/>
    </row>
  </sheetData>
  <mergeCells count="3">
    <mergeCell ref="Q4:R4"/>
    <mergeCell ref="C1:D1"/>
    <mergeCell ref="B4:H4"/>
  </mergeCells>
  <conditionalFormatting sqref="B7:H51">
    <cfRule type="expression" dxfId="12" priority="3" stopIfTrue="1">
      <formula>AND($C7&lt;&gt;"",$C7&lt;0)</formula>
    </cfRule>
    <cfRule type="expression" dxfId="11" priority="4" stopIfTrue="1">
      <formula>AND($C7&lt;&gt;"",$C7&gt;0)</formula>
    </cfRule>
  </conditionalFormatting>
  <dataValidations count="3">
    <dataValidation type="list" allowBlank="1" showInputMessage="1" showErrorMessage="1" sqref="B6" xr:uid="{00000000-0002-0000-0A00-000000000000}">
      <formula1>SymbolSelectionList</formula1>
    </dataValidation>
    <dataValidation type="list" allowBlank="1" showInputMessage="1" showErrorMessage="1" sqref="E6" xr:uid="{00000000-0002-0000-0A00-000001000000}">
      <formula1>StrategySelectionList</formula1>
    </dataValidation>
    <dataValidation type="list" allowBlank="1" showInputMessage="1" showErrorMessage="1" sqref="F6" xr:uid="{00000000-0002-0000-0A00-000002000000}">
      <formula1>BrokerSelectionList</formula1>
    </dataValidation>
  </dataValidations>
  <pageMargins left="0.7" right="0.7" top="0.75" bottom="0.75" header="0.3" footer="0.3"/>
  <pageSetup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R46"/>
  <sheetViews>
    <sheetView workbookViewId="0">
      <pane ySplit="1" topLeftCell="A2" activePane="bottomLeft" state="frozen"/>
      <selection pane="bottomLeft"/>
    </sheetView>
  </sheetViews>
  <sheetFormatPr defaultRowHeight="14.4" x14ac:dyDescent="0.3"/>
  <cols>
    <col min="2" max="2" width="23.88671875" customWidth="1"/>
    <col min="3" max="4" width="23.6640625" customWidth="1"/>
    <col min="5" max="5" width="21.88671875" customWidth="1"/>
    <col min="6" max="6" width="12" customWidth="1"/>
    <col min="7" max="7" width="30" bestFit="1" customWidth="1"/>
    <col min="8" max="8" width="46.44140625" customWidth="1"/>
    <col min="9" max="9" width="9.109375" customWidth="1"/>
    <col min="10" max="10" width="26" customWidth="1"/>
    <col min="11" max="11" width="1.88671875" customWidth="1"/>
    <col min="12" max="12" width="14.109375" bestFit="1" customWidth="1"/>
    <col min="13" max="13" width="18.109375" customWidth="1"/>
    <col min="14" max="14" width="10.5546875" bestFit="1" customWidth="1"/>
    <col min="17" max="17" width="1.88671875" customWidth="1"/>
    <col min="18" max="18" width="56.109375" customWidth="1"/>
  </cols>
  <sheetData>
    <row r="1" spans="1:18" ht="34.5" customHeight="1" thickBot="1" x14ac:dyDescent="0.35">
      <c r="A1" s="146" t="s">
        <v>255</v>
      </c>
      <c r="B1" s="207" t="e" vm="1">
        <v>#VALUE!</v>
      </c>
      <c r="C1" s="214" t="s">
        <v>70</v>
      </c>
      <c r="D1" s="215"/>
      <c r="E1" s="25"/>
      <c r="F1" s="5"/>
      <c r="G1" s="5"/>
      <c r="H1" s="5"/>
      <c r="I1" s="5"/>
      <c r="J1" s="5"/>
      <c r="K1" s="5"/>
      <c r="L1" s="5"/>
      <c r="M1" s="5"/>
      <c r="N1" s="5"/>
      <c r="O1" s="5"/>
      <c r="P1" s="5"/>
      <c r="Q1" s="5"/>
      <c r="R1" s="7"/>
    </row>
    <row r="2" spans="1:18" ht="15" customHeight="1" thickBot="1" x14ac:dyDescent="0.35">
      <c r="A2" s="6"/>
      <c r="B2" s="13"/>
      <c r="C2" s="13"/>
      <c r="D2" s="9"/>
      <c r="E2" s="9"/>
      <c r="F2" s="9"/>
      <c r="G2" s="9"/>
      <c r="H2" s="9"/>
      <c r="I2" s="9"/>
      <c r="J2" s="9"/>
      <c r="K2" s="9"/>
      <c r="L2" s="9"/>
      <c r="M2" s="9"/>
      <c r="N2" s="9"/>
      <c r="O2" s="9"/>
      <c r="P2" s="9"/>
      <c r="Q2" s="9"/>
      <c r="R2" s="8"/>
    </row>
    <row r="3" spans="1:18" x14ac:dyDescent="0.3">
      <c r="A3" s="6"/>
      <c r="B3" s="9"/>
      <c r="C3" s="9"/>
      <c r="D3" s="9"/>
      <c r="E3" s="9"/>
      <c r="F3" s="9"/>
      <c r="G3" s="9"/>
      <c r="H3" s="9"/>
      <c r="I3" s="9"/>
      <c r="J3" s="9"/>
      <c r="K3" s="70"/>
      <c r="L3" s="71"/>
      <c r="M3" s="71"/>
      <c r="N3" s="71"/>
      <c r="O3" s="71"/>
      <c r="P3" s="71"/>
      <c r="Q3" s="72"/>
      <c r="R3" s="8"/>
    </row>
    <row r="4" spans="1:18" x14ac:dyDescent="0.3">
      <c r="A4" s="6"/>
      <c r="B4" s="20" t="s">
        <v>2</v>
      </c>
      <c r="C4" s="59" t="s">
        <v>298</v>
      </c>
      <c r="D4" s="9"/>
      <c r="E4" s="20" t="s">
        <v>79</v>
      </c>
      <c r="F4" s="20" t="s">
        <v>75</v>
      </c>
      <c r="G4" s="20" t="s">
        <v>80</v>
      </c>
      <c r="H4" s="9"/>
      <c r="I4" s="67" t="str">
        <f t="array" ref="I4:I9">_xll.U.VUNIQUE(_xll.U.VLOOKUP(,_xll.U.VAPPEND("config(topics)",G5:G9),,"Desk"),TRUE)</f>
        <v>Desk</v>
      </c>
      <c r="J4" s="9"/>
      <c r="K4" s="73"/>
      <c r="L4" s="20" t="s">
        <v>87</v>
      </c>
      <c r="M4" s="68"/>
      <c r="N4" s="20" t="str">
        <f t="array" ref="N4:N9">_xll.U.PAD(_xll.U.VUNIQUE(_xll.U.SUBRANGE(_xll.U.VAPPEND("config(topics)",G5:G9),1,"Date",,"Date"),TRUE))</f>
        <v>Date</v>
      </c>
      <c r="O4" s="20" t="s">
        <v>84</v>
      </c>
      <c r="P4" s="20" t="str">
        <f t="array" ref="P4:P9">IFERROR(_xll.U.VLOOKUP(N4:O9,_xll.U.VAPPEND("config(topics)",G5:G9)),"")</f>
        <v>Delta</v>
      </c>
      <c r="Q4" s="74"/>
      <c r="R4" s="8"/>
    </row>
    <row r="5" spans="1:18" x14ac:dyDescent="0.3">
      <c r="A5" s="6"/>
      <c r="B5" s="20" t="s">
        <v>3</v>
      </c>
      <c r="C5" s="59" t="s">
        <v>78</v>
      </c>
      <c r="D5" s="9"/>
      <c r="E5" s="61" t="str">
        <f t="array" ref="E5">_xll.U.TOPIC(C4,C5)</f>
        <v>UPTICK/FX/RISK</v>
      </c>
      <c r="F5" s="61">
        <f t="array" ref="F5:F9">_xll.U.SEQUENCE(C7,1,C8,(C9,B12:B21))</f>
        <v>42919</v>
      </c>
      <c r="G5" s="62" t="str">
        <f>$E$5&amp;"."&amp;TEXT(F5,"YYYYMMDD")</f>
        <v>UPTICK/FX/RISK.20170703</v>
      </c>
      <c r="H5" s="9"/>
      <c r="I5" s="66" t="str">
        <v>Desk1</v>
      </c>
      <c r="J5" s="9"/>
      <c r="K5" s="73"/>
      <c r="L5" s="1" t="s">
        <v>81</v>
      </c>
      <c r="M5" s="68"/>
      <c r="N5" s="61">
        <v>42919</v>
      </c>
      <c r="O5" s="1" t="str">
        <f>IF(N5="","",$L$5)</f>
        <v>Desk1</v>
      </c>
      <c r="P5" s="69">
        <v>5025</v>
      </c>
      <c r="Q5" s="74"/>
      <c r="R5" s="8"/>
    </row>
    <row r="6" spans="1:18" x14ac:dyDescent="0.3">
      <c r="A6" s="6"/>
      <c r="B6" s="9"/>
      <c r="C6" s="9"/>
      <c r="D6" s="9"/>
      <c r="E6" s="9"/>
      <c r="F6" s="61">
        <v>42921</v>
      </c>
      <c r="G6" s="62" t="str">
        <f t="shared" ref="G6:G9" si="0">$E$5&amp;"."&amp;TEXT(F6,"YYYYMMDD")</f>
        <v>UPTICK/FX/RISK.20170705</v>
      </c>
      <c r="H6" s="9"/>
      <c r="I6" s="66" t="str">
        <v>Desk2</v>
      </c>
      <c r="J6" s="9"/>
      <c r="K6" s="73"/>
      <c r="L6" s="68"/>
      <c r="M6" s="68"/>
      <c r="N6" s="61">
        <v>42921</v>
      </c>
      <c r="O6" s="1" t="str">
        <f t="shared" ref="O6:O9" si="1">IF(N6="","",$L$5)</f>
        <v>Desk1</v>
      </c>
      <c r="P6" s="69">
        <v>8622</v>
      </c>
      <c r="Q6" s="74"/>
      <c r="R6" s="8"/>
    </row>
    <row r="7" spans="1:18" x14ac:dyDescent="0.3">
      <c r="A7" s="6"/>
      <c r="B7" s="20" t="s">
        <v>73</v>
      </c>
      <c r="C7" s="59">
        <v>42917</v>
      </c>
      <c r="D7" s="9"/>
      <c r="E7" s="9"/>
      <c r="F7" s="61">
        <v>42922</v>
      </c>
      <c r="G7" s="62" t="str">
        <f t="shared" si="0"/>
        <v>UPTICK/FX/RISK.20170706</v>
      </c>
      <c r="H7" s="9"/>
      <c r="I7" s="66" t="str">
        <v>Desk3</v>
      </c>
      <c r="J7" s="9"/>
      <c r="K7" s="73"/>
      <c r="L7" s="68"/>
      <c r="M7" s="68"/>
      <c r="N7" s="61">
        <v>42922</v>
      </c>
      <c r="O7" s="1" t="str">
        <f t="shared" si="1"/>
        <v>Desk1</v>
      </c>
      <c r="P7" s="69">
        <v>17006</v>
      </c>
      <c r="Q7" s="74"/>
      <c r="R7" s="8"/>
    </row>
    <row r="8" spans="1:18" x14ac:dyDescent="0.3">
      <c r="A8" s="6"/>
      <c r="B8" s="20" t="s">
        <v>76</v>
      </c>
      <c r="C8" s="60">
        <v>5</v>
      </c>
      <c r="D8" s="9"/>
      <c r="E8" s="9"/>
      <c r="F8" s="61">
        <v>42923</v>
      </c>
      <c r="G8" s="62" t="str">
        <f t="shared" si="0"/>
        <v>UPTICK/FX/RISK.20170707</v>
      </c>
      <c r="H8" s="9"/>
      <c r="I8" s="66" t="e">
        <v>#N/A</v>
      </c>
      <c r="J8" s="9"/>
      <c r="K8" s="73"/>
      <c r="L8" s="68"/>
      <c r="M8" s="68"/>
      <c r="N8" s="61">
        <v>42926</v>
      </c>
      <c r="O8" s="1" t="str">
        <f t="shared" si="1"/>
        <v>Desk1</v>
      </c>
      <c r="P8" s="69">
        <v>8622</v>
      </c>
      <c r="Q8" s="74"/>
      <c r="R8" s="8"/>
    </row>
    <row r="9" spans="1:18" x14ac:dyDescent="0.3">
      <c r="A9" s="6"/>
      <c r="B9" s="20" t="s">
        <v>77</v>
      </c>
      <c r="C9" s="60" t="b">
        <v>1</v>
      </c>
      <c r="D9" s="9"/>
      <c r="E9" s="9"/>
      <c r="F9" s="61">
        <v>42926</v>
      </c>
      <c r="G9" s="62" t="str">
        <f t="shared" si="0"/>
        <v>UPTICK/FX/RISK.20170710</v>
      </c>
      <c r="H9" s="9"/>
      <c r="I9" s="66" t="e">
        <v>#N/A</v>
      </c>
      <c r="J9" s="9"/>
      <c r="K9" s="73"/>
      <c r="L9" s="68"/>
      <c r="M9" s="68"/>
      <c r="N9" s="61" t="str">
        <v/>
      </c>
      <c r="O9" s="1" t="str">
        <f t="shared" si="1"/>
        <v/>
      </c>
      <c r="P9" s="69" t="str">
        <v/>
      </c>
      <c r="Q9" s="74"/>
      <c r="R9" s="8"/>
    </row>
    <row r="10" spans="1:18" ht="15" thickBot="1" x14ac:dyDescent="0.35">
      <c r="A10" s="6"/>
      <c r="B10" s="9"/>
      <c r="C10" s="9"/>
      <c r="D10" s="9"/>
      <c r="E10" s="9"/>
      <c r="F10" s="9"/>
      <c r="G10" s="9"/>
      <c r="H10" s="9"/>
      <c r="I10" s="9"/>
      <c r="J10" s="9"/>
      <c r="K10" s="75"/>
      <c r="L10" s="76"/>
      <c r="M10" s="76"/>
      <c r="N10" s="76"/>
      <c r="O10" s="76"/>
      <c r="P10" s="76"/>
      <c r="Q10" s="77"/>
      <c r="R10" s="8"/>
    </row>
    <row r="11" spans="1:18" x14ac:dyDescent="0.3">
      <c r="A11" s="6"/>
      <c r="B11" s="20" t="s">
        <v>74</v>
      </c>
      <c r="C11" s="9"/>
      <c r="D11" s="9"/>
      <c r="E11" s="9"/>
      <c r="F11" s="9"/>
      <c r="G11" s="9"/>
      <c r="H11" s="9"/>
      <c r="I11" s="9"/>
      <c r="J11" s="9"/>
      <c r="K11" s="9"/>
      <c r="L11" s="9"/>
      <c r="M11" s="9"/>
      <c r="N11" s="9"/>
      <c r="O11" s="9"/>
      <c r="P11" s="9"/>
      <c r="Q11" s="9"/>
      <c r="R11" s="8"/>
    </row>
    <row r="12" spans="1:18" x14ac:dyDescent="0.3">
      <c r="A12" s="6"/>
      <c r="B12" s="59">
        <v>42737</v>
      </c>
      <c r="C12" s="9"/>
      <c r="D12" s="9"/>
      <c r="E12" s="9"/>
      <c r="F12" s="9"/>
      <c r="G12" s="9"/>
      <c r="H12" s="9"/>
      <c r="I12" s="9"/>
      <c r="J12" s="9"/>
      <c r="K12" s="9"/>
      <c r="L12" s="9"/>
      <c r="M12" s="9"/>
      <c r="N12" s="9"/>
      <c r="O12" s="9"/>
      <c r="P12" s="9"/>
      <c r="Q12" s="9"/>
      <c r="R12" s="8"/>
    </row>
    <row r="13" spans="1:18" x14ac:dyDescent="0.3">
      <c r="A13" s="6"/>
      <c r="B13" s="59">
        <v>42751</v>
      </c>
      <c r="C13" s="9"/>
      <c r="D13" s="9"/>
      <c r="E13" s="9"/>
      <c r="F13" s="9"/>
      <c r="G13" s="9"/>
      <c r="H13" s="9"/>
      <c r="I13" s="9"/>
      <c r="J13" s="9"/>
      <c r="K13" s="9"/>
      <c r="L13" s="9"/>
      <c r="M13" s="9"/>
      <c r="N13" s="9"/>
      <c r="O13" s="9"/>
      <c r="P13" s="9"/>
      <c r="Q13" s="9"/>
      <c r="R13" s="8"/>
    </row>
    <row r="14" spans="1:18" x14ac:dyDescent="0.3">
      <c r="A14" s="6"/>
      <c r="B14" s="59">
        <v>42786</v>
      </c>
      <c r="C14" s="9"/>
      <c r="D14" s="9"/>
      <c r="E14" s="9"/>
      <c r="F14" s="9"/>
      <c r="G14" s="9"/>
      <c r="H14" s="9"/>
      <c r="I14" s="9"/>
      <c r="J14" s="9"/>
      <c r="K14" s="9"/>
      <c r="L14" s="9"/>
      <c r="M14" s="9"/>
      <c r="N14" s="9"/>
      <c r="O14" s="9"/>
      <c r="P14" s="9"/>
      <c r="Q14" s="9"/>
      <c r="R14" s="8"/>
    </row>
    <row r="15" spans="1:18" x14ac:dyDescent="0.3">
      <c r="A15" s="6"/>
      <c r="B15" s="59">
        <v>42884</v>
      </c>
      <c r="C15" s="9"/>
      <c r="D15" s="9"/>
      <c r="E15" s="9"/>
      <c r="F15" s="9"/>
      <c r="G15" s="9"/>
      <c r="H15" s="9"/>
      <c r="I15" s="9"/>
      <c r="J15" s="9"/>
      <c r="K15" s="9"/>
      <c r="L15" s="9"/>
      <c r="M15" s="9"/>
      <c r="N15" s="9"/>
      <c r="O15" s="9"/>
      <c r="P15" s="9"/>
      <c r="Q15" s="9"/>
      <c r="R15" s="8"/>
    </row>
    <row r="16" spans="1:18" x14ac:dyDescent="0.3">
      <c r="A16" s="6"/>
      <c r="B16" s="59">
        <v>42920</v>
      </c>
      <c r="C16" s="9"/>
      <c r="D16" s="9"/>
      <c r="E16" s="9"/>
      <c r="F16" s="9"/>
      <c r="G16" s="9"/>
      <c r="H16" s="9"/>
      <c r="I16" s="9"/>
      <c r="J16" s="9"/>
      <c r="K16" s="9"/>
      <c r="L16" s="9"/>
      <c r="M16" s="9"/>
      <c r="N16" s="9"/>
      <c r="O16" s="9"/>
      <c r="P16" s="9"/>
      <c r="Q16" s="9"/>
      <c r="R16" s="8"/>
    </row>
    <row r="17" spans="1:18" x14ac:dyDescent="0.3">
      <c r="A17" s="6"/>
      <c r="B17" s="59">
        <v>42982</v>
      </c>
      <c r="C17" s="9"/>
      <c r="D17" s="9"/>
      <c r="E17" s="9"/>
      <c r="F17" s="9"/>
      <c r="G17" s="9"/>
      <c r="H17" s="9"/>
      <c r="I17" s="9"/>
      <c r="J17" s="9"/>
      <c r="K17" s="9"/>
      <c r="L17" s="9"/>
      <c r="M17" s="9"/>
      <c r="N17" s="9"/>
      <c r="O17" s="9"/>
      <c r="P17" s="9"/>
      <c r="Q17" s="9"/>
      <c r="R17" s="8"/>
    </row>
    <row r="18" spans="1:18" x14ac:dyDescent="0.3">
      <c r="A18" s="6"/>
      <c r="B18" s="59">
        <v>43017</v>
      </c>
      <c r="C18" s="9"/>
      <c r="D18" s="9"/>
      <c r="E18" s="9"/>
      <c r="F18" s="9"/>
      <c r="G18" s="9"/>
      <c r="H18" s="9"/>
      <c r="I18" s="9"/>
      <c r="J18" s="9"/>
      <c r="K18" s="9"/>
      <c r="L18" s="9"/>
      <c r="M18" s="9"/>
      <c r="N18" s="9"/>
      <c r="O18" s="9"/>
      <c r="P18" s="9"/>
      <c r="Q18" s="9"/>
      <c r="R18" s="8"/>
    </row>
    <row r="19" spans="1:18" x14ac:dyDescent="0.3">
      <c r="A19" s="6"/>
      <c r="B19" s="59">
        <v>43050</v>
      </c>
      <c r="C19" s="9"/>
      <c r="D19" s="9"/>
      <c r="E19" s="9"/>
      <c r="F19" s="9"/>
      <c r="G19" s="9"/>
      <c r="H19" s="9"/>
      <c r="I19" s="9"/>
      <c r="J19" s="9"/>
      <c r="K19" s="9"/>
      <c r="L19" s="9"/>
      <c r="M19" s="9"/>
      <c r="N19" s="9"/>
      <c r="O19" s="9"/>
      <c r="P19" s="9"/>
      <c r="Q19" s="9"/>
      <c r="R19" s="8"/>
    </row>
    <row r="20" spans="1:18" x14ac:dyDescent="0.3">
      <c r="A20" s="6"/>
      <c r="B20" s="59">
        <v>43062</v>
      </c>
      <c r="C20" s="9"/>
      <c r="D20" s="9"/>
      <c r="E20" s="9"/>
      <c r="F20" s="9"/>
      <c r="G20" s="9"/>
      <c r="H20" s="9"/>
      <c r="I20" s="9"/>
      <c r="J20" s="9"/>
      <c r="K20" s="9"/>
      <c r="L20" s="9"/>
      <c r="M20" s="9"/>
      <c r="N20" s="9"/>
      <c r="O20" s="9"/>
      <c r="P20" s="9"/>
      <c r="Q20" s="9"/>
      <c r="R20" s="8"/>
    </row>
    <row r="21" spans="1:18" x14ac:dyDescent="0.3">
      <c r="A21" s="6"/>
      <c r="B21" s="59">
        <v>43094</v>
      </c>
      <c r="C21" s="9"/>
      <c r="D21" s="9"/>
      <c r="E21" s="9"/>
      <c r="F21" s="9"/>
      <c r="G21" s="9"/>
      <c r="H21" s="9"/>
      <c r="I21" s="9"/>
      <c r="J21" s="9"/>
      <c r="K21" s="9"/>
      <c r="L21" s="9"/>
      <c r="M21" s="9"/>
      <c r="N21" s="9"/>
      <c r="O21" s="9"/>
      <c r="P21" s="9"/>
      <c r="Q21" s="9"/>
      <c r="R21" s="8"/>
    </row>
    <row r="22" spans="1:18" x14ac:dyDescent="0.3">
      <c r="A22" s="6"/>
      <c r="B22" s="9"/>
      <c r="C22" s="9"/>
      <c r="D22" s="9"/>
      <c r="E22" s="9"/>
      <c r="F22" s="9"/>
      <c r="G22" s="9"/>
      <c r="H22" s="9"/>
      <c r="I22" s="9"/>
      <c r="J22" s="9"/>
      <c r="K22" s="9"/>
      <c r="L22" s="9"/>
      <c r="M22" s="9"/>
      <c r="N22" s="9"/>
      <c r="O22" s="9"/>
      <c r="P22" s="9"/>
      <c r="Q22" s="9"/>
      <c r="R22" s="8"/>
    </row>
    <row r="23" spans="1:18" x14ac:dyDescent="0.3">
      <c r="A23" s="6"/>
      <c r="B23" s="65"/>
      <c r="C23" s="65"/>
      <c r="D23" s="65"/>
      <c r="E23" s="65"/>
      <c r="F23" s="9"/>
      <c r="G23" s="9"/>
      <c r="H23" s="9"/>
      <c r="I23" s="9"/>
      <c r="J23" s="9"/>
      <c r="K23" s="9"/>
      <c r="L23" s="9"/>
      <c r="M23" s="9"/>
      <c r="N23" s="9"/>
      <c r="O23" s="9"/>
      <c r="P23" s="9"/>
      <c r="Q23" s="9"/>
      <c r="R23" s="8"/>
    </row>
    <row r="24" spans="1:18" x14ac:dyDescent="0.3">
      <c r="A24" s="6"/>
      <c r="B24" s="9"/>
      <c r="C24" s="9"/>
      <c r="D24" s="9"/>
      <c r="E24" s="9"/>
      <c r="F24" s="9"/>
      <c r="G24" s="9"/>
      <c r="H24" s="9"/>
      <c r="I24" s="9"/>
      <c r="J24" s="9"/>
      <c r="K24" s="9"/>
      <c r="L24" s="9"/>
      <c r="M24" s="9"/>
      <c r="N24" s="9"/>
      <c r="O24" s="9"/>
      <c r="P24" s="9"/>
      <c r="Q24" s="9"/>
      <c r="R24" s="8"/>
    </row>
    <row r="25" spans="1:18" x14ac:dyDescent="0.3">
      <c r="A25" s="6"/>
      <c r="B25" s="218" t="str" cm="1">
        <f t="array" ref="B25">_xll.U.TOPIC($C$4,$C$5)&amp;"."&amp;TEXT(B27,"YYYYMMDD")</f>
        <v>UPTICK/FX/RISK.20170703</v>
      </c>
      <c r="C25" s="222"/>
      <c r="D25" s="219"/>
      <c r="E25" s="64" cm="1">
        <f t="array" ref="E25">_xll.U.DO(_xll.U.PUBLISH(B25,,B26:D28),_xll.U.NOW())</f>
        <v>46072.453603263886</v>
      </c>
      <c r="F25" s="9"/>
      <c r="G25" s="9"/>
      <c r="H25" s="9"/>
      <c r="I25" s="57"/>
      <c r="J25" s="9"/>
      <c r="K25" s="9"/>
      <c r="L25" s="9"/>
      <c r="M25" s="9"/>
      <c r="N25" s="9"/>
      <c r="O25" s="9"/>
      <c r="P25" s="9"/>
      <c r="Q25" s="9"/>
      <c r="R25" s="8"/>
    </row>
    <row r="26" spans="1:18" x14ac:dyDescent="0.3">
      <c r="A26" s="6"/>
      <c r="B26" s="20" t="s">
        <v>86</v>
      </c>
      <c r="C26" s="20" t="s">
        <v>84</v>
      </c>
      <c r="D26" s="20" t="s">
        <v>82</v>
      </c>
      <c r="E26" s="9"/>
      <c r="F26" s="9"/>
      <c r="G26" s="9"/>
      <c r="H26" s="9"/>
      <c r="I26" s="57"/>
      <c r="J26" s="9"/>
      <c r="K26" s="9"/>
      <c r="L26" s="9"/>
      <c r="M26" s="9"/>
      <c r="N26" s="9"/>
      <c r="O26" s="9"/>
      <c r="P26" s="9"/>
      <c r="Q26" s="9"/>
      <c r="R26" s="8"/>
    </row>
    <row r="27" spans="1:18" x14ac:dyDescent="0.3">
      <c r="A27" s="6"/>
      <c r="B27" s="58">
        <v>42919</v>
      </c>
      <c r="C27" s="1" t="s">
        <v>81</v>
      </c>
      <c r="D27" s="63">
        <v>5025</v>
      </c>
      <c r="E27" s="9"/>
      <c r="F27" s="9"/>
      <c r="G27" s="9"/>
      <c r="H27" s="9"/>
      <c r="I27" s="57"/>
      <c r="J27" s="9"/>
      <c r="K27" s="9"/>
      <c r="L27" s="9"/>
      <c r="M27" s="9"/>
      <c r="N27" s="9"/>
      <c r="O27" s="9"/>
      <c r="P27" s="9"/>
      <c r="Q27" s="9"/>
      <c r="R27" s="8"/>
    </row>
    <row r="28" spans="1:18" x14ac:dyDescent="0.3">
      <c r="A28" s="6"/>
      <c r="B28" s="58">
        <v>42919</v>
      </c>
      <c r="C28" s="1" t="s">
        <v>83</v>
      </c>
      <c r="D28" s="63">
        <v>-1000</v>
      </c>
      <c r="E28" s="9"/>
      <c r="F28" s="9"/>
      <c r="G28" s="9"/>
      <c r="H28" s="9"/>
      <c r="I28" s="57"/>
      <c r="J28" s="9"/>
      <c r="K28" s="9"/>
      <c r="L28" s="9"/>
      <c r="M28" s="9"/>
      <c r="N28" s="9"/>
      <c r="O28" s="9"/>
      <c r="P28" s="9"/>
      <c r="Q28" s="9"/>
      <c r="R28" s="8"/>
    </row>
    <row r="29" spans="1:18" x14ac:dyDescent="0.3">
      <c r="A29" s="6"/>
      <c r="B29" s="9"/>
      <c r="C29" s="9"/>
      <c r="D29" s="9"/>
      <c r="E29" s="9"/>
      <c r="F29" s="9"/>
      <c r="G29" s="9"/>
      <c r="H29" s="9"/>
      <c r="I29" s="57"/>
      <c r="J29" s="9"/>
      <c r="K29" s="9"/>
      <c r="L29" s="9"/>
      <c r="M29" s="9"/>
      <c r="N29" s="9"/>
      <c r="O29" s="9"/>
      <c r="P29" s="9"/>
      <c r="Q29" s="9"/>
      <c r="R29" s="8"/>
    </row>
    <row r="30" spans="1:18" x14ac:dyDescent="0.3">
      <c r="A30" s="6"/>
      <c r="B30" s="218" t="str" cm="1">
        <f t="array" ref="B30">_xll.U.TOPIC($C$4,$C$5)&amp;"."&amp;TEXT(B32,"YYYYMMDD")</f>
        <v>UPTICK/FX/RISK.20170705</v>
      </c>
      <c r="C30" s="222"/>
      <c r="D30" s="219"/>
      <c r="E30" s="64" cm="1">
        <f t="array" ref="E30">_xll.U.DO(_xll.U.PUBLISH(B30,,B31:D33),_xll.U.NOW())</f>
        <v>46072.453603252317</v>
      </c>
      <c r="F30" s="9"/>
      <c r="G30" s="9"/>
      <c r="H30" s="9"/>
      <c r="I30" s="57"/>
      <c r="J30" s="9"/>
      <c r="K30" s="9"/>
      <c r="L30" s="9"/>
      <c r="M30" s="9"/>
      <c r="N30" s="9"/>
      <c r="O30" s="9"/>
      <c r="P30" s="9"/>
      <c r="Q30" s="9"/>
      <c r="R30" s="8"/>
    </row>
    <row r="31" spans="1:18" x14ac:dyDescent="0.3">
      <c r="A31" s="6"/>
      <c r="B31" s="20" t="s">
        <v>86</v>
      </c>
      <c r="C31" s="20" t="s">
        <v>84</v>
      </c>
      <c r="D31" s="20" t="s">
        <v>82</v>
      </c>
      <c r="E31" s="9"/>
      <c r="F31" s="9"/>
      <c r="G31" s="9"/>
      <c r="H31" s="9"/>
      <c r="I31" s="57"/>
      <c r="J31" s="9"/>
      <c r="K31" s="9"/>
      <c r="L31" s="9"/>
      <c r="M31" s="9"/>
      <c r="N31" s="9"/>
      <c r="O31" s="9"/>
      <c r="P31" s="9"/>
      <c r="Q31" s="9"/>
      <c r="R31" s="8"/>
    </row>
    <row r="32" spans="1:18" x14ac:dyDescent="0.3">
      <c r="A32" s="6"/>
      <c r="B32" s="58">
        <v>42921</v>
      </c>
      <c r="C32" s="1" t="s">
        <v>81</v>
      </c>
      <c r="D32" s="63">
        <v>8622</v>
      </c>
      <c r="E32" s="9"/>
      <c r="F32" s="9"/>
      <c r="G32" s="9"/>
      <c r="H32" s="9"/>
      <c r="I32" s="57"/>
      <c r="J32" s="9"/>
      <c r="K32" s="9"/>
      <c r="L32" s="9"/>
      <c r="M32" s="9"/>
      <c r="N32" s="9"/>
      <c r="O32" s="9"/>
      <c r="P32" s="9"/>
      <c r="Q32" s="9"/>
      <c r="R32" s="8"/>
    </row>
    <row r="33" spans="1:18" x14ac:dyDescent="0.3">
      <c r="A33" s="6"/>
      <c r="B33" s="58">
        <v>42921</v>
      </c>
      <c r="C33" s="1" t="s">
        <v>83</v>
      </c>
      <c r="D33" s="63">
        <v>-850</v>
      </c>
      <c r="E33" s="9"/>
      <c r="F33" s="9"/>
      <c r="G33" s="9"/>
      <c r="H33" s="9"/>
      <c r="I33" s="57"/>
      <c r="J33" s="9"/>
      <c r="K33" s="9"/>
      <c r="L33" s="9"/>
      <c r="M33" s="9"/>
      <c r="N33" s="9"/>
      <c r="O33" s="9"/>
      <c r="P33" s="9"/>
      <c r="Q33" s="9"/>
      <c r="R33" s="8"/>
    </row>
    <row r="34" spans="1:18" x14ac:dyDescent="0.3">
      <c r="A34" s="6"/>
      <c r="B34" s="9"/>
      <c r="C34" s="9"/>
      <c r="D34" s="9"/>
      <c r="E34" s="9"/>
      <c r="F34" s="9"/>
      <c r="G34" s="9"/>
      <c r="H34" s="9"/>
      <c r="I34" s="57"/>
      <c r="J34" s="9"/>
      <c r="K34" s="9"/>
      <c r="L34" s="9"/>
      <c r="M34" s="9"/>
      <c r="N34" s="9"/>
      <c r="O34" s="9"/>
      <c r="P34" s="9"/>
      <c r="Q34" s="9"/>
      <c r="R34" s="8"/>
    </row>
    <row r="35" spans="1:18" x14ac:dyDescent="0.3">
      <c r="A35" s="6"/>
      <c r="B35" s="218" t="str" cm="1">
        <f t="array" ref="B35">_xll.U.TOPIC($C$4,$C$5)&amp;"."&amp;TEXT(B37,"YYYYMMDD")</f>
        <v>UPTICK/FX/RISK.20170706</v>
      </c>
      <c r="C35" s="222"/>
      <c r="D35" s="219"/>
      <c r="E35" s="64" cm="1">
        <f t="array" ref="E35">_xll.U.DO(_xll.U.PUBLISH(B35,,B36:D38),_xll.U.NOW())</f>
        <v>46072.453603263886</v>
      </c>
      <c r="F35" s="9"/>
      <c r="G35" s="9"/>
      <c r="H35" s="9"/>
      <c r="I35" s="57"/>
      <c r="J35" s="9"/>
      <c r="K35" s="9"/>
      <c r="L35" s="9"/>
      <c r="M35" s="9"/>
      <c r="N35" s="9"/>
      <c r="O35" s="9"/>
      <c r="P35" s="9"/>
      <c r="Q35" s="9"/>
      <c r="R35" s="8"/>
    </row>
    <row r="36" spans="1:18" x14ac:dyDescent="0.3">
      <c r="A36" s="6"/>
      <c r="B36" s="20" t="s">
        <v>86</v>
      </c>
      <c r="C36" s="20" t="s">
        <v>84</v>
      </c>
      <c r="D36" s="20" t="s">
        <v>82</v>
      </c>
      <c r="E36" s="9"/>
      <c r="F36" s="9"/>
      <c r="G36" s="9"/>
      <c r="H36" s="9"/>
      <c r="I36" s="57"/>
      <c r="J36" s="9"/>
      <c r="K36" s="9"/>
      <c r="L36" s="9"/>
      <c r="M36" s="9"/>
      <c r="N36" s="9"/>
      <c r="O36" s="9"/>
      <c r="P36" s="9"/>
      <c r="Q36" s="9"/>
      <c r="R36" s="8"/>
    </row>
    <row r="37" spans="1:18" x14ac:dyDescent="0.3">
      <c r="A37" s="6"/>
      <c r="B37" s="58">
        <v>42922</v>
      </c>
      <c r="C37" s="1" t="s">
        <v>81</v>
      </c>
      <c r="D37" s="63">
        <v>17006</v>
      </c>
      <c r="E37" s="9"/>
      <c r="F37" s="9"/>
      <c r="G37" s="9"/>
      <c r="H37" s="9"/>
      <c r="I37" s="57"/>
      <c r="J37" s="9"/>
      <c r="K37" s="9"/>
      <c r="L37" s="9"/>
      <c r="M37" s="9"/>
      <c r="N37" s="9"/>
      <c r="O37" s="9"/>
      <c r="P37" s="9"/>
      <c r="Q37" s="9"/>
      <c r="R37" s="8"/>
    </row>
    <row r="38" spans="1:18" x14ac:dyDescent="0.3">
      <c r="A38" s="6"/>
      <c r="B38" s="58">
        <v>42922</v>
      </c>
      <c r="C38" s="1" t="s">
        <v>83</v>
      </c>
      <c r="D38" s="63">
        <v>-654</v>
      </c>
      <c r="E38" s="9"/>
      <c r="F38" s="9"/>
      <c r="G38" s="9"/>
      <c r="H38" s="9"/>
      <c r="I38" s="57"/>
      <c r="J38" s="9"/>
      <c r="K38" s="9"/>
      <c r="L38" s="9"/>
      <c r="M38" s="9"/>
      <c r="N38" s="9"/>
      <c r="O38" s="9"/>
      <c r="P38" s="9"/>
      <c r="Q38" s="9"/>
      <c r="R38" s="8"/>
    </row>
    <row r="39" spans="1:18" x14ac:dyDescent="0.3">
      <c r="A39" s="6"/>
      <c r="B39" s="9"/>
      <c r="C39" s="9"/>
      <c r="D39" s="9"/>
      <c r="E39" s="9"/>
      <c r="F39" s="9"/>
      <c r="G39" s="9"/>
      <c r="H39" s="9"/>
      <c r="I39" s="9"/>
      <c r="J39" s="9"/>
      <c r="K39" s="9"/>
      <c r="L39" s="9"/>
      <c r="M39" s="9"/>
      <c r="N39" s="9"/>
      <c r="O39" s="9"/>
      <c r="P39" s="9"/>
      <c r="Q39" s="9"/>
      <c r="R39" s="8"/>
    </row>
    <row r="40" spans="1:18" x14ac:dyDescent="0.3">
      <c r="A40" s="6"/>
      <c r="B40" s="218" t="str" cm="1">
        <f t="array" ref="B40">_xll.U.TOPIC($C$4,$C$5)&amp;"."&amp;TEXT(B42,"YYYYMMDD")</f>
        <v>UPTICK/FX/RISK.20170710</v>
      </c>
      <c r="C40" s="222"/>
      <c r="D40" s="219"/>
      <c r="E40" s="64" cm="1">
        <f t="array" ref="E40">_xll.U.DO(_xll.U.PUBLISH(B40,,B41:D44),_xll.U.NOW())</f>
        <v>46072.453603252317</v>
      </c>
      <c r="F40" s="9"/>
      <c r="G40" s="9"/>
      <c r="H40" s="9"/>
      <c r="I40" s="9"/>
      <c r="J40" s="9"/>
      <c r="K40" s="9"/>
      <c r="L40" s="9"/>
      <c r="M40" s="9"/>
      <c r="N40" s="9"/>
      <c r="O40" s="9"/>
      <c r="P40" s="9"/>
      <c r="Q40" s="9"/>
      <c r="R40" s="8"/>
    </row>
    <row r="41" spans="1:18" x14ac:dyDescent="0.3">
      <c r="A41" s="6"/>
      <c r="B41" s="20" t="s">
        <v>86</v>
      </c>
      <c r="C41" s="20" t="s">
        <v>84</v>
      </c>
      <c r="D41" s="20" t="s">
        <v>82</v>
      </c>
      <c r="E41" s="9"/>
      <c r="F41" s="9"/>
      <c r="G41" s="9"/>
      <c r="H41" s="9"/>
      <c r="I41" s="9"/>
      <c r="J41" s="9"/>
      <c r="K41" s="9"/>
      <c r="L41" s="9"/>
      <c r="M41" s="9"/>
      <c r="N41" s="9"/>
      <c r="O41" s="9"/>
      <c r="P41" s="9"/>
      <c r="Q41" s="9"/>
      <c r="R41" s="8"/>
    </row>
    <row r="42" spans="1:18" x14ac:dyDescent="0.3">
      <c r="A42" s="6"/>
      <c r="B42" s="58">
        <v>42926</v>
      </c>
      <c r="C42" s="1" t="s">
        <v>81</v>
      </c>
      <c r="D42" s="63">
        <v>8622</v>
      </c>
      <c r="E42" s="9"/>
      <c r="F42" s="9"/>
      <c r="G42" s="9"/>
      <c r="H42" s="9"/>
      <c r="I42" s="9"/>
      <c r="J42" s="9"/>
      <c r="K42" s="9"/>
      <c r="L42" s="9"/>
      <c r="M42" s="9"/>
      <c r="N42" s="9"/>
      <c r="O42" s="9"/>
      <c r="P42" s="9"/>
      <c r="Q42" s="9"/>
      <c r="R42" s="8"/>
    </row>
    <row r="43" spans="1:18" x14ac:dyDescent="0.3">
      <c r="A43" s="6"/>
      <c r="B43" s="58">
        <v>42926</v>
      </c>
      <c r="C43" s="1" t="s">
        <v>83</v>
      </c>
      <c r="D43" s="63">
        <v>-521</v>
      </c>
      <c r="E43" s="9"/>
      <c r="F43" s="9"/>
      <c r="G43" s="9"/>
      <c r="H43" s="9"/>
      <c r="I43" s="9"/>
      <c r="J43" s="9"/>
      <c r="K43" s="9"/>
      <c r="L43" s="9"/>
      <c r="M43" s="9"/>
      <c r="N43" s="9"/>
      <c r="O43" s="9"/>
      <c r="P43" s="9"/>
      <c r="Q43" s="9"/>
      <c r="R43" s="8"/>
    </row>
    <row r="44" spans="1:18" x14ac:dyDescent="0.3">
      <c r="A44" s="6"/>
      <c r="B44" s="58">
        <v>42926</v>
      </c>
      <c r="C44" s="1" t="s">
        <v>85</v>
      </c>
      <c r="D44" s="63">
        <v>1500</v>
      </c>
      <c r="E44" s="9"/>
      <c r="F44" s="9"/>
      <c r="G44" s="9"/>
      <c r="H44" s="9"/>
      <c r="I44" s="9"/>
      <c r="J44" s="9"/>
      <c r="K44" s="9"/>
      <c r="L44" s="9"/>
      <c r="M44" s="9"/>
      <c r="N44" s="9"/>
      <c r="O44" s="9"/>
      <c r="P44" s="9"/>
      <c r="Q44" s="9"/>
      <c r="R44" s="8"/>
    </row>
    <row r="45" spans="1:18" x14ac:dyDescent="0.3">
      <c r="A45" s="6"/>
      <c r="B45" s="9"/>
      <c r="C45" s="9"/>
      <c r="D45" s="9"/>
      <c r="E45" s="9"/>
      <c r="F45" s="9"/>
      <c r="G45" s="9"/>
      <c r="H45" s="9"/>
      <c r="I45" s="9"/>
      <c r="J45" s="9"/>
      <c r="K45" s="9"/>
      <c r="L45" s="9"/>
      <c r="M45" s="9"/>
      <c r="N45" s="9"/>
      <c r="O45" s="9"/>
      <c r="P45" s="9"/>
      <c r="Q45" s="9"/>
      <c r="R45" s="8"/>
    </row>
    <row r="46" spans="1:18" ht="15" thickBot="1" x14ac:dyDescent="0.35">
      <c r="A46" s="10"/>
      <c r="B46" s="11"/>
      <c r="C46" s="11"/>
      <c r="D46" s="11"/>
      <c r="E46" s="11"/>
      <c r="F46" s="11"/>
      <c r="G46" s="11"/>
      <c r="H46" s="11"/>
      <c r="I46" s="11"/>
      <c r="J46" s="11"/>
      <c r="K46" s="11"/>
      <c r="L46" s="11"/>
      <c r="M46" s="11"/>
      <c r="N46" s="11"/>
      <c r="O46" s="11"/>
      <c r="P46" s="11"/>
      <c r="Q46" s="11"/>
      <c r="R46" s="12"/>
    </row>
  </sheetData>
  <mergeCells count="5">
    <mergeCell ref="B25:D25"/>
    <mergeCell ref="B30:D30"/>
    <mergeCell ref="B35:D35"/>
    <mergeCell ref="B40:D40"/>
    <mergeCell ref="C1:D1"/>
  </mergeCells>
  <dataValidations count="1">
    <dataValidation type="list" allowBlank="1" showInputMessage="1" showErrorMessage="1" sqref="L5" xr:uid="{00000000-0002-0000-0B00-000000000000}">
      <formula1>DeskSelectionList</formula1>
    </dataValidation>
  </dataValidations>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U59"/>
  <sheetViews>
    <sheetView workbookViewId="0">
      <pane ySplit="1" topLeftCell="A2" activePane="bottomLeft" state="frozen"/>
      <selection pane="bottomLeft"/>
    </sheetView>
  </sheetViews>
  <sheetFormatPr defaultColWidth="9.109375" defaultRowHeight="14.4" x14ac:dyDescent="0.3"/>
  <cols>
    <col min="2" max="2" width="23.88671875" customWidth="1"/>
    <col min="3" max="3" width="28.88671875" customWidth="1"/>
    <col min="4" max="4" width="25.88671875" customWidth="1"/>
    <col min="5" max="5" width="17.6640625" customWidth="1"/>
    <col min="6" max="9" width="16.88671875" customWidth="1"/>
    <col min="10" max="10" width="2.88671875" customWidth="1"/>
    <col min="11" max="11" width="11.88671875" customWidth="1"/>
    <col min="12" max="12" width="14.5546875" bestFit="1" customWidth="1"/>
    <col min="13" max="13" width="13.6640625" customWidth="1"/>
    <col min="14" max="14" width="12.109375" customWidth="1"/>
  </cols>
  <sheetData>
    <row r="1" spans="1:21" ht="34.5" customHeight="1" thickBot="1" x14ac:dyDescent="0.35">
      <c r="A1" s="146" t="s">
        <v>255</v>
      </c>
      <c r="B1" s="207" t="e" vm="1">
        <v>#VALUE!</v>
      </c>
      <c r="C1" s="214" t="s">
        <v>208</v>
      </c>
      <c r="D1" s="215"/>
      <c r="E1" s="25"/>
      <c r="F1" s="5"/>
      <c r="G1" s="5"/>
      <c r="H1" s="5"/>
      <c r="I1" s="5"/>
      <c r="J1" s="5"/>
      <c r="K1" s="5"/>
      <c r="L1" s="5"/>
      <c r="M1" s="5"/>
      <c r="N1" s="5"/>
      <c r="O1" s="5"/>
      <c r="P1" s="5"/>
      <c r="Q1" s="5"/>
      <c r="R1" s="5"/>
      <c r="S1" s="5"/>
      <c r="T1" s="5"/>
      <c r="U1" s="7"/>
    </row>
    <row r="2" spans="1:21" ht="15" customHeight="1" x14ac:dyDescent="0.3">
      <c r="A2" s="6"/>
      <c r="B2" s="13"/>
      <c r="C2" s="13"/>
      <c r="D2" s="9"/>
      <c r="E2" s="9"/>
      <c r="F2" s="9"/>
      <c r="G2" s="9"/>
      <c r="H2" s="9"/>
      <c r="I2" s="9"/>
      <c r="J2" s="9"/>
      <c r="K2" s="9"/>
      <c r="L2" s="9"/>
      <c r="M2" s="9"/>
      <c r="N2" s="9"/>
      <c r="O2" s="9"/>
      <c r="P2" s="9"/>
      <c r="Q2" s="9"/>
      <c r="R2" s="9"/>
      <c r="S2" s="9"/>
      <c r="T2" s="9"/>
      <c r="U2" s="8"/>
    </row>
    <row r="3" spans="1:21" ht="15" customHeight="1" x14ac:dyDescent="0.3">
      <c r="A3" s="6"/>
      <c r="B3" s="129" t="s">
        <v>223</v>
      </c>
      <c r="C3" s="13"/>
      <c r="D3" s="9"/>
      <c r="E3" s="9"/>
      <c r="F3" s="9"/>
      <c r="G3" s="9"/>
      <c r="H3" s="9"/>
      <c r="I3" s="9"/>
      <c r="J3" s="9"/>
      <c r="K3" s="9"/>
      <c r="L3" s="9"/>
      <c r="M3" s="9"/>
      <c r="N3" s="9"/>
      <c r="O3" s="9"/>
      <c r="P3" s="9"/>
      <c r="Q3" s="9"/>
      <c r="R3" s="9"/>
      <c r="S3" s="9"/>
      <c r="T3" s="9"/>
      <c r="U3" s="8"/>
    </row>
    <row r="4" spans="1:21" ht="15" customHeight="1" x14ac:dyDescent="0.3">
      <c r="A4" s="6"/>
      <c r="B4" s="3" t="s">
        <v>210</v>
      </c>
      <c r="C4" s="16" t="s">
        <v>211</v>
      </c>
      <c r="D4" s="9"/>
      <c r="E4" s="9"/>
      <c r="F4" s="9"/>
      <c r="G4" s="9"/>
      <c r="H4" s="9"/>
      <c r="I4" s="9"/>
      <c r="J4" s="9"/>
      <c r="K4" s="9"/>
      <c r="L4" s="9"/>
      <c r="M4" s="9"/>
      <c r="N4" s="9"/>
      <c r="O4" s="9"/>
      <c r="P4" s="9"/>
      <c r="Q4" s="9"/>
      <c r="R4" s="9"/>
      <c r="S4" s="9"/>
      <c r="T4" s="9"/>
      <c r="U4" s="8"/>
    </row>
    <row r="5" spans="1:21" x14ac:dyDescent="0.3">
      <c r="A5" s="6"/>
      <c r="B5" s="3" t="s">
        <v>214</v>
      </c>
      <c r="C5" s="125" t="s">
        <v>213</v>
      </c>
      <c r="D5" s="9"/>
      <c r="E5" s="9"/>
      <c r="F5" s="9"/>
      <c r="G5" s="9"/>
      <c r="H5" s="9"/>
      <c r="I5" s="9"/>
      <c r="J5" s="9"/>
      <c r="K5" s="9"/>
      <c r="L5" s="9"/>
      <c r="M5" s="9"/>
      <c r="N5" s="9"/>
      <c r="O5" s="9"/>
      <c r="P5" s="9"/>
      <c r="Q5" s="9"/>
      <c r="R5" s="9"/>
      <c r="S5" s="9"/>
      <c r="T5" s="9"/>
      <c r="U5" s="8"/>
    </row>
    <row r="6" spans="1:21" x14ac:dyDescent="0.3">
      <c r="A6" s="6"/>
      <c r="B6" s="3" t="s">
        <v>215</v>
      </c>
      <c r="C6" s="16">
        <v>2</v>
      </c>
      <c r="D6" s="9"/>
      <c r="E6" s="9"/>
      <c r="F6" s="9"/>
      <c r="G6" s="9"/>
      <c r="H6" s="9"/>
      <c r="I6" s="9"/>
      <c r="J6" s="9"/>
      <c r="K6" s="9"/>
      <c r="L6" s="9"/>
      <c r="M6" s="9"/>
      <c r="N6" s="9"/>
      <c r="O6" s="9"/>
      <c r="P6" s="9"/>
      <c r="Q6" s="9"/>
      <c r="R6" s="9"/>
      <c r="S6" s="9"/>
      <c r="T6" s="9"/>
      <c r="U6" s="8"/>
    </row>
    <row r="7" spans="1:21" x14ac:dyDescent="0.3">
      <c r="A7" s="6"/>
      <c r="B7" s="3" t="s">
        <v>209</v>
      </c>
      <c r="C7" s="124" cm="1">
        <f t="array" ref="C7">_xll.U.TODAY()+VALUE("02:00")</f>
        <v>46072.083333333336</v>
      </c>
      <c r="D7" s="9"/>
      <c r="E7" s="9"/>
      <c r="F7" s="9"/>
      <c r="G7" s="9"/>
      <c r="H7" s="9"/>
      <c r="I7" s="9"/>
      <c r="J7" s="9"/>
      <c r="K7" s="9"/>
      <c r="L7" s="9"/>
      <c r="M7" s="9"/>
      <c r="N7" s="9"/>
      <c r="O7" s="9"/>
      <c r="P7" s="9"/>
      <c r="Q7" s="9"/>
      <c r="R7" s="9"/>
      <c r="S7" s="9"/>
      <c r="T7" s="9"/>
      <c r="U7" s="8"/>
    </row>
    <row r="8" spans="1:21" x14ac:dyDescent="0.3">
      <c r="A8" s="6"/>
      <c r="B8" s="3" t="s">
        <v>212</v>
      </c>
      <c r="C8" s="127" t="str" cm="1">
        <f t="array" ref="C8">_xll.U.WATCH_FILES(C4,C5,TRUE)</f>
        <v/>
      </c>
      <c r="D8" s="9"/>
      <c r="E8" s="9"/>
      <c r="F8" s="9"/>
      <c r="G8" s="9"/>
      <c r="H8" s="9"/>
      <c r="I8" s="9"/>
      <c r="J8" s="9"/>
      <c r="K8" s="9"/>
      <c r="L8" s="9"/>
      <c r="M8" s="9"/>
      <c r="N8" s="9"/>
      <c r="O8" s="9"/>
      <c r="P8" s="9"/>
      <c r="Q8" s="9"/>
      <c r="R8" s="9"/>
      <c r="S8" s="9"/>
      <c r="T8" s="9"/>
      <c r="U8" s="8"/>
    </row>
    <row r="9" spans="1:21" x14ac:dyDescent="0.3">
      <c r="A9" s="6"/>
      <c r="B9" s="9"/>
      <c r="C9" s="9"/>
      <c r="D9" s="9"/>
      <c r="E9" s="9"/>
      <c r="F9" s="9"/>
      <c r="G9" s="9"/>
      <c r="H9" s="9"/>
      <c r="I9" s="9"/>
      <c r="J9" s="9"/>
      <c r="K9" s="9"/>
      <c r="L9" s="9"/>
      <c r="M9" s="9"/>
      <c r="N9" s="9"/>
      <c r="O9" s="9"/>
      <c r="P9" s="9"/>
      <c r="Q9" s="9"/>
      <c r="R9" s="9"/>
      <c r="S9" s="9"/>
      <c r="T9" s="9"/>
      <c r="U9" s="8"/>
    </row>
    <row r="10" spans="1:21" ht="15.6" x14ac:dyDescent="0.3">
      <c r="A10" s="6"/>
      <c r="B10" s="129" t="s">
        <v>224</v>
      </c>
      <c r="C10" s="9"/>
      <c r="D10" s="9"/>
      <c r="E10" s="9"/>
      <c r="F10" s="9"/>
      <c r="G10" s="9"/>
      <c r="H10" s="9"/>
      <c r="I10" s="9"/>
      <c r="J10" s="9"/>
      <c r="K10" s="9"/>
      <c r="L10" s="9"/>
      <c r="M10" s="9"/>
      <c r="N10" s="9"/>
      <c r="O10" s="9"/>
      <c r="P10" s="9"/>
      <c r="Q10" s="9"/>
      <c r="R10" s="9"/>
      <c r="S10" s="9"/>
      <c r="T10" s="9"/>
      <c r="U10" s="8"/>
    </row>
    <row r="11" spans="1:21" x14ac:dyDescent="0.3">
      <c r="A11" s="6"/>
      <c r="B11" s="3" t="s">
        <v>216</v>
      </c>
      <c r="C11" s="3" t="s">
        <v>217</v>
      </c>
      <c r="D11" s="9"/>
      <c r="E11" s="9"/>
      <c r="F11" s="9"/>
      <c r="G11" s="9"/>
      <c r="H11" s="9"/>
      <c r="I11" s="9"/>
      <c r="J11" s="9"/>
      <c r="K11" s="9"/>
      <c r="L11" s="9"/>
      <c r="M11" s="9"/>
      <c r="N11" s="9"/>
      <c r="O11" s="9"/>
      <c r="P11" s="9"/>
      <c r="Q11" s="9"/>
      <c r="R11" s="9"/>
      <c r="S11" s="9"/>
      <c r="T11" s="9"/>
      <c r="U11" s="8"/>
    </row>
    <row r="12" spans="1:21" x14ac:dyDescent="0.3">
      <c r="A12" s="6"/>
      <c r="B12" s="62" t="e">
        <f t="array" ref="B12:C15">_xll.U.DO(_xll.U.PAD(_xll.U.FIND_FILE(C5,C4,,,C7)),C8)</f>
        <v>#VALUE!</v>
      </c>
      <c r="C12" s="126" t="str">
        <v/>
      </c>
      <c r="D12" s="9"/>
      <c r="E12" s="9"/>
      <c r="F12" s="9"/>
      <c r="G12" s="9"/>
      <c r="H12" s="9"/>
      <c r="I12" s="9"/>
      <c r="J12" s="9"/>
      <c r="K12" s="9"/>
      <c r="L12" s="9"/>
      <c r="M12" s="9"/>
      <c r="N12" s="9"/>
      <c r="O12" s="9"/>
      <c r="P12" s="9"/>
      <c r="Q12" s="9"/>
      <c r="R12" s="9"/>
      <c r="S12" s="9"/>
      <c r="T12" s="9"/>
      <c r="U12" s="8"/>
    </row>
    <row r="13" spans="1:21" x14ac:dyDescent="0.3">
      <c r="A13" s="6"/>
      <c r="B13" s="62" t="str">
        <v/>
      </c>
      <c r="C13" s="126" t="str">
        <v/>
      </c>
      <c r="D13" s="9"/>
      <c r="E13" s="9"/>
      <c r="F13" s="9"/>
      <c r="G13" s="9"/>
      <c r="H13" s="9"/>
      <c r="I13" s="9"/>
      <c r="J13" s="9"/>
      <c r="K13" s="9"/>
      <c r="L13" s="9"/>
      <c r="M13" s="9"/>
      <c r="N13" s="9"/>
      <c r="O13" s="9"/>
      <c r="P13" s="9"/>
      <c r="Q13" s="9"/>
      <c r="R13" s="9"/>
      <c r="S13" s="9"/>
      <c r="T13" s="9"/>
      <c r="U13" s="8"/>
    </row>
    <row r="14" spans="1:21" x14ac:dyDescent="0.3">
      <c r="A14" s="6"/>
      <c r="B14" s="62" t="str">
        <v/>
      </c>
      <c r="C14" s="126" t="str">
        <v/>
      </c>
      <c r="D14" s="9"/>
      <c r="E14" s="9"/>
      <c r="F14" s="9"/>
      <c r="G14" s="9"/>
      <c r="H14" s="9"/>
      <c r="I14" s="9"/>
      <c r="J14" s="9"/>
      <c r="K14" s="9"/>
      <c r="L14" s="9"/>
      <c r="M14" s="9"/>
      <c r="N14" s="9"/>
      <c r="O14" s="9"/>
      <c r="P14" s="9"/>
      <c r="Q14" s="9"/>
      <c r="R14" s="9"/>
      <c r="S14" s="9"/>
      <c r="T14" s="9"/>
      <c r="U14" s="8"/>
    </row>
    <row r="15" spans="1:21" x14ac:dyDescent="0.3">
      <c r="A15" s="6"/>
      <c r="B15" s="62" t="str">
        <v/>
      </c>
      <c r="C15" s="126" t="str">
        <v/>
      </c>
      <c r="D15" s="9"/>
      <c r="E15" s="9"/>
      <c r="F15" s="9"/>
      <c r="G15" s="9"/>
      <c r="H15" s="9"/>
      <c r="I15" s="9"/>
      <c r="J15" s="9"/>
      <c r="K15" s="9"/>
      <c r="L15" s="9"/>
      <c r="M15" s="9"/>
      <c r="N15" s="9"/>
      <c r="O15" s="9"/>
      <c r="P15" s="9"/>
      <c r="Q15" s="9"/>
      <c r="R15" s="9"/>
      <c r="S15" s="9"/>
      <c r="T15" s="9"/>
      <c r="U15" s="8"/>
    </row>
    <row r="16" spans="1:21" x14ac:dyDescent="0.3">
      <c r="A16" s="6"/>
      <c r="B16" s="9"/>
      <c r="C16" s="9"/>
      <c r="D16" s="9"/>
      <c r="E16" s="9"/>
      <c r="F16" s="9"/>
      <c r="G16" s="9"/>
      <c r="H16" s="9"/>
      <c r="I16" s="9"/>
      <c r="J16" s="9"/>
      <c r="K16" s="9"/>
      <c r="L16" s="9"/>
      <c r="M16" s="9"/>
      <c r="N16" s="9"/>
      <c r="O16" s="9"/>
      <c r="P16" s="9"/>
      <c r="Q16" s="9"/>
      <c r="R16" s="9"/>
      <c r="S16" s="9"/>
      <c r="T16" s="9"/>
      <c r="U16" s="8"/>
    </row>
    <row r="17" spans="1:21" ht="15.6" x14ac:dyDescent="0.3">
      <c r="A17" s="6"/>
      <c r="B17" s="129" t="s">
        <v>225</v>
      </c>
      <c r="C17" s="9"/>
      <c r="D17" s="9"/>
      <c r="E17" s="9"/>
      <c r="F17" s="9"/>
      <c r="G17" s="9"/>
      <c r="H17" s="9"/>
      <c r="I17" s="9"/>
      <c r="J17" s="9"/>
      <c r="K17" s="9"/>
      <c r="L17" s="9"/>
      <c r="M17" s="9"/>
      <c r="N17" s="9"/>
      <c r="O17" s="9"/>
      <c r="P17" s="9"/>
      <c r="Q17" s="9"/>
      <c r="R17" s="9"/>
      <c r="S17" s="9"/>
      <c r="T17" s="9"/>
      <c r="U17" s="8"/>
    </row>
    <row r="18" spans="1:21" x14ac:dyDescent="0.3">
      <c r="A18" s="6"/>
      <c r="B18" s="3" t="s">
        <v>220</v>
      </c>
      <c r="C18" s="62" t="b">
        <f>COUNT(C12:C15)&gt;=C6</f>
        <v>0</v>
      </c>
      <c r="D18" s="9"/>
      <c r="E18" s="9"/>
      <c r="F18" s="9"/>
      <c r="G18" s="9"/>
      <c r="H18" s="9"/>
      <c r="I18" s="9"/>
      <c r="J18" s="9"/>
      <c r="K18" s="9"/>
      <c r="L18" s="9"/>
      <c r="M18" s="9"/>
      <c r="N18" s="9"/>
      <c r="O18" s="9"/>
      <c r="P18" s="9"/>
      <c r="Q18" s="9"/>
      <c r="R18" s="9"/>
      <c r="S18" s="9"/>
      <c r="T18" s="9"/>
      <c r="U18" s="8"/>
    </row>
    <row r="19" spans="1:21" x14ac:dyDescent="0.3">
      <c r="A19" s="6"/>
      <c r="B19" s="9"/>
      <c r="C19" s="9"/>
      <c r="D19" s="9"/>
      <c r="E19" s="9"/>
      <c r="F19" s="9"/>
      <c r="G19" s="9"/>
      <c r="H19" s="9"/>
      <c r="I19" s="9"/>
      <c r="J19" s="9"/>
      <c r="K19" s="9"/>
      <c r="L19" s="9"/>
      <c r="M19" s="9"/>
      <c r="N19" s="9"/>
      <c r="O19" s="9"/>
      <c r="P19" s="9"/>
      <c r="Q19" s="9"/>
      <c r="R19" s="9"/>
      <c r="S19" s="9"/>
      <c r="T19" s="9"/>
      <c r="U19" s="8"/>
    </row>
    <row r="20" spans="1:21" ht="15.6" x14ac:dyDescent="0.3">
      <c r="A20" s="6"/>
      <c r="B20" s="129" t="s">
        <v>226</v>
      </c>
      <c r="C20" s="9"/>
      <c r="D20" s="9"/>
      <c r="E20" s="9"/>
      <c r="F20" s="9"/>
      <c r="G20" s="9"/>
      <c r="H20" s="9"/>
      <c r="I20" s="9"/>
      <c r="J20" s="9"/>
      <c r="K20" s="9"/>
      <c r="L20" s="9"/>
      <c r="M20" s="9"/>
      <c r="N20" s="9"/>
      <c r="O20" s="9"/>
      <c r="P20" s="9"/>
      <c r="Q20" s="9"/>
      <c r="R20" s="9"/>
      <c r="S20" s="9"/>
      <c r="T20" s="9"/>
      <c r="U20" s="8"/>
    </row>
    <row r="21" spans="1:21" x14ac:dyDescent="0.3">
      <c r="A21" s="6"/>
      <c r="B21" s="3" t="s">
        <v>221</v>
      </c>
      <c r="C21" s="3" t="s">
        <v>222</v>
      </c>
      <c r="D21" s="9"/>
      <c r="E21" s="9"/>
      <c r="F21" s="9"/>
      <c r="G21" s="9"/>
      <c r="H21" s="9"/>
      <c r="I21" s="9"/>
      <c r="J21" s="9"/>
      <c r="K21" s="9"/>
      <c r="L21" s="9"/>
      <c r="M21" s="9"/>
      <c r="N21" s="9"/>
      <c r="O21" s="9"/>
      <c r="P21" s="9"/>
      <c r="Q21" s="9"/>
      <c r="R21" s="9"/>
      <c r="S21" s="9"/>
      <c r="T21" s="9"/>
      <c r="U21" s="8"/>
    </row>
    <row r="22" spans="1:21" x14ac:dyDescent="0.3">
      <c r="A22" s="6"/>
      <c r="B22" s="128" t="str" cm="1">
        <f t="array" ref="B22">IF($C$18,_xll.U.SUBRANGE(_xll.U.SPLIT(B12,"\"),1,-1),"")</f>
        <v/>
      </c>
      <c r="C22" s="62" t="str" cm="1">
        <f t="array" ref="C22">IF(B22="","",_xll.U.READ_FILE(B12,,,,B22))</f>
        <v/>
      </c>
      <c r="D22" s="9"/>
      <c r="E22" s="9"/>
      <c r="F22" s="9"/>
      <c r="G22" s="9"/>
      <c r="H22" s="9"/>
      <c r="I22" s="9"/>
      <c r="J22" s="9"/>
      <c r="K22" s="9"/>
      <c r="L22" s="9"/>
      <c r="M22" s="9"/>
      <c r="N22" s="9"/>
      <c r="O22" s="9"/>
      <c r="P22" s="9"/>
      <c r="Q22" s="9"/>
      <c r="R22" s="9"/>
      <c r="S22" s="9"/>
      <c r="T22" s="9"/>
      <c r="U22" s="8"/>
    </row>
    <row r="23" spans="1:21" x14ac:dyDescent="0.3">
      <c r="A23" s="6"/>
      <c r="B23" s="128" t="str" cm="1">
        <f t="array" ref="B23">IF($C$18,_xll.U.SUBRANGE(_xll.U.SPLIT(B13,"\"),1,-1),"")</f>
        <v/>
      </c>
      <c r="C23" s="62" t="str" cm="1">
        <f t="array" ref="C23">IF(B23="","",_xll.U.READ_FILE(B13,,,,B23))</f>
        <v/>
      </c>
      <c r="D23" s="9"/>
      <c r="E23" s="9"/>
      <c r="F23" s="9"/>
      <c r="G23" s="9"/>
      <c r="H23" s="9"/>
      <c r="I23" s="9"/>
      <c r="J23" s="9"/>
      <c r="K23" s="9"/>
      <c r="L23" s="9"/>
      <c r="M23" s="9"/>
      <c r="N23" s="9"/>
      <c r="O23" s="9"/>
      <c r="P23" s="9"/>
      <c r="Q23" s="9"/>
      <c r="R23" s="9"/>
      <c r="S23" s="9"/>
      <c r="T23" s="9"/>
      <c r="U23" s="8"/>
    </row>
    <row r="24" spans="1:21" x14ac:dyDescent="0.3">
      <c r="A24" s="6"/>
      <c r="B24" s="128" t="str" cm="1">
        <f t="array" ref="B24">IF($C$18,_xll.U.SUBRANGE(_xll.U.SPLIT(B14,"\"),1,-1),"")</f>
        <v/>
      </c>
      <c r="C24" s="62" t="str" cm="1">
        <f t="array" ref="C24">IF(B24="","",_xll.U.READ_FILE(B14,,,,B24))</f>
        <v/>
      </c>
      <c r="D24" s="9"/>
      <c r="E24" s="9"/>
      <c r="F24" s="9"/>
      <c r="G24" s="9"/>
      <c r="H24" s="9"/>
      <c r="I24" s="9"/>
      <c r="J24" s="9"/>
      <c r="K24" s="9"/>
      <c r="L24" s="9"/>
      <c r="M24" s="9"/>
      <c r="N24" s="9"/>
      <c r="O24" s="9"/>
      <c r="P24" s="9"/>
      <c r="Q24" s="9"/>
      <c r="R24" s="9"/>
      <c r="S24" s="9"/>
      <c r="T24" s="9"/>
      <c r="U24" s="8"/>
    </row>
    <row r="25" spans="1:21" x14ac:dyDescent="0.3">
      <c r="A25" s="6"/>
      <c r="B25" s="128" t="str" cm="1">
        <f t="array" ref="B25">IF($C$18,_xll.U.SUBRANGE(_xll.U.SPLIT(B15,"\"),1,-1),"")</f>
        <v/>
      </c>
      <c r="C25" s="62" t="str" cm="1">
        <f t="array" ref="C25">IF(B25="","",_xll.U.READ_FILE(B15,,,,B25))</f>
        <v/>
      </c>
      <c r="D25" s="9"/>
      <c r="E25" s="9"/>
      <c r="F25" s="9"/>
      <c r="G25" s="9"/>
      <c r="H25" s="9"/>
      <c r="I25" s="9"/>
      <c r="J25" s="9"/>
      <c r="K25" s="9"/>
      <c r="L25" s="9"/>
      <c r="M25" s="9"/>
      <c r="N25" s="9"/>
      <c r="O25" s="9"/>
      <c r="P25" s="9"/>
      <c r="Q25" s="9"/>
      <c r="R25" s="9"/>
      <c r="S25" s="9"/>
      <c r="T25" s="9"/>
      <c r="U25" s="8"/>
    </row>
    <row r="26" spans="1:21" x14ac:dyDescent="0.3">
      <c r="A26" s="6"/>
      <c r="B26" s="9"/>
      <c r="C26" s="9"/>
      <c r="D26" s="9"/>
      <c r="E26" s="9"/>
      <c r="F26" s="9"/>
      <c r="G26" s="9"/>
      <c r="H26" s="9"/>
      <c r="I26" s="9"/>
      <c r="J26" s="9"/>
      <c r="K26" s="9"/>
      <c r="L26" s="9"/>
      <c r="M26" s="9"/>
      <c r="N26" s="9"/>
      <c r="O26" s="9"/>
      <c r="P26" s="9"/>
      <c r="Q26" s="9"/>
      <c r="R26" s="9"/>
      <c r="S26" s="9"/>
      <c r="T26" s="9"/>
      <c r="U26" s="8"/>
    </row>
    <row r="27" spans="1:21" ht="15.6" x14ac:dyDescent="0.3">
      <c r="A27" s="6"/>
      <c r="B27" s="129" t="s">
        <v>227</v>
      </c>
      <c r="C27" s="9"/>
      <c r="D27" s="9"/>
      <c r="E27" s="9"/>
      <c r="F27" s="9"/>
      <c r="G27" s="9"/>
      <c r="H27" s="9"/>
      <c r="I27" s="9"/>
      <c r="J27" s="9"/>
      <c r="K27" s="9"/>
      <c r="L27" s="9"/>
      <c r="M27" s="9"/>
      <c r="N27" s="9"/>
      <c r="O27" s="9"/>
      <c r="P27" s="9"/>
      <c r="Q27" s="9"/>
      <c r="R27" s="9"/>
      <c r="S27" s="9"/>
      <c r="T27" s="9"/>
      <c r="U27" s="8"/>
    </row>
    <row r="28" spans="1:21" x14ac:dyDescent="0.3">
      <c r="A28" s="6"/>
      <c r="B28" s="3" t="s">
        <v>228</v>
      </c>
      <c r="C28" s="16" t="s">
        <v>233</v>
      </c>
      <c r="D28" s="9"/>
      <c r="E28" s="9"/>
      <c r="F28" s="9"/>
      <c r="G28" s="9"/>
      <c r="H28" s="9"/>
      <c r="I28" s="9"/>
      <c r="J28" s="9"/>
      <c r="K28" s="9"/>
      <c r="L28" s="9"/>
      <c r="M28" s="9"/>
      <c r="N28" s="9"/>
      <c r="O28" s="9"/>
      <c r="P28" s="9"/>
      <c r="Q28" s="9"/>
      <c r="R28" s="9"/>
      <c r="S28" s="9"/>
      <c r="T28" s="9"/>
      <c r="U28" s="8"/>
    </row>
    <row r="29" spans="1:21" x14ac:dyDescent="0.3">
      <c r="A29" s="6"/>
      <c r="B29" s="3" t="s">
        <v>229</v>
      </c>
      <c r="C29" s="62" t="str" cm="1">
        <f t="array" ref="C29">_xll.U.CACHE(_xll.U.VSORT(_xll.U.VAPPEND(C22:C25)),C28)</f>
        <v>sorted_group_vals | 2026-02-19 10:53:11.331</v>
      </c>
      <c r="D29" s="9"/>
      <c r="E29" s="9"/>
      <c r="F29" s="9"/>
      <c r="G29" s="9"/>
      <c r="H29" s="9"/>
      <c r="I29" s="9"/>
      <c r="J29" s="9"/>
      <c r="K29" s="9"/>
      <c r="L29" s="9"/>
      <c r="M29" s="9"/>
      <c r="N29" s="9"/>
      <c r="O29" s="9"/>
      <c r="P29" s="9"/>
      <c r="Q29" s="9"/>
      <c r="R29" s="9"/>
      <c r="S29" s="9"/>
      <c r="T29" s="9"/>
      <c r="U29" s="8"/>
    </row>
    <row r="30" spans="1:21" x14ac:dyDescent="0.3">
      <c r="A30" s="6"/>
      <c r="B30" s="9"/>
      <c r="C30" s="9"/>
      <c r="D30" s="9"/>
      <c r="E30" s="9"/>
      <c r="F30" s="9"/>
      <c r="G30" s="9"/>
      <c r="H30" s="9"/>
      <c r="I30" s="9"/>
      <c r="J30" s="9"/>
      <c r="K30" s="9"/>
      <c r="L30" s="9"/>
      <c r="M30" s="9"/>
      <c r="N30" s="9"/>
      <c r="O30" s="9"/>
      <c r="P30" s="9"/>
      <c r="Q30" s="9"/>
      <c r="R30" s="9"/>
      <c r="S30" s="9"/>
      <c r="T30" s="9"/>
      <c r="U30" s="8"/>
    </row>
    <row r="31" spans="1:21" ht="15.6" x14ac:dyDescent="0.3">
      <c r="A31" s="6"/>
      <c r="B31" s="129" t="s">
        <v>230</v>
      </c>
      <c r="C31" s="9"/>
      <c r="D31" s="9"/>
      <c r="E31" s="9"/>
      <c r="F31" s="9"/>
      <c r="G31" s="9"/>
      <c r="H31" s="9"/>
      <c r="I31" s="9"/>
      <c r="J31" s="9"/>
      <c r="K31" s="9"/>
      <c r="L31" s="9"/>
      <c r="M31" s="9"/>
      <c r="N31" s="9"/>
      <c r="O31" s="9"/>
      <c r="P31" s="9"/>
      <c r="Q31" s="9"/>
      <c r="R31" s="9"/>
      <c r="S31" s="9"/>
      <c r="T31" s="9"/>
      <c r="U31" s="8"/>
    </row>
    <row r="32" spans="1:21" x14ac:dyDescent="0.3">
      <c r="A32" s="6"/>
      <c r="B32" s="3" t="s">
        <v>218</v>
      </c>
      <c r="C32" s="16" t="s">
        <v>219</v>
      </c>
      <c r="D32" s="9"/>
      <c r="E32" s="9"/>
      <c r="F32" s="9"/>
      <c r="G32" s="9"/>
      <c r="H32" s="9"/>
      <c r="I32" s="9"/>
      <c r="J32" s="9"/>
      <c r="K32" s="9"/>
      <c r="L32" s="9"/>
      <c r="M32" s="9"/>
      <c r="N32" s="9"/>
      <c r="O32" s="9"/>
      <c r="P32" s="9"/>
      <c r="Q32" s="9"/>
      <c r="R32" s="9"/>
      <c r="S32" s="9"/>
      <c r="T32" s="9"/>
      <c r="U32" s="8"/>
    </row>
    <row r="33" spans="1:21" x14ac:dyDescent="0.3">
      <c r="A33" s="6"/>
      <c r="B33" s="3" t="s">
        <v>231</v>
      </c>
      <c r="C33" s="126" t="str" cm="1">
        <f t="array" ref="C33">IF(C18,_xll.U.WRITE_FILE(C32,C29),"not ready")</f>
        <v>not ready</v>
      </c>
      <c r="D33" s="9"/>
      <c r="E33" s="9"/>
      <c r="F33" s="9"/>
      <c r="G33" s="9"/>
      <c r="H33" s="9"/>
      <c r="I33" s="9"/>
      <c r="J33" s="9"/>
      <c r="K33" s="9"/>
      <c r="L33" s="9"/>
      <c r="M33" s="9"/>
      <c r="N33" s="9"/>
      <c r="O33" s="9"/>
      <c r="P33" s="9"/>
      <c r="Q33" s="9"/>
      <c r="R33" s="9"/>
      <c r="S33" s="9"/>
      <c r="T33" s="9"/>
      <c r="U33" s="8"/>
    </row>
    <row r="34" spans="1:21" x14ac:dyDescent="0.3">
      <c r="A34" s="6"/>
      <c r="B34" s="9"/>
      <c r="C34" s="9"/>
      <c r="D34" s="9"/>
      <c r="E34" s="9"/>
      <c r="F34" s="9"/>
      <c r="G34" s="9"/>
      <c r="H34" s="9"/>
      <c r="I34" s="9"/>
      <c r="J34" s="9"/>
      <c r="K34" s="9"/>
      <c r="L34" s="9"/>
      <c r="M34" s="9"/>
      <c r="N34" s="9"/>
      <c r="O34" s="9"/>
      <c r="P34" s="9"/>
      <c r="Q34" s="9"/>
      <c r="R34" s="9"/>
      <c r="S34" s="9"/>
      <c r="T34" s="9"/>
      <c r="U34" s="8"/>
    </row>
    <row r="35" spans="1:21" ht="15.6" x14ac:dyDescent="0.3">
      <c r="A35" s="6"/>
      <c r="B35" s="129" t="s">
        <v>232</v>
      </c>
      <c r="C35" s="9"/>
      <c r="D35" s="9"/>
      <c r="E35" s="9"/>
      <c r="F35" s="9"/>
      <c r="G35" s="9"/>
      <c r="H35" s="9"/>
      <c r="I35" s="9"/>
      <c r="J35" s="9"/>
      <c r="K35" s="9"/>
      <c r="L35" s="9"/>
      <c r="M35" s="9"/>
      <c r="N35" s="9"/>
      <c r="O35" s="9"/>
      <c r="P35" s="9"/>
      <c r="Q35" s="9"/>
      <c r="R35" s="9"/>
      <c r="S35" s="9"/>
      <c r="T35" s="9"/>
      <c r="U35" s="8"/>
    </row>
    <row r="36" spans="1:21" x14ac:dyDescent="0.3">
      <c r="A36" s="6"/>
      <c r="B36" s="62" t="str">
        <f t="array" ref="B36:F47">_xll.U.PAD(C29)</f>
        <v/>
      </c>
      <c r="C36" s="62" t="str">
        <v/>
      </c>
      <c r="D36" s="62" t="str">
        <v/>
      </c>
      <c r="E36" s="62" t="str">
        <v/>
      </c>
      <c r="F36" s="62" t="str">
        <v/>
      </c>
      <c r="G36" s="9"/>
      <c r="H36" s="9"/>
      <c r="I36" s="9"/>
      <c r="J36" s="9"/>
      <c r="K36" s="9"/>
      <c r="L36" s="9"/>
      <c r="M36" s="9"/>
      <c r="N36" s="9"/>
      <c r="O36" s="9"/>
      <c r="P36" s="9"/>
      <c r="Q36" s="9"/>
      <c r="R36" s="9"/>
      <c r="S36" s="9"/>
      <c r="T36" s="9"/>
      <c r="U36" s="8"/>
    </row>
    <row r="37" spans="1:21" x14ac:dyDescent="0.3">
      <c r="A37" s="6"/>
      <c r="B37" s="62" t="str">
        <v/>
      </c>
      <c r="C37" s="62" t="str">
        <v/>
      </c>
      <c r="D37" s="62" t="str">
        <v/>
      </c>
      <c r="E37" s="62" t="str">
        <v/>
      </c>
      <c r="F37" s="62" t="str">
        <v/>
      </c>
      <c r="G37" s="9"/>
      <c r="H37" s="9"/>
      <c r="I37" s="9"/>
      <c r="J37" s="9"/>
      <c r="K37" s="9"/>
      <c r="L37" s="9"/>
      <c r="M37" s="9"/>
      <c r="N37" s="9"/>
      <c r="O37" s="9"/>
      <c r="P37" s="9"/>
      <c r="Q37" s="9"/>
      <c r="R37" s="9"/>
      <c r="S37" s="9"/>
      <c r="T37" s="9"/>
      <c r="U37" s="8"/>
    </row>
    <row r="38" spans="1:21" x14ac:dyDescent="0.3">
      <c r="A38" s="6"/>
      <c r="B38" s="62" t="str">
        <v/>
      </c>
      <c r="C38" s="62" t="str">
        <v/>
      </c>
      <c r="D38" s="62" t="str">
        <v/>
      </c>
      <c r="E38" s="62" t="str">
        <v/>
      </c>
      <c r="F38" s="62" t="str">
        <v/>
      </c>
      <c r="G38" s="9"/>
      <c r="H38" s="9"/>
      <c r="I38" s="9"/>
      <c r="J38" s="9"/>
      <c r="K38" s="9"/>
      <c r="L38" s="9"/>
      <c r="M38" s="9"/>
      <c r="N38" s="9"/>
      <c r="O38" s="9"/>
      <c r="P38" s="9"/>
      <c r="Q38" s="9"/>
      <c r="R38" s="9"/>
      <c r="S38" s="9"/>
      <c r="T38" s="9"/>
      <c r="U38" s="8"/>
    </row>
    <row r="39" spans="1:21" x14ac:dyDescent="0.3">
      <c r="A39" s="6"/>
      <c r="B39" s="62" t="str">
        <v/>
      </c>
      <c r="C39" s="62" t="str">
        <v/>
      </c>
      <c r="D39" s="62" t="str">
        <v/>
      </c>
      <c r="E39" s="62" t="str">
        <v/>
      </c>
      <c r="F39" s="62" t="str">
        <v/>
      </c>
      <c r="G39" s="9"/>
      <c r="H39" s="9"/>
      <c r="I39" s="9"/>
      <c r="J39" s="9"/>
      <c r="K39" s="9"/>
      <c r="L39" s="9"/>
      <c r="M39" s="9"/>
      <c r="N39" s="9"/>
      <c r="O39" s="9"/>
      <c r="P39" s="9"/>
      <c r="Q39" s="9"/>
      <c r="R39" s="9"/>
      <c r="S39" s="9"/>
      <c r="T39" s="9"/>
      <c r="U39" s="8"/>
    </row>
    <row r="40" spans="1:21" x14ac:dyDescent="0.3">
      <c r="A40" s="6"/>
      <c r="B40" s="62" t="str">
        <v/>
      </c>
      <c r="C40" s="62" t="str">
        <v/>
      </c>
      <c r="D40" s="62" t="str">
        <v/>
      </c>
      <c r="E40" s="62" t="str">
        <v/>
      </c>
      <c r="F40" s="62" t="str">
        <v/>
      </c>
      <c r="G40" s="9"/>
      <c r="H40" s="9"/>
      <c r="I40" s="9"/>
      <c r="J40" s="9"/>
      <c r="K40" s="9"/>
      <c r="L40" s="9"/>
      <c r="M40" s="9"/>
      <c r="N40" s="9"/>
      <c r="O40" s="9"/>
      <c r="P40" s="9"/>
      <c r="Q40" s="9"/>
      <c r="R40" s="9"/>
      <c r="S40" s="9"/>
      <c r="T40" s="9"/>
      <c r="U40" s="8"/>
    </row>
    <row r="41" spans="1:21" x14ac:dyDescent="0.3">
      <c r="A41" s="6"/>
      <c r="B41" s="62" t="str">
        <v/>
      </c>
      <c r="C41" s="62" t="str">
        <v/>
      </c>
      <c r="D41" s="62" t="str">
        <v/>
      </c>
      <c r="E41" s="62" t="str">
        <v/>
      </c>
      <c r="F41" s="62" t="str">
        <v/>
      </c>
      <c r="G41" s="9"/>
      <c r="H41" s="9"/>
      <c r="I41" s="9"/>
      <c r="J41" s="9"/>
      <c r="K41" s="9"/>
      <c r="L41" s="9"/>
      <c r="M41" s="9"/>
      <c r="N41" s="9"/>
      <c r="O41" s="9"/>
      <c r="P41" s="9"/>
      <c r="Q41" s="9"/>
      <c r="R41" s="9"/>
      <c r="S41" s="9"/>
      <c r="T41" s="9"/>
      <c r="U41" s="8"/>
    </row>
    <row r="42" spans="1:21" x14ac:dyDescent="0.3">
      <c r="A42" s="6"/>
      <c r="B42" s="62" t="str">
        <v/>
      </c>
      <c r="C42" s="62" t="str">
        <v/>
      </c>
      <c r="D42" s="62" t="str">
        <v/>
      </c>
      <c r="E42" s="62" t="str">
        <v/>
      </c>
      <c r="F42" s="62" t="str">
        <v/>
      </c>
      <c r="G42" s="9"/>
      <c r="H42" s="9"/>
      <c r="I42" s="9"/>
      <c r="J42" s="9"/>
      <c r="K42" s="9"/>
      <c r="L42" s="9"/>
      <c r="M42" s="9"/>
      <c r="N42" s="9"/>
      <c r="O42" s="9"/>
      <c r="P42" s="9"/>
      <c r="Q42" s="9"/>
      <c r="R42" s="9"/>
      <c r="S42" s="9"/>
      <c r="T42" s="9"/>
      <c r="U42" s="8"/>
    </row>
    <row r="43" spans="1:21" x14ac:dyDescent="0.3">
      <c r="A43" s="6"/>
      <c r="B43" s="62" t="str">
        <v/>
      </c>
      <c r="C43" s="62" t="str">
        <v/>
      </c>
      <c r="D43" s="62" t="str">
        <v/>
      </c>
      <c r="E43" s="62" t="str">
        <v/>
      </c>
      <c r="F43" s="62" t="str">
        <v/>
      </c>
      <c r="G43" s="9"/>
      <c r="H43" s="9"/>
      <c r="I43" s="9"/>
      <c r="J43" s="9"/>
      <c r="K43" s="9"/>
      <c r="L43" s="9"/>
      <c r="M43" s="9"/>
      <c r="N43" s="9"/>
      <c r="O43" s="9"/>
      <c r="P43" s="9"/>
      <c r="Q43" s="9"/>
      <c r="R43" s="9"/>
      <c r="S43" s="9"/>
      <c r="T43" s="9"/>
      <c r="U43" s="8"/>
    </row>
    <row r="44" spans="1:21" x14ac:dyDescent="0.3">
      <c r="A44" s="6"/>
      <c r="B44" s="62" t="str">
        <v/>
      </c>
      <c r="C44" s="62" t="str">
        <v/>
      </c>
      <c r="D44" s="62" t="str">
        <v/>
      </c>
      <c r="E44" s="62" t="str">
        <v/>
      </c>
      <c r="F44" s="62" t="str">
        <v/>
      </c>
      <c r="G44" s="9"/>
      <c r="H44" s="9"/>
      <c r="I44" s="9"/>
      <c r="J44" s="9"/>
      <c r="K44" s="9"/>
      <c r="L44" s="9"/>
      <c r="M44" s="9"/>
      <c r="N44" s="9"/>
      <c r="O44" s="9"/>
      <c r="P44" s="9"/>
      <c r="Q44" s="9"/>
      <c r="R44" s="9"/>
      <c r="S44" s="9"/>
      <c r="T44" s="9"/>
      <c r="U44" s="8"/>
    </row>
    <row r="45" spans="1:21" x14ac:dyDescent="0.3">
      <c r="A45" s="6"/>
      <c r="B45" s="62" t="str">
        <v/>
      </c>
      <c r="C45" s="62" t="str">
        <v/>
      </c>
      <c r="D45" s="62" t="str">
        <v/>
      </c>
      <c r="E45" s="62" t="str">
        <v/>
      </c>
      <c r="F45" s="62" t="str">
        <v/>
      </c>
      <c r="G45" s="9"/>
      <c r="H45" s="9"/>
      <c r="I45" s="9"/>
      <c r="J45" s="9"/>
      <c r="K45" s="9"/>
      <c r="L45" s="9"/>
      <c r="M45" s="9"/>
      <c r="N45" s="9"/>
      <c r="O45" s="9"/>
      <c r="P45" s="9"/>
      <c r="Q45" s="9"/>
      <c r="R45" s="9"/>
      <c r="S45" s="9"/>
      <c r="T45" s="9"/>
      <c r="U45" s="8"/>
    </row>
    <row r="46" spans="1:21" x14ac:dyDescent="0.3">
      <c r="A46" s="6"/>
      <c r="B46" s="62" t="str">
        <v/>
      </c>
      <c r="C46" s="62" t="str">
        <v/>
      </c>
      <c r="D46" s="62" t="str">
        <v/>
      </c>
      <c r="E46" s="62" t="str">
        <v/>
      </c>
      <c r="F46" s="62" t="str">
        <v/>
      </c>
      <c r="G46" s="9"/>
      <c r="H46" s="9"/>
      <c r="I46" s="9"/>
      <c r="J46" s="9"/>
      <c r="K46" s="9"/>
      <c r="L46" s="9"/>
      <c r="M46" s="9"/>
      <c r="N46" s="9"/>
      <c r="O46" s="9"/>
      <c r="P46" s="9"/>
      <c r="Q46" s="9"/>
      <c r="R46" s="9"/>
      <c r="S46" s="9"/>
      <c r="T46" s="9"/>
      <c r="U46" s="8"/>
    </row>
    <row r="47" spans="1:21" x14ac:dyDescent="0.3">
      <c r="A47" s="6"/>
      <c r="B47" s="62" t="str">
        <v/>
      </c>
      <c r="C47" s="62" t="str">
        <v/>
      </c>
      <c r="D47" s="62" t="str">
        <v/>
      </c>
      <c r="E47" s="62" t="str">
        <v/>
      </c>
      <c r="F47" s="62" t="str">
        <v/>
      </c>
      <c r="G47" s="9"/>
      <c r="H47" s="9"/>
      <c r="I47" s="9"/>
      <c r="J47" s="9"/>
      <c r="K47" s="9"/>
      <c r="L47" s="9"/>
      <c r="M47" s="9"/>
      <c r="N47" s="9"/>
      <c r="O47" s="9"/>
      <c r="P47" s="9"/>
      <c r="Q47" s="9"/>
      <c r="R47" s="9"/>
      <c r="S47" s="9"/>
      <c r="T47" s="9"/>
      <c r="U47" s="8"/>
    </row>
    <row r="48" spans="1:21" x14ac:dyDescent="0.3">
      <c r="A48" s="6"/>
      <c r="B48" s="9"/>
      <c r="C48" s="9"/>
      <c r="D48" s="9"/>
      <c r="E48" s="9"/>
      <c r="F48" s="9"/>
      <c r="G48" s="9"/>
      <c r="H48" s="9"/>
      <c r="I48" s="9"/>
      <c r="J48" s="9"/>
      <c r="K48" s="9"/>
      <c r="L48" s="9"/>
      <c r="M48" s="9"/>
      <c r="N48" s="9"/>
      <c r="O48" s="9"/>
      <c r="P48" s="9"/>
      <c r="Q48" s="9"/>
      <c r="R48" s="9"/>
      <c r="S48" s="9"/>
      <c r="T48" s="9"/>
      <c r="U48" s="8"/>
    </row>
    <row r="49" spans="1:21" x14ac:dyDescent="0.3">
      <c r="A49" s="6"/>
      <c r="B49" s="9"/>
      <c r="C49" s="9"/>
      <c r="D49" s="9"/>
      <c r="E49" s="9"/>
      <c r="F49" s="9"/>
      <c r="G49" s="9"/>
      <c r="H49" s="9"/>
      <c r="I49" s="9"/>
      <c r="J49" s="9"/>
      <c r="K49" s="9"/>
      <c r="L49" s="9"/>
      <c r="M49" s="9"/>
      <c r="N49" s="9"/>
      <c r="O49" s="9"/>
      <c r="P49" s="9"/>
      <c r="Q49" s="9"/>
      <c r="R49" s="9"/>
      <c r="S49" s="9"/>
      <c r="T49" s="9"/>
      <c r="U49" s="8"/>
    </row>
    <row r="50" spans="1:21" x14ac:dyDescent="0.3">
      <c r="A50" s="6"/>
      <c r="B50" s="9"/>
      <c r="C50" s="9"/>
      <c r="D50" s="9"/>
      <c r="E50" s="9"/>
      <c r="F50" s="9"/>
      <c r="G50" s="9"/>
      <c r="H50" s="9"/>
      <c r="I50" s="9"/>
      <c r="J50" s="9"/>
      <c r="K50" s="9"/>
      <c r="L50" s="9"/>
      <c r="M50" s="9"/>
      <c r="N50" s="9"/>
      <c r="O50" s="9"/>
      <c r="P50" s="9"/>
      <c r="Q50" s="9"/>
      <c r="R50" s="9"/>
      <c r="S50" s="9"/>
      <c r="T50" s="9"/>
      <c r="U50" s="8"/>
    </row>
    <row r="51" spans="1:21" x14ac:dyDescent="0.3">
      <c r="A51" s="6"/>
      <c r="B51" s="9"/>
      <c r="C51" s="9"/>
      <c r="D51" s="9"/>
      <c r="E51" s="9"/>
      <c r="F51" s="9"/>
      <c r="G51" s="9"/>
      <c r="H51" s="9"/>
      <c r="I51" s="9"/>
      <c r="J51" s="9"/>
      <c r="K51" s="9"/>
      <c r="L51" s="9"/>
      <c r="M51" s="9"/>
      <c r="N51" s="9"/>
      <c r="O51" s="9"/>
      <c r="P51" s="9"/>
      <c r="Q51" s="9"/>
      <c r="R51" s="9"/>
      <c r="S51" s="9"/>
      <c r="T51" s="9"/>
      <c r="U51" s="8"/>
    </row>
    <row r="52" spans="1:21" x14ac:dyDescent="0.3">
      <c r="A52" s="6"/>
      <c r="B52" s="9"/>
      <c r="C52" s="9"/>
      <c r="D52" s="9"/>
      <c r="E52" s="9"/>
      <c r="F52" s="9"/>
      <c r="G52" s="9"/>
      <c r="H52" s="9"/>
      <c r="I52" s="9"/>
      <c r="J52" s="9"/>
      <c r="K52" s="9"/>
      <c r="L52" s="9"/>
      <c r="M52" s="9"/>
      <c r="N52" s="9"/>
      <c r="O52" s="9"/>
      <c r="P52" s="9"/>
      <c r="Q52" s="9"/>
      <c r="R52" s="9"/>
      <c r="S52" s="9"/>
      <c r="T52" s="9"/>
      <c r="U52" s="8"/>
    </row>
    <row r="53" spans="1:21" x14ac:dyDescent="0.3">
      <c r="A53" s="6"/>
      <c r="B53" s="9"/>
      <c r="C53" s="9"/>
      <c r="D53" s="9"/>
      <c r="E53" s="9"/>
      <c r="F53" s="9"/>
      <c r="G53" s="9"/>
      <c r="H53" s="9"/>
      <c r="I53" s="9"/>
      <c r="J53" s="9"/>
      <c r="K53" s="9"/>
      <c r="L53" s="9"/>
      <c r="M53" s="9"/>
      <c r="N53" s="9"/>
      <c r="O53" s="9"/>
      <c r="P53" s="9"/>
      <c r="Q53" s="9"/>
      <c r="R53" s="9"/>
      <c r="S53" s="9"/>
      <c r="T53" s="9"/>
      <c r="U53" s="8"/>
    </row>
    <row r="54" spans="1:21" x14ac:dyDescent="0.3">
      <c r="A54" s="6"/>
      <c r="B54" s="9"/>
      <c r="C54" s="9"/>
      <c r="D54" s="9"/>
      <c r="E54" s="9"/>
      <c r="F54" s="9"/>
      <c r="G54" s="9"/>
      <c r="H54" s="9"/>
      <c r="I54" s="9"/>
      <c r="J54" s="9"/>
      <c r="K54" s="9"/>
      <c r="L54" s="9"/>
      <c r="M54" s="9"/>
      <c r="N54" s="9"/>
      <c r="O54" s="9"/>
      <c r="P54" s="9"/>
      <c r="Q54" s="9"/>
      <c r="R54" s="9"/>
      <c r="S54" s="9"/>
      <c r="T54" s="9"/>
      <c r="U54" s="8"/>
    </row>
    <row r="55" spans="1:21" x14ac:dyDescent="0.3">
      <c r="A55" s="6"/>
      <c r="B55" s="9"/>
      <c r="C55" s="9"/>
      <c r="D55" s="9"/>
      <c r="E55" s="9"/>
      <c r="F55" s="9"/>
      <c r="G55" s="9"/>
      <c r="H55" s="9"/>
      <c r="I55" s="9"/>
      <c r="J55" s="9"/>
      <c r="K55" s="9"/>
      <c r="L55" s="9"/>
      <c r="M55" s="9"/>
      <c r="N55" s="9"/>
      <c r="O55" s="9"/>
      <c r="P55" s="9"/>
      <c r="Q55" s="9"/>
      <c r="R55" s="9"/>
      <c r="S55" s="9"/>
      <c r="T55" s="9"/>
      <c r="U55" s="8"/>
    </row>
    <row r="56" spans="1:21" x14ac:dyDescent="0.3">
      <c r="A56" s="6"/>
      <c r="B56" s="9"/>
      <c r="C56" s="9"/>
      <c r="D56" s="9"/>
      <c r="E56" s="9"/>
      <c r="F56" s="9"/>
      <c r="G56" s="9"/>
      <c r="H56" s="9"/>
      <c r="I56" s="9"/>
      <c r="J56" s="9"/>
      <c r="K56" s="9"/>
      <c r="L56" s="9"/>
      <c r="M56" s="9"/>
      <c r="N56" s="9"/>
      <c r="O56" s="9"/>
      <c r="P56" s="9"/>
      <c r="Q56" s="9"/>
      <c r="R56" s="9"/>
      <c r="S56" s="9"/>
      <c r="T56" s="9"/>
      <c r="U56" s="8"/>
    </row>
    <row r="57" spans="1:21" x14ac:dyDescent="0.3">
      <c r="A57" s="6"/>
      <c r="B57" s="9"/>
      <c r="C57" s="9"/>
      <c r="D57" s="9"/>
      <c r="E57" s="9"/>
      <c r="F57" s="9"/>
      <c r="G57" s="9"/>
      <c r="H57" s="9"/>
      <c r="I57" s="9"/>
      <c r="J57" s="9"/>
      <c r="K57" s="9"/>
      <c r="L57" s="9"/>
      <c r="M57" s="9"/>
      <c r="N57" s="9"/>
      <c r="O57" s="9"/>
      <c r="P57" s="9"/>
      <c r="Q57" s="9"/>
      <c r="R57" s="9"/>
      <c r="S57" s="9"/>
      <c r="T57" s="9"/>
      <c r="U57" s="8"/>
    </row>
    <row r="58" spans="1:21" x14ac:dyDescent="0.3">
      <c r="A58" s="6"/>
      <c r="B58" s="9"/>
      <c r="C58" s="9"/>
      <c r="D58" s="9"/>
      <c r="E58" s="9"/>
      <c r="F58" s="9"/>
      <c r="G58" s="9"/>
      <c r="H58" s="9"/>
      <c r="I58" s="9"/>
      <c r="J58" s="9"/>
      <c r="K58" s="9"/>
      <c r="L58" s="9"/>
      <c r="M58" s="9"/>
      <c r="N58" s="9"/>
      <c r="O58" s="9"/>
      <c r="P58" s="9"/>
      <c r="Q58" s="9"/>
      <c r="R58" s="9"/>
      <c r="S58" s="9"/>
      <c r="T58" s="9"/>
      <c r="U58" s="8"/>
    </row>
    <row r="59" spans="1:21" ht="15" thickBot="1" x14ac:dyDescent="0.35">
      <c r="A59" s="10"/>
      <c r="B59" s="11"/>
      <c r="C59" s="11"/>
      <c r="D59" s="11"/>
      <c r="E59" s="11"/>
      <c r="F59" s="11"/>
      <c r="G59" s="11"/>
      <c r="H59" s="11"/>
      <c r="I59" s="11"/>
      <c r="J59" s="11"/>
      <c r="K59" s="11"/>
      <c r="L59" s="11"/>
      <c r="M59" s="11"/>
      <c r="N59" s="11"/>
      <c r="O59" s="11"/>
      <c r="P59" s="11"/>
      <c r="Q59" s="11"/>
      <c r="R59" s="11"/>
      <c r="S59" s="11"/>
      <c r="T59" s="11"/>
      <c r="U59" s="12"/>
    </row>
  </sheetData>
  <mergeCells count="1">
    <mergeCell ref="C1:D1"/>
  </mergeCells>
  <pageMargins left="0.7" right="0.7" top="0.75" bottom="0.75" header="0.3" footer="0.3"/>
  <pageSetup orientation="portrait" verticalDpi="0"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U30"/>
  <sheetViews>
    <sheetView workbookViewId="0">
      <pane ySplit="1" topLeftCell="A2" activePane="bottomLeft" state="frozen"/>
      <selection pane="bottomLeft"/>
    </sheetView>
  </sheetViews>
  <sheetFormatPr defaultRowHeight="14.4" x14ac:dyDescent="0.3"/>
  <cols>
    <col min="2" max="2" width="23.88671875" customWidth="1"/>
    <col min="3" max="4" width="25.88671875" customWidth="1"/>
    <col min="5" max="5" width="17.6640625" customWidth="1"/>
    <col min="6" max="9" width="16.88671875" customWidth="1"/>
    <col min="10" max="10" width="2.88671875" customWidth="1"/>
    <col min="11" max="11" width="11.88671875" customWidth="1"/>
    <col min="12" max="12" width="14.5546875" bestFit="1" customWidth="1"/>
    <col min="13" max="13" width="13.6640625" customWidth="1"/>
    <col min="14" max="14" width="12.109375" customWidth="1"/>
  </cols>
  <sheetData>
    <row r="1" spans="1:21" ht="34.5" customHeight="1" thickBot="1" x14ac:dyDescent="0.35">
      <c r="A1" s="146" t="s">
        <v>255</v>
      </c>
      <c r="B1" s="207" t="e" vm="1">
        <v>#VALUE!</v>
      </c>
      <c r="C1" s="214" t="s">
        <v>88</v>
      </c>
      <c r="D1" s="215"/>
      <c r="E1" s="25"/>
      <c r="F1" s="5"/>
      <c r="G1" s="5"/>
      <c r="H1" s="5"/>
      <c r="I1" s="5"/>
      <c r="J1" s="80"/>
      <c r="K1" s="5"/>
      <c r="L1" s="5"/>
      <c r="M1" s="5"/>
      <c r="N1" s="5"/>
      <c r="O1" s="5"/>
      <c r="P1" s="5"/>
      <c r="Q1" s="5"/>
      <c r="R1" s="5"/>
      <c r="S1" s="5"/>
      <c r="T1" s="5"/>
      <c r="U1" s="7"/>
    </row>
    <row r="2" spans="1:21" ht="15" customHeight="1" x14ac:dyDescent="0.3">
      <c r="A2" s="6"/>
      <c r="B2" s="13"/>
      <c r="C2" s="13"/>
      <c r="D2" s="9"/>
      <c r="E2" s="9"/>
      <c r="F2" s="9"/>
      <c r="G2" s="9"/>
      <c r="H2" s="9"/>
      <c r="I2" s="9"/>
      <c r="J2" s="81"/>
      <c r="K2" s="9"/>
      <c r="L2" s="9"/>
      <c r="M2" s="9"/>
      <c r="N2" s="9"/>
      <c r="O2" s="9"/>
      <c r="P2" s="9"/>
      <c r="Q2" s="9"/>
      <c r="R2" s="9"/>
      <c r="S2" s="9"/>
      <c r="T2" s="9"/>
      <c r="U2" s="8"/>
    </row>
    <row r="3" spans="1:21" x14ac:dyDescent="0.3">
      <c r="A3" s="6"/>
      <c r="B3" s="3" t="s">
        <v>2</v>
      </c>
      <c r="C3" s="16" t="s">
        <v>18</v>
      </c>
      <c r="D3" s="9"/>
      <c r="E3" s="9"/>
      <c r="F3" s="9"/>
      <c r="G3" s="9"/>
      <c r="H3" s="9"/>
      <c r="I3" s="9"/>
      <c r="J3" s="81"/>
      <c r="K3" s="9"/>
      <c r="L3" s="9"/>
      <c r="M3" s="9"/>
      <c r="N3" s="9"/>
      <c r="O3" s="9"/>
      <c r="P3" s="9"/>
      <c r="Q3" s="9"/>
      <c r="R3" s="9"/>
      <c r="S3" s="9"/>
      <c r="T3" s="9"/>
      <c r="U3" s="8"/>
    </row>
    <row r="4" spans="1:21" x14ac:dyDescent="0.3">
      <c r="A4" s="6"/>
      <c r="B4" s="3" t="s">
        <v>3</v>
      </c>
      <c r="C4" s="16" t="s">
        <v>89</v>
      </c>
      <c r="D4" s="9"/>
      <c r="E4" s="9"/>
      <c r="F4" s="9"/>
      <c r="G4" s="9"/>
      <c r="H4" s="9"/>
      <c r="I4" s="9"/>
      <c r="J4" s="81"/>
      <c r="K4" s="9"/>
      <c r="L4" s="3" t="s">
        <v>2</v>
      </c>
      <c r="M4" s="16" t="s">
        <v>18</v>
      </c>
      <c r="N4" s="9"/>
      <c r="O4" s="9"/>
      <c r="P4" s="9"/>
      <c r="Q4" s="9"/>
      <c r="R4" s="9"/>
      <c r="S4" s="9"/>
      <c r="T4" s="9"/>
      <c r="U4" s="8"/>
    </row>
    <row r="5" spans="1:21" x14ac:dyDescent="0.3">
      <c r="A5" s="6"/>
      <c r="B5" s="4" t="s">
        <v>10</v>
      </c>
      <c r="C5" s="15" t="str" cm="1">
        <f t="array" ref="C5">_xll.U.SUBSCRIBE(C3,C4)</f>
        <v>UPTICK/EQUITIES/TRADE_LIST | 2026-02-19 10:53:11.308</v>
      </c>
      <c r="D5" s="9"/>
      <c r="E5" s="9"/>
      <c r="F5" s="9"/>
      <c r="G5" s="9"/>
      <c r="H5" s="9"/>
      <c r="I5" s="9"/>
      <c r="J5" s="81"/>
      <c r="K5" s="9"/>
      <c r="L5" s="3" t="s">
        <v>3</v>
      </c>
      <c r="M5" s="16" t="s">
        <v>89</v>
      </c>
      <c r="N5" s="9"/>
      <c r="O5" s="9"/>
      <c r="P5" s="9"/>
      <c r="Q5" s="9"/>
      <c r="R5" s="9"/>
      <c r="S5" s="9"/>
      <c r="T5" s="9"/>
      <c r="U5" s="8"/>
    </row>
    <row r="6" spans="1:21" x14ac:dyDescent="0.3">
      <c r="A6" s="6"/>
      <c r="B6" s="9"/>
      <c r="C6" s="9"/>
      <c r="D6" s="9"/>
      <c r="E6" s="9"/>
      <c r="F6" s="9"/>
      <c r="G6" s="9"/>
      <c r="H6" s="9"/>
      <c r="I6" s="9"/>
      <c r="J6" s="81"/>
      <c r="K6" s="9"/>
      <c r="L6" s="4" t="s">
        <v>9</v>
      </c>
      <c r="M6" s="15" cm="1">
        <f t="array" ref="M6">_xll.U.PUBLISH(M4,M5,_xll.U.SUBRANGE(L8:N25))</f>
        <v>46072.453602824076</v>
      </c>
      <c r="N6" s="9"/>
      <c r="O6" s="9"/>
      <c r="P6" s="9"/>
      <c r="Q6" s="9"/>
      <c r="R6" s="9"/>
      <c r="S6" s="9"/>
      <c r="T6" s="9"/>
      <c r="U6" s="8"/>
    </row>
    <row r="7" spans="1:21" x14ac:dyDescent="0.3">
      <c r="A7" s="6"/>
      <c r="B7" s="9"/>
      <c r="C7" s="9"/>
      <c r="D7" s="9"/>
      <c r="E7" s="9"/>
      <c r="F7" s="9"/>
      <c r="G7" s="9"/>
      <c r="H7" s="9"/>
      <c r="I7" s="9"/>
      <c r="J7" s="81"/>
      <c r="K7" s="9"/>
      <c r="L7" s="9"/>
      <c r="M7" s="9"/>
      <c r="N7" s="9"/>
      <c r="O7" s="9"/>
      <c r="P7" s="9"/>
      <c r="Q7" s="9"/>
      <c r="R7" s="9"/>
      <c r="S7" s="9"/>
      <c r="T7" s="9"/>
      <c r="U7" s="8"/>
    </row>
    <row r="8" spans="1:21" x14ac:dyDescent="0.3">
      <c r="A8" s="6"/>
      <c r="B8" s="26" t="str">
        <f t="array" ref="B8:D9">_xll.U.PAD(C5,TRUE)</f>
        <v>Symbol</v>
      </c>
      <c r="C8" s="26" t="str">
        <v>Quantity</v>
      </c>
      <c r="D8" s="26" t="str">
        <v>Price</v>
      </c>
      <c r="E8" s="167" t="s">
        <v>311</v>
      </c>
      <c r="F8" s="9"/>
      <c r="G8" s="9"/>
      <c r="H8" s="9"/>
      <c r="I8" s="9"/>
      <c r="J8" s="81"/>
      <c r="K8" s="9"/>
      <c r="L8" s="20" t="s">
        <v>1</v>
      </c>
      <c r="M8" s="20" t="s">
        <v>90</v>
      </c>
      <c r="N8" s="20" t="s">
        <v>4</v>
      </c>
      <c r="O8" s="9"/>
      <c r="P8" s="9"/>
      <c r="Q8" s="9"/>
      <c r="R8" s="9"/>
      <c r="S8" s="9"/>
      <c r="T8" s="9"/>
      <c r="U8" s="8"/>
    </row>
    <row r="9" spans="1:21" x14ac:dyDescent="0.3">
      <c r="A9" s="6"/>
      <c r="B9" s="173" t="str">
        <v>abc</v>
      </c>
      <c r="C9" s="174">
        <v>10</v>
      </c>
      <c r="D9" s="175">
        <v>2.5</v>
      </c>
      <c r="E9" s="176" cm="1">
        <f t="array" ref="E9">_xll.U.COPY_PASTE(IF(B9="","",IFERROR(C9*D9,"")),B10:D15,"down,all")</f>
        <v>25</v>
      </c>
      <c r="F9" s="9"/>
      <c r="G9" s="9"/>
      <c r="H9" s="9"/>
      <c r="I9" s="9"/>
      <c r="J9" s="81"/>
      <c r="K9" s="9"/>
      <c r="L9" s="16" t="s">
        <v>118</v>
      </c>
      <c r="M9" s="60">
        <v>10</v>
      </c>
      <c r="N9" s="165">
        <v>2.5</v>
      </c>
      <c r="O9" s="9"/>
      <c r="P9" s="9"/>
      <c r="Q9" s="9"/>
      <c r="R9" s="9"/>
      <c r="S9" s="9"/>
      <c r="T9" s="9"/>
      <c r="U9" s="8"/>
    </row>
    <row r="10" spans="1:21" x14ac:dyDescent="0.3">
      <c r="A10" s="6"/>
      <c r="B10" s="173"/>
      <c r="C10" s="174"/>
      <c r="D10" s="175"/>
      <c r="E10" s="176"/>
      <c r="F10" s="9"/>
      <c r="G10" s="9"/>
      <c r="H10" s="9"/>
      <c r="I10" s="9"/>
      <c r="J10" s="81"/>
      <c r="K10" s="9"/>
      <c r="L10" s="16"/>
      <c r="M10" s="60"/>
      <c r="N10" s="165"/>
      <c r="O10" s="9"/>
      <c r="P10" s="9"/>
      <c r="Q10" s="9"/>
      <c r="R10" s="9"/>
      <c r="S10" s="9"/>
      <c r="T10" s="9"/>
      <c r="U10" s="8"/>
    </row>
    <row r="11" spans="1:21" x14ac:dyDescent="0.3">
      <c r="A11" s="6"/>
      <c r="B11" s="173"/>
      <c r="C11" s="174"/>
      <c r="D11" s="175"/>
      <c r="E11" s="176"/>
      <c r="F11" s="9"/>
      <c r="G11" s="9"/>
      <c r="H11" s="9"/>
      <c r="I11" s="9"/>
      <c r="J11" s="81"/>
      <c r="K11" s="9"/>
      <c r="L11" s="16"/>
      <c r="M11" s="60"/>
      <c r="N11" s="165"/>
      <c r="O11" s="9"/>
      <c r="P11" s="9"/>
      <c r="Q11" s="9"/>
      <c r="R11" s="9"/>
      <c r="S11" s="9"/>
      <c r="T11" s="9"/>
      <c r="U11" s="8"/>
    </row>
    <row r="12" spans="1:21" x14ac:dyDescent="0.3">
      <c r="A12" s="6"/>
      <c r="B12" s="173"/>
      <c r="C12" s="174"/>
      <c r="D12" s="175"/>
      <c r="E12" s="176"/>
      <c r="F12" s="9"/>
      <c r="G12" s="9"/>
      <c r="H12" s="9"/>
      <c r="I12" s="9"/>
      <c r="J12" s="81"/>
      <c r="K12" s="9"/>
      <c r="L12" s="16"/>
      <c r="M12" s="60"/>
      <c r="N12" s="165"/>
      <c r="O12" s="9"/>
      <c r="P12" s="9"/>
      <c r="Q12" s="9"/>
      <c r="R12" s="9"/>
      <c r="S12" s="9"/>
      <c r="T12" s="9"/>
      <c r="U12" s="8"/>
    </row>
    <row r="13" spans="1:21" x14ac:dyDescent="0.3">
      <c r="A13" s="6"/>
      <c r="B13" s="173"/>
      <c r="C13" s="174"/>
      <c r="D13" s="175"/>
      <c r="E13" s="176"/>
      <c r="F13" s="9"/>
      <c r="G13" s="9"/>
      <c r="H13" s="9"/>
      <c r="I13" s="9"/>
      <c r="J13" s="81"/>
      <c r="K13" s="9"/>
      <c r="L13" s="16"/>
      <c r="M13" s="60"/>
      <c r="N13" s="165"/>
      <c r="O13" s="9"/>
      <c r="P13" s="9"/>
      <c r="Q13" s="9"/>
      <c r="R13" s="9"/>
      <c r="S13" s="9"/>
      <c r="T13" s="9"/>
      <c r="U13" s="8"/>
    </row>
    <row r="14" spans="1:21" x14ac:dyDescent="0.3">
      <c r="A14" s="6"/>
      <c r="B14" s="173"/>
      <c r="C14" s="174"/>
      <c r="D14" s="175"/>
      <c r="E14" s="176"/>
      <c r="F14" s="9"/>
      <c r="G14" s="9"/>
      <c r="H14" s="9"/>
      <c r="I14" s="9"/>
      <c r="J14" s="81"/>
      <c r="K14" s="9"/>
      <c r="L14" s="16"/>
      <c r="M14" s="60"/>
      <c r="N14" s="165"/>
      <c r="O14" s="9"/>
      <c r="P14" s="9"/>
      <c r="Q14" s="9"/>
      <c r="R14" s="9"/>
      <c r="S14" s="9"/>
      <c r="T14" s="9"/>
      <c r="U14" s="8"/>
    </row>
    <row r="15" spans="1:21" x14ac:dyDescent="0.3">
      <c r="A15" s="6"/>
      <c r="B15" s="173"/>
      <c r="C15" s="174"/>
      <c r="D15" s="175"/>
      <c r="E15" s="176"/>
      <c r="F15" s="9"/>
      <c r="G15" s="9"/>
      <c r="H15" s="9"/>
      <c r="I15" s="9"/>
      <c r="J15" s="81"/>
      <c r="K15" s="9"/>
      <c r="L15" s="16"/>
      <c r="M15" s="60"/>
      <c r="N15" s="165"/>
      <c r="O15" s="9"/>
      <c r="P15" s="9"/>
      <c r="Q15" s="9"/>
      <c r="R15" s="9"/>
      <c r="S15" s="9"/>
      <c r="T15" s="9"/>
      <c r="U15" s="8"/>
    </row>
    <row r="16" spans="1:21" x14ac:dyDescent="0.3">
      <c r="A16" s="6"/>
      <c r="B16" s="173"/>
      <c r="C16" s="174"/>
      <c r="D16" s="175"/>
      <c r="E16" s="176"/>
      <c r="F16" s="9"/>
      <c r="G16" s="9"/>
      <c r="H16" s="9"/>
      <c r="I16" s="9"/>
      <c r="J16" s="81"/>
      <c r="K16" s="9"/>
      <c r="L16" s="16"/>
      <c r="M16" s="60"/>
      <c r="N16" s="165"/>
      <c r="O16" s="9"/>
      <c r="P16" s="9"/>
      <c r="Q16" s="9"/>
      <c r="R16" s="9"/>
      <c r="S16" s="9"/>
      <c r="T16" s="9"/>
      <c r="U16" s="8"/>
    </row>
    <row r="17" spans="1:21" x14ac:dyDescent="0.3">
      <c r="A17" s="6"/>
      <c r="B17" s="173"/>
      <c r="C17" s="174"/>
      <c r="D17" s="175"/>
      <c r="E17" s="176"/>
      <c r="F17" s="9"/>
      <c r="G17" s="9"/>
      <c r="H17" s="9"/>
      <c r="I17" s="9"/>
      <c r="J17" s="81"/>
      <c r="K17" s="9"/>
      <c r="L17" s="16"/>
      <c r="M17" s="60"/>
      <c r="N17" s="165"/>
      <c r="O17" s="9"/>
      <c r="P17" s="9"/>
      <c r="Q17" s="9"/>
      <c r="R17" s="9"/>
      <c r="S17" s="9"/>
      <c r="T17" s="9"/>
      <c r="U17" s="8"/>
    </row>
    <row r="18" spans="1:21" x14ac:dyDescent="0.3">
      <c r="A18" s="6"/>
      <c r="B18" s="173"/>
      <c r="C18" s="174"/>
      <c r="D18" s="175"/>
      <c r="E18" s="176"/>
      <c r="F18" s="9"/>
      <c r="G18" s="9"/>
      <c r="H18" s="9"/>
      <c r="I18" s="9"/>
      <c r="J18" s="81"/>
      <c r="K18" s="9"/>
      <c r="L18" s="16"/>
      <c r="M18" s="60"/>
      <c r="N18" s="165"/>
      <c r="O18" s="9"/>
      <c r="P18" s="9"/>
      <c r="Q18" s="9"/>
      <c r="R18" s="9"/>
      <c r="S18" s="9"/>
      <c r="T18" s="9"/>
      <c r="U18" s="8"/>
    </row>
    <row r="19" spans="1:21" x14ac:dyDescent="0.3">
      <c r="A19" s="6"/>
      <c r="B19" s="173"/>
      <c r="C19" s="174"/>
      <c r="D19" s="175"/>
      <c r="E19" s="176"/>
      <c r="F19" s="9"/>
      <c r="G19" s="9"/>
      <c r="H19" s="9"/>
      <c r="I19" s="9"/>
      <c r="J19" s="81"/>
      <c r="K19" s="9"/>
      <c r="L19" s="16"/>
      <c r="M19" s="60"/>
      <c r="N19" s="165"/>
      <c r="O19" s="9"/>
      <c r="P19" s="9"/>
      <c r="Q19" s="9"/>
      <c r="R19" s="9"/>
      <c r="S19" s="9"/>
      <c r="T19" s="9"/>
      <c r="U19" s="8"/>
    </row>
    <row r="20" spans="1:21" x14ac:dyDescent="0.3">
      <c r="A20" s="6"/>
      <c r="B20" s="173"/>
      <c r="C20" s="174"/>
      <c r="D20" s="175"/>
      <c r="E20" s="176"/>
      <c r="F20" s="9"/>
      <c r="G20" s="9"/>
      <c r="H20" s="9"/>
      <c r="I20" s="9"/>
      <c r="J20" s="81"/>
      <c r="K20" s="9"/>
      <c r="L20" s="16"/>
      <c r="M20" s="60"/>
      <c r="N20" s="165"/>
      <c r="O20" s="9"/>
      <c r="P20" s="9"/>
      <c r="Q20" s="9"/>
      <c r="R20" s="9"/>
      <c r="S20" s="9"/>
      <c r="T20" s="9"/>
      <c r="U20" s="8"/>
    </row>
    <row r="21" spans="1:21" x14ac:dyDescent="0.3">
      <c r="A21" s="6"/>
      <c r="B21" s="173"/>
      <c r="C21" s="174"/>
      <c r="D21" s="175"/>
      <c r="E21" s="176"/>
      <c r="F21" s="9"/>
      <c r="G21" s="9"/>
      <c r="H21" s="9"/>
      <c r="I21" s="9"/>
      <c r="J21" s="81"/>
      <c r="K21" s="9"/>
      <c r="L21" s="16"/>
      <c r="M21" s="60"/>
      <c r="N21" s="165"/>
      <c r="O21" s="9"/>
      <c r="P21" s="9"/>
      <c r="Q21" s="9"/>
      <c r="R21" s="9"/>
      <c r="S21" s="9"/>
      <c r="T21" s="9"/>
      <c r="U21" s="8"/>
    </row>
    <row r="22" spans="1:21" x14ac:dyDescent="0.3">
      <c r="A22" s="6"/>
      <c r="B22" s="173"/>
      <c r="C22" s="174"/>
      <c r="D22" s="175"/>
      <c r="E22" s="176"/>
      <c r="F22" s="9"/>
      <c r="G22" s="9"/>
      <c r="H22" s="9"/>
      <c r="I22" s="9"/>
      <c r="J22" s="81"/>
      <c r="K22" s="9"/>
      <c r="L22" s="16"/>
      <c r="M22" s="60"/>
      <c r="N22" s="165"/>
      <c r="O22" s="9"/>
      <c r="P22" s="9"/>
      <c r="Q22" s="9"/>
      <c r="R22" s="9"/>
      <c r="S22" s="9"/>
      <c r="T22" s="9"/>
      <c r="U22" s="8"/>
    </row>
    <row r="23" spans="1:21" x14ac:dyDescent="0.3">
      <c r="A23" s="6"/>
      <c r="B23" s="173"/>
      <c r="C23" s="174"/>
      <c r="D23" s="175"/>
      <c r="E23" s="176"/>
      <c r="F23" s="9"/>
      <c r="G23" s="9"/>
      <c r="H23" s="9"/>
      <c r="I23" s="9"/>
      <c r="J23" s="81"/>
      <c r="K23" s="9"/>
      <c r="L23" s="16"/>
      <c r="M23" s="60"/>
      <c r="N23" s="165"/>
      <c r="O23" s="9"/>
      <c r="P23" s="9"/>
      <c r="Q23" s="9"/>
      <c r="R23" s="9"/>
      <c r="S23" s="9"/>
      <c r="T23" s="9"/>
      <c r="U23" s="8"/>
    </row>
    <row r="24" spans="1:21" x14ac:dyDescent="0.3">
      <c r="A24" s="6"/>
      <c r="B24" s="173"/>
      <c r="C24" s="174"/>
      <c r="D24" s="175"/>
      <c r="E24" s="176"/>
      <c r="F24" s="9"/>
      <c r="G24" s="9"/>
      <c r="H24" s="9"/>
      <c r="I24" s="9"/>
      <c r="J24" s="81"/>
      <c r="K24" s="9"/>
      <c r="L24" s="16"/>
      <c r="M24" s="60"/>
      <c r="N24" s="165"/>
      <c r="O24" s="9"/>
      <c r="P24" s="9"/>
      <c r="Q24" s="9"/>
      <c r="R24" s="9"/>
      <c r="S24" s="9"/>
      <c r="T24" s="9"/>
      <c r="U24" s="8"/>
    </row>
    <row r="25" spans="1:21" x14ac:dyDescent="0.3">
      <c r="A25" s="6"/>
      <c r="B25" s="173"/>
      <c r="C25" s="174"/>
      <c r="D25" s="175"/>
      <c r="E25" s="176"/>
      <c r="F25" s="9"/>
      <c r="G25" s="9"/>
      <c r="H25" s="9"/>
      <c r="I25" s="9"/>
      <c r="J25" s="81"/>
      <c r="K25" s="9"/>
      <c r="L25" s="16"/>
      <c r="M25" s="60"/>
      <c r="N25" s="165"/>
      <c r="O25" s="9"/>
      <c r="P25" s="9"/>
      <c r="Q25" s="9"/>
      <c r="R25" s="9"/>
      <c r="S25" s="9"/>
      <c r="T25" s="9"/>
      <c r="U25" s="8"/>
    </row>
    <row r="26" spans="1:21" x14ac:dyDescent="0.3">
      <c r="A26" s="6"/>
      <c r="B26" s="173"/>
      <c r="C26" s="173"/>
      <c r="D26" s="173"/>
      <c r="E26" s="176"/>
      <c r="F26" s="9"/>
      <c r="G26" s="9"/>
      <c r="H26" s="9"/>
      <c r="I26" s="9"/>
      <c r="J26" s="81"/>
      <c r="K26" s="9"/>
      <c r="L26" s="9"/>
      <c r="M26" s="9"/>
      <c r="N26" s="9"/>
      <c r="O26" s="9"/>
      <c r="P26" s="9"/>
      <c r="Q26" s="9"/>
      <c r="R26" s="9"/>
      <c r="S26" s="9"/>
      <c r="T26" s="9"/>
      <c r="U26" s="8"/>
    </row>
    <row r="27" spans="1:21" x14ac:dyDescent="0.3">
      <c r="A27" s="6"/>
      <c r="B27" s="166"/>
      <c r="C27" s="166"/>
      <c r="D27" s="166"/>
      <c r="E27" s="9"/>
      <c r="F27" s="9"/>
      <c r="G27" s="9"/>
      <c r="H27" s="9"/>
      <c r="I27" s="9"/>
      <c r="J27" s="81"/>
      <c r="K27" s="9"/>
      <c r="L27" s="9"/>
      <c r="M27" s="9"/>
      <c r="N27" s="9"/>
      <c r="O27" s="9"/>
      <c r="P27" s="9"/>
      <c r="Q27" s="9"/>
      <c r="R27" s="9"/>
      <c r="S27" s="9"/>
      <c r="T27" s="9"/>
      <c r="U27" s="8"/>
    </row>
    <row r="28" spans="1:21" x14ac:dyDescent="0.3">
      <c r="A28" s="6"/>
      <c r="B28" s="166"/>
      <c r="C28" s="166"/>
      <c r="D28" s="166"/>
      <c r="E28" s="9"/>
      <c r="F28" s="9"/>
      <c r="G28" s="9"/>
      <c r="H28" s="9"/>
      <c r="I28" s="9"/>
      <c r="J28" s="81"/>
      <c r="K28" s="9"/>
      <c r="L28" s="9"/>
      <c r="M28" s="9"/>
      <c r="N28" s="9"/>
      <c r="O28" s="9"/>
      <c r="P28" s="9"/>
      <c r="Q28" s="9"/>
      <c r="R28" s="9"/>
      <c r="S28" s="9"/>
      <c r="T28" s="9"/>
      <c r="U28" s="8"/>
    </row>
    <row r="29" spans="1:21" x14ac:dyDescent="0.3">
      <c r="A29" s="6"/>
      <c r="B29" s="9"/>
      <c r="C29" s="9"/>
      <c r="D29" s="9"/>
      <c r="E29" s="9"/>
      <c r="F29" s="9"/>
      <c r="G29" s="9"/>
      <c r="H29" s="9"/>
      <c r="I29" s="9"/>
      <c r="J29" s="9"/>
      <c r="K29" s="9"/>
      <c r="L29" s="9"/>
      <c r="M29" s="9"/>
      <c r="N29" s="9"/>
      <c r="O29" s="9"/>
      <c r="P29" s="9"/>
      <c r="Q29" s="9"/>
      <c r="R29" s="9"/>
      <c r="S29" s="9"/>
      <c r="T29" s="9"/>
      <c r="U29" s="8"/>
    </row>
    <row r="30" spans="1:21" ht="15" thickBot="1" x14ac:dyDescent="0.35">
      <c r="A30" s="10"/>
      <c r="B30" s="11"/>
      <c r="C30" s="11"/>
      <c r="D30" s="11"/>
      <c r="E30" s="11"/>
      <c r="F30" s="11"/>
      <c r="G30" s="11"/>
      <c r="H30" s="11"/>
      <c r="I30" s="11"/>
      <c r="J30" s="11"/>
      <c r="K30" s="11"/>
      <c r="L30" s="11"/>
      <c r="M30" s="11"/>
      <c r="N30" s="11"/>
      <c r="O30" s="11"/>
      <c r="P30" s="11"/>
      <c r="Q30" s="11"/>
      <c r="R30" s="11"/>
      <c r="S30" s="11"/>
      <c r="T30" s="11"/>
      <c r="U30" s="12"/>
    </row>
  </sheetData>
  <mergeCells count="1">
    <mergeCell ref="C1:D1"/>
  </mergeCells>
  <conditionalFormatting sqref="B9:E25">
    <cfRule type="expression" dxfId="10" priority="1">
      <formula>OR($B9&lt;&gt;"",$C9&lt;&gt;"",$D9&lt;&gt;"")</formula>
    </cfRule>
  </conditionalFormatting>
  <pageMargins left="0.7" right="0.7"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B44E7-8463-41C8-9B79-67CE713FCF8C}">
  <sheetPr codeName="Sheet16"/>
  <dimension ref="A1:J28"/>
  <sheetViews>
    <sheetView workbookViewId="0">
      <pane ySplit="1" topLeftCell="A2" activePane="bottomLeft" state="frozen"/>
      <selection pane="bottomLeft" activeCell="B1" sqref="B1"/>
    </sheetView>
  </sheetViews>
  <sheetFormatPr defaultColWidth="9.109375" defaultRowHeight="14.4" x14ac:dyDescent="0.3"/>
  <cols>
    <col min="2" max="2" width="23.88671875" customWidth="1"/>
    <col min="3" max="6" width="18.109375" customWidth="1"/>
    <col min="7" max="10" width="19.6640625" customWidth="1"/>
  </cols>
  <sheetData>
    <row r="1" spans="1:10" ht="34.5" customHeight="1" thickBot="1" x14ac:dyDescent="0.35">
      <c r="A1" s="146" t="s">
        <v>255</v>
      </c>
      <c r="B1" s="207" t="e" vm="1">
        <v>#VALUE!</v>
      </c>
      <c r="C1" s="214" t="s">
        <v>508</v>
      </c>
      <c r="D1" s="215"/>
      <c r="E1" s="25"/>
      <c r="F1" s="5"/>
      <c r="G1" s="5"/>
      <c r="H1" s="5"/>
      <c r="I1" s="5"/>
      <c r="J1" s="7"/>
    </row>
    <row r="2" spans="1:10" ht="15" customHeight="1" x14ac:dyDescent="0.3">
      <c r="A2" s="6"/>
      <c r="B2" s="13"/>
      <c r="C2" s="13"/>
      <c r="D2" s="9"/>
      <c r="E2" s="9"/>
      <c r="F2" s="9"/>
      <c r="G2" s="9"/>
      <c r="H2" s="9"/>
      <c r="I2" s="9"/>
      <c r="J2" s="8"/>
    </row>
    <row r="3" spans="1:10" ht="15" customHeight="1" x14ac:dyDescent="0.3">
      <c r="A3" s="6"/>
      <c r="B3" s="13"/>
      <c r="C3" s="13"/>
      <c r="D3" s="9"/>
      <c r="E3" s="9"/>
      <c r="F3" s="9"/>
      <c r="G3" s="9"/>
      <c r="H3" s="9"/>
      <c r="I3" s="9"/>
      <c r="J3" s="8"/>
    </row>
    <row r="4" spans="1:10" ht="15" customHeight="1" x14ac:dyDescent="0.3">
      <c r="A4" s="6"/>
      <c r="B4" s="205" t="s">
        <v>527</v>
      </c>
      <c r="C4" s="204" t="b">
        <v>0</v>
      </c>
      <c r="D4" s="9"/>
      <c r="E4" s="9"/>
      <c r="F4" s="9"/>
      <c r="G4" s="9"/>
      <c r="H4" s="9"/>
      <c r="I4" s="9"/>
      <c r="J4" s="8"/>
    </row>
    <row r="5" spans="1:10" x14ac:dyDescent="0.3">
      <c r="A5" s="6"/>
      <c r="B5" s="9"/>
      <c r="C5" s="9"/>
      <c r="D5" s="9"/>
      <c r="E5" s="9"/>
      <c r="F5" s="9"/>
      <c r="G5" s="9"/>
      <c r="H5" s="9"/>
      <c r="I5" s="9"/>
      <c r="J5" s="8"/>
    </row>
    <row r="6" spans="1:10" x14ac:dyDescent="0.3">
      <c r="A6" s="6"/>
      <c r="B6" s="173"/>
      <c r="C6" s="201" t="s">
        <v>515</v>
      </c>
      <c r="D6" s="201" t="s">
        <v>516</v>
      </c>
      <c r="E6" s="201" t="s">
        <v>517</v>
      </c>
      <c r="F6" s="201" t="s">
        <v>524</v>
      </c>
      <c r="G6" s="9"/>
      <c r="H6" s="103" t="s">
        <v>525</v>
      </c>
      <c r="I6" s="62" t="str" cm="1">
        <f t="array" ref="I6">IF(C4,_xll.U.SET_CLICKVALS("HoverExample",C7:F18,,,"return(rowcol)","",,"hover(color=yellow,rowheight=30,align=center,textsize=20,fontstyle=bold;underline,textcolor=orange)"),"Not enabled")</f>
        <v>Not enabled</v>
      </c>
      <c r="J6" s="8"/>
    </row>
    <row r="7" spans="1:10" ht="15" customHeight="1" x14ac:dyDescent="0.3">
      <c r="A7" s="6"/>
      <c r="B7" s="201" t="s">
        <v>509</v>
      </c>
      <c r="C7" s="202">
        <v>49</v>
      </c>
      <c r="D7" s="202">
        <v>54</v>
      </c>
      <c r="E7" s="202">
        <v>72</v>
      </c>
      <c r="F7" s="202">
        <v>31</v>
      </c>
      <c r="G7" s="9"/>
      <c r="H7" s="103" t="s">
        <v>526</v>
      </c>
      <c r="I7" s="62" t="str" cm="1">
        <f t="array" ref="I7">_xll.U.GET_CLICKVAL(I6)</f>
        <v/>
      </c>
      <c r="J7" s="8"/>
    </row>
    <row r="8" spans="1:10" ht="15" customHeight="1" x14ac:dyDescent="0.3">
      <c r="A8" s="6"/>
      <c r="B8" s="201" t="s">
        <v>510</v>
      </c>
      <c r="C8" s="202">
        <v>43</v>
      </c>
      <c r="D8" s="202">
        <v>57</v>
      </c>
      <c r="E8" s="202">
        <v>69</v>
      </c>
      <c r="F8" s="202">
        <v>10</v>
      </c>
      <c r="G8" s="9"/>
      <c r="H8" s="62" t="str">
        <f t="array" ref="H8:I8">_xll.U.PARSE(_xll.U.SPLIT(I7,","))</f>
        <v/>
      </c>
      <c r="I8" s="62" t="str">
        <v/>
      </c>
      <c r="J8" s="8"/>
    </row>
    <row r="9" spans="1:10" ht="15" customHeight="1" x14ac:dyDescent="0.3">
      <c r="A9" s="6"/>
      <c r="B9" s="201" t="s">
        <v>511</v>
      </c>
      <c r="C9" s="202">
        <v>54</v>
      </c>
      <c r="D9" s="202">
        <v>65</v>
      </c>
      <c r="E9" s="202">
        <v>35</v>
      </c>
      <c r="F9" s="202">
        <v>82</v>
      </c>
      <c r="G9" s="9"/>
      <c r="H9" s="9"/>
      <c r="I9" s="9"/>
      <c r="J9" s="8"/>
    </row>
    <row r="10" spans="1:10" ht="15" customHeight="1" x14ac:dyDescent="0.3">
      <c r="A10" s="6"/>
      <c r="B10" s="201" t="s">
        <v>512</v>
      </c>
      <c r="C10" s="202">
        <v>36</v>
      </c>
      <c r="D10" s="202">
        <v>54</v>
      </c>
      <c r="E10" s="202">
        <v>73</v>
      </c>
      <c r="F10" s="202">
        <v>12</v>
      </c>
      <c r="G10" s="9"/>
      <c r="H10" s="9"/>
      <c r="I10" s="9"/>
      <c r="J10" s="8"/>
    </row>
    <row r="11" spans="1:10" ht="15" customHeight="1" x14ac:dyDescent="0.3">
      <c r="A11" s="6"/>
      <c r="B11" s="201" t="s">
        <v>513</v>
      </c>
      <c r="C11" s="202">
        <v>48</v>
      </c>
      <c r="D11" s="202">
        <v>58</v>
      </c>
      <c r="E11" s="202">
        <v>75</v>
      </c>
      <c r="F11" s="202">
        <v>4</v>
      </c>
      <c r="G11" s="9"/>
      <c r="H11" s="9"/>
      <c r="I11" s="9"/>
      <c r="J11" s="8"/>
    </row>
    <row r="12" spans="1:10" ht="15" customHeight="1" x14ac:dyDescent="0.3">
      <c r="A12" s="6"/>
      <c r="B12" s="201" t="s">
        <v>514</v>
      </c>
      <c r="C12" s="202">
        <v>33</v>
      </c>
      <c r="D12" s="202">
        <v>62</v>
      </c>
      <c r="E12" s="203">
        <v>19</v>
      </c>
      <c r="F12" s="202">
        <v>60</v>
      </c>
      <c r="G12" s="9"/>
      <c r="H12" s="9"/>
      <c r="I12" s="9"/>
      <c r="J12" s="8"/>
    </row>
    <row r="13" spans="1:10" ht="15" customHeight="1" x14ac:dyDescent="0.3">
      <c r="A13" s="6"/>
      <c r="B13" s="201" t="s">
        <v>518</v>
      </c>
      <c r="C13" s="202">
        <v>43</v>
      </c>
      <c r="D13" s="202">
        <v>56</v>
      </c>
      <c r="E13" s="202">
        <v>16</v>
      </c>
      <c r="F13" s="202">
        <v>84</v>
      </c>
      <c r="G13" s="9"/>
      <c r="H13" s="9"/>
      <c r="I13" s="9"/>
      <c r="J13" s="8"/>
    </row>
    <row r="14" spans="1:10" ht="15" customHeight="1" x14ac:dyDescent="0.3">
      <c r="A14" s="6"/>
      <c r="B14" s="201" t="s">
        <v>519</v>
      </c>
      <c r="C14" s="202">
        <v>34</v>
      </c>
      <c r="D14" s="202">
        <v>60</v>
      </c>
      <c r="E14" s="202">
        <v>54</v>
      </c>
      <c r="F14" s="202">
        <v>58</v>
      </c>
      <c r="G14" s="9"/>
      <c r="H14" s="9"/>
      <c r="I14" s="9"/>
      <c r="J14" s="8"/>
    </row>
    <row r="15" spans="1:10" ht="15" customHeight="1" x14ac:dyDescent="0.3">
      <c r="A15" s="6"/>
      <c r="B15" s="201" t="s">
        <v>520</v>
      </c>
      <c r="C15" s="202">
        <v>35</v>
      </c>
      <c r="D15" s="202">
        <v>58</v>
      </c>
      <c r="E15" s="202">
        <v>36</v>
      </c>
      <c r="F15" s="202">
        <v>59</v>
      </c>
      <c r="G15" s="9"/>
      <c r="H15" s="9"/>
      <c r="I15" s="9"/>
      <c r="J15" s="8"/>
    </row>
    <row r="16" spans="1:10" ht="15" customHeight="1" x14ac:dyDescent="0.3">
      <c r="A16" s="6"/>
      <c r="B16" s="201" t="s">
        <v>521</v>
      </c>
      <c r="C16" s="202">
        <v>48</v>
      </c>
      <c r="D16" s="202">
        <v>54</v>
      </c>
      <c r="E16" s="202">
        <v>20</v>
      </c>
      <c r="F16" s="202">
        <v>77</v>
      </c>
      <c r="G16" s="9"/>
      <c r="H16" s="9"/>
      <c r="I16" s="9"/>
      <c r="J16" s="8"/>
    </row>
    <row r="17" spans="1:10" ht="15" customHeight="1" x14ac:dyDescent="0.3">
      <c r="A17" s="6"/>
      <c r="B17" s="201" t="s">
        <v>522</v>
      </c>
      <c r="C17" s="203">
        <v>42</v>
      </c>
      <c r="D17" s="202">
        <v>52</v>
      </c>
      <c r="E17" s="202">
        <v>18</v>
      </c>
      <c r="F17" s="202">
        <v>69</v>
      </c>
      <c r="G17" s="9"/>
      <c r="H17" s="9"/>
      <c r="I17" s="9"/>
      <c r="J17" s="8"/>
    </row>
    <row r="18" spans="1:10" ht="15" customHeight="1" x14ac:dyDescent="0.3">
      <c r="A18" s="6"/>
      <c r="B18" s="201" t="s">
        <v>523</v>
      </c>
      <c r="C18" s="203">
        <v>33</v>
      </c>
      <c r="D18" s="202">
        <v>58</v>
      </c>
      <c r="E18" s="202">
        <v>38</v>
      </c>
      <c r="F18" s="203">
        <v>47</v>
      </c>
      <c r="G18" s="9"/>
      <c r="H18" s="9"/>
      <c r="I18" s="9"/>
      <c r="J18" s="8"/>
    </row>
    <row r="19" spans="1:10" x14ac:dyDescent="0.3">
      <c r="A19" s="6"/>
      <c r="B19" s="173"/>
      <c r="C19" s="174"/>
      <c r="D19" s="175"/>
      <c r="E19" s="176"/>
      <c r="F19" s="9"/>
      <c r="G19" s="9"/>
      <c r="H19" s="9"/>
      <c r="I19" s="9"/>
      <c r="J19" s="8"/>
    </row>
    <row r="20" spans="1:10" x14ac:dyDescent="0.3">
      <c r="A20" s="6"/>
      <c r="B20" s="173"/>
      <c r="C20" s="174"/>
      <c r="D20" s="175"/>
      <c r="E20" s="176"/>
      <c r="F20" s="9"/>
      <c r="G20" s="9"/>
      <c r="H20" s="9"/>
      <c r="I20" s="9"/>
      <c r="J20" s="8"/>
    </row>
    <row r="21" spans="1:10" x14ac:dyDescent="0.3">
      <c r="A21" s="6"/>
      <c r="B21" s="173"/>
      <c r="C21" s="174"/>
      <c r="D21" s="175"/>
      <c r="E21" s="176"/>
      <c r="F21" s="9"/>
      <c r="G21" s="9"/>
      <c r="H21" s="9"/>
      <c r="I21" s="9"/>
      <c r="J21" s="8"/>
    </row>
    <row r="22" spans="1:10" x14ac:dyDescent="0.3">
      <c r="A22" s="6"/>
      <c r="B22" s="173"/>
      <c r="C22" s="174"/>
      <c r="D22" s="175"/>
      <c r="E22" s="176"/>
      <c r="F22" s="9"/>
      <c r="G22" s="9"/>
      <c r="H22" s="9"/>
      <c r="I22" s="9"/>
      <c r="J22" s="8"/>
    </row>
    <row r="23" spans="1:10" x14ac:dyDescent="0.3">
      <c r="A23" s="6"/>
      <c r="B23" s="173"/>
      <c r="C23" s="174"/>
      <c r="D23" s="175"/>
      <c r="E23" s="176"/>
      <c r="F23" s="9"/>
      <c r="G23" s="9"/>
      <c r="H23" s="9"/>
      <c r="I23" s="9"/>
      <c r="J23" s="8"/>
    </row>
    <row r="24" spans="1:10" x14ac:dyDescent="0.3">
      <c r="A24" s="6"/>
      <c r="B24" s="173"/>
      <c r="C24" s="173"/>
      <c r="D24" s="173"/>
      <c r="E24" s="176"/>
      <c r="F24" s="9"/>
      <c r="G24" s="9"/>
      <c r="H24" s="9"/>
      <c r="I24" s="9"/>
      <c r="J24" s="8"/>
    </row>
    <row r="25" spans="1:10" x14ac:dyDescent="0.3">
      <c r="A25" s="6"/>
      <c r="B25" s="166"/>
      <c r="C25" s="166"/>
      <c r="D25" s="166"/>
      <c r="E25" s="9"/>
      <c r="F25" s="9"/>
      <c r="G25" s="9"/>
      <c r="H25" s="9"/>
      <c r="I25" s="9"/>
      <c r="J25" s="8"/>
    </row>
    <row r="26" spans="1:10" x14ac:dyDescent="0.3">
      <c r="A26" s="6"/>
      <c r="B26" s="166"/>
      <c r="C26" s="166"/>
      <c r="D26" s="166"/>
      <c r="E26" s="9"/>
      <c r="F26" s="9"/>
      <c r="G26" s="9"/>
      <c r="H26" s="9"/>
      <c r="I26" s="9"/>
      <c r="J26" s="8"/>
    </row>
    <row r="27" spans="1:10" x14ac:dyDescent="0.3">
      <c r="A27" s="6"/>
      <c r="B27" s="9"/>
      <c r="C27" s="9"/>
      <c r="D27" s="9"/>
      <c r="E27" s="9"/>
      <c r="F27" s="9"/>
      <c r="G27" s="9"/>
      <c r="H27" s="9"/>
      <c r="I27" s="9"/>
      <c r="J27" s="8"/>
    </row>
    <row r="28" spans="1:10" ht="15" thickBot="1" x14ac:dyDescent="0.35">
      <c r="A28" s="10"/>
      <c r="B28" s="11"/>
      <c r="C28" s="11"/>
      <c r="D28" s="11"/>
      <c r="E28" s="11"/>
      <c r="F28" s="11"/>
      <c r="G28" s="11"/>
      <c r="H28" s="11"/>
      <c r="I28" s="11"/>
      <c r="J28" s="12"/>
    </row>
  </sheetData>
  <mergeCells count="1">
    <mergeCell ref="C1:D1"/>
  </mergeCells>
  <conditionalFormatting sqref="B4">
    <cfRule type="expression" dxfId="9" priority="1">
      <formula>(1+COLUMN(B4)-COLUMN($C4))=$I$8</formula>
    </cfRule>
  </conditionalFormatting>
  <conditionalFormatting sqref="B7:B18">
    <cfRule type="expression" dxfId="8" priority="4">
      <formula>(1+ROW(B7)-ROW(B$7))=$H$8</formula>
    </cfRule>
  </conditionalFormatting>
  <conditionalFormatting sqref="C6:F6">
    <cfRule type="expression" dxfId="7" priority="3">
      <formula>(1+COLUMN(C6)-COLUMN($C6))=$I$8</formula>
    </cfRule>
  </conditionalFormatting>
  <conditionalFormatting sqref="C7:F18">
    <cfRule type="expression" dxfId="6" priority="2">
      <formula>AND(OR((1+ROW($C6)-ROW($C$6))=$H$8,(1+COLUMN(C$6)-COLUMN($C$6))=$I$8),NOT(AND((1+ROW($C6)-ROW($C$6))=$H$8,(1+COLUMN(C$6)-COLUMN($C$6))=$I$8)))</formula>
    </cfRule>
  </conditionalFormatting>
  <pageMargins left="0.7" right="0.7" top="0.75" bottom="0.75" header="0.3" footer="0.3"/>
  <pageSetup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A18E9-C7F6-431B-8C65-4B0791153A97}">
  <sheetPr codeName="Sheet17"/>
  <dimension ref="A1:AH178"/>
  <sheetViews>
    <sheetView zoomScaleNormal="100" workbookViewId="0">
      <pane ySplit="1" topLeftCell="A2" activePane="bottomLeft" state="frozen"/>
      <selection pane="bottomLeft"/>
    </sheetView>
  </sheetViews>
  <sheetFormatPr defaultColWidth="9.109375" defaultRowHeight="14.4" x14ac:dyDescent="0.3"/>
  <cols>
    <col min="1" max="1" width="9.109375" customWidth="1"/>
    <col min="2" max="2" width="23.88671875" customWidth="1"/>
    <col min="3" max="4" width="17.33203125" customWidth="1"/>
    <col min="5" max="5" width="13.109375" customWidth="1"/>
    <col min="6" max="10" width="12.88671875" customWidth="1"/>
    <col min="11" max="13" width="12.109375" customWidth="1"/>
    <col min="14" max="14" width="11" customWidth="1"/>
    <col min="15" max="16" width="11.44140625" customWidth="1"/>
    <col min="17" max="17" width="11.33203125" bestFit="1" customWidth="1"/>
    <col min="18" max="18" width="13.6640625" customWidth="1"/>
    <col min="20" max="20" width="20" bestFit="1" customWidth="1"/>
    <col min="21" max="21" width="33.88671875" bestFit="1" customWidth="1"/>
    <col min="22" max="22" width="36.109375" customWidth="1"/>
    <col min="23" max="25" width="4.44140625" customWidth="1"/>
    <col min="26" max="26" width="8.5546875" customWidth="1"/>
    <col min="27" max="27" width="7" customWidth="1"/>
    <col min="28" max="28" width="11.6640625" customWidth="1"/>
    <col min="29" max="29" width="11.109375" bestFit="1" customWidth="1"/>
    <col min="30" max="30" width="8.109375" customWidth="1"/>
    <col min="31" max="31" width="17.6640625" customWidth="1"/>
    <col min="32" max="32" width="38.109375" bestFit="1" customWidth="1"/>
    <col min="33" max="34" width="10.44140625" customWidth="1"/>
  </cols>
  <sheetData>
    <row r="1" spans="1:34" ht="34.5" customHeight="1" thickBot="1" x14ac:dyDescent="0.35">
      <c r="A1" s="187" t="s">
        <v>255</v>
      </c>
      <c r="B1" s="207" t="e" vm="1">
        <v>#VALUE!</v>
      </c>
      <c r="C1" s="214" t="s">
        <v>489</v>
      </c>
      <c r="D1" s="215"/>
      <c r="E1" s="25"/>
      <c r="F1" s="5"/>
      <c r="G1" s="5"/>
      <c r="H1" s="5"/>
      <c r="I1" s="5"/>
      <c r="J1" s="5"/>
      <c r="K1" s="5"/>
      <c r="L1" s="5"/>
      <c r="M1" s="5"/>
      <c r="N1" s="5"/>
      <c r="O1" s="5"/>
      <c r="P1" s="5"/>
      <c r="Q1" s="5"/>
      <c r="R1" s="5"/>
      <c r="S1" s="5"/>
      <c r="T1" s="5"/>
      <c r="U1" s="5"/>
      <c r="V1" s="5"/>
      <c r="W1" s="5"/>
      <c r="X1" s="7"/>
    </row>
    <row r="2" spans="1:34" x14ac:dyDescent="0.3">
      <c r="A2" s="6"/>
      <c r="B2" s="9"/>
      <c r="C2" s="9"/>
      <c r="D2" s="9"/>
      <c r="E2" s="9"/>
      <c r="F2" s="9"/>
      <c r="G2" s="9"/>
      <c r="H2" s="9"/>
      <c r="I2" s="9"/>
      <c r="J2" s="9"/>
      <c r="K2" s="9"/>
      <c r="L2" s="9"/>
      <c r="M2" s="9"/>
      <c r="N2" s="9"/>
      <c r="O2" s="9"/>
      <c r="P2" s="9"/>
      <c r="Q2" s="9"/>
      <c r="R2" s="9"/>
      <c r="S2" s="9"/>
      <c r="T2" s="9"/>
      <c r="U2" s="9"/>
      <c r="V2" s="9"/>
      <c r="W2" s="9"/>
      <c r="X2" s="8"/>
    </row>
    <row r="3" spans="1:34" x14ac:dyDescent="0.3">
      <c r="A3" s="6"/>
      <c r="B3" s="20" t="s">
        <v>10</v>
      </c>
      <c r="C3" s="177" t="str">
        <f>TradesReport</f>
        <v>Trades_Report | 2026-02-19 10:53:20.028</v>
      </c>
      <c r="D3" s="9"/>
      <c r="E3" s="9"/>
      <c r="F3" s="9"/>
      <c r="G3" s="9"/>
      <c r="H3" s="9"/>
      <c r="I3" s="9"/>
      <c r="J3" s="9"/>
      <c r="K3" s="9"/>
      <c r="L3" s="9"/>
      <c r="M3" s="9"/>
      <c r="N3" s="9"/>
      <c r="O3" s="9"/>
      <c r="P3" s="9"/>
      <c r="Q3" s="9"/>
      <c r="R3" s="9"/>
      <c r="S3" s="9"/>
      <c r="T3" s="216" t="s">
        <v>483</v>
      </c>
      <c r="U3" s="217"/>
      <c r="V3" s="9"/>
      <c r="W3" s="9"/>
      <c r="X3" s="8"/>
      <c r="Z3" s="213" t="s">
        <v>480</v>
      </c>
      <c r="AA3" s="213"/>
      <c r="AB3" s="213"/>
      <c r="AC3" s="213"/>
      <c r="AD3" s="213"/>
      <c r="AE3" s="213"/>
      <c r="AF3" s="213"/>
      <c r="AG3" s="213"/>
      <c r="AH3" s="213"/>
    </row>
    <row r="4" spans="1:34" x14ac:dyDescent="0.3">
      <c r="A4" s="6"/>
      <c r="B4" s="9"/>
      <c r="C4" s="9"/>
      <c r="D4" s="9"/>
      <c r="E4" s="9"/>
      <c r="F4" s="9"/>
      <c r="G4" s="9"/>
      <c r="H4" s="9"/>
      <c r="I4" s="57" t="str">
        <f t="array" ref="I4:M30">_xll.U.PAD(_xll.U.VINSERT(_xll.U.FILL_LABELS(C5,,,,,,,TRUE),_xll.U.REPLACE(C18,"",0),C42,1,,1),{TRUE,-1,-1})</f>
        <v/>
      </c>
      <c r="J4" s="9" t="str">
        <v/>
      </c>
      <c r="K4" s="188" t="str">
        <v>ADAM</v>
      </c>
      <c r="L4" s="188" t="str">
        <v>SALLY</v>
      </c>
      <c r="M4" s="188" t="str">
        <v>TOM</v>
      </c>
      <c r="N4" s="9"/>
      <c r="O4" s="9"/>
      <c r="P4" s="9"/>
      <c r="Q4" s="9"/>
      <c r="R4" s="9"/>
      <c r="S4" s="9"/>
      <c r="T4" s="103" t="s">
        <v>221</v>
      </c>
      <c r="U4" s="154" t="s">
        <v>481</v>
      </c>
      <c r="V4" s="9"/>
      <c r="W4" s="9"/>
      <c r="X4" s="8"/>
      <c r="Z4" s="103" t="s">
        <v>1</v>
      </c>
      <c r="AA4" s="103" t="s">
        <v>32</v>
      </c>
      <c r="AB4" s="103" t="s">
        <v>312</v>
      </c>
      <c r="AC4" s="103" t="s">
        <v>34</v>
      </c>
      <c r="AD4" s="103" t="s">
        <v>6</v>
      </c>
      <c r="AE4" s="103" t="s">
        <v>26</v>
      </c>
      <c r="AF4" s="103" t="s">
        <v>35</v>
      </c>
      <c r="AG4" s="103" t="s">
        <v>313</v>
      </c>
      <c r="AH4" s="103" t="s">
        <v>314</v>
      </c>
    </row>
    <row r="5" spans="1:34" ht="15" customHeight="1" x14ac:dyDescent="0.3">
      <c r="A5" s="6"/>
      <c r="B5" s="135" t="s">
        <v>315</v>
      </c>
      <c r="C5" s="168" t="str" cm="1">
        <f t="array" ref="C5">_xll.U.CACHE(_xll.U.VSORT(_xll.U.TABLE_TO_GRID(C3,B9:B10,C9,D9),B13:C15),B5)</f>
        <v>Main Pivot | 2026-02-19 10:53:20.030</v>
      </c>
      <c r="D5" s="9"/>
      <c r="E5" s="9"/>
      <c r="F5" s="9"/>
      <c r="G5" s="9"/>
      <c r="H5" s="9"/>
      <c r="I5" s="57">
        <v>43692</v>
      </c>
      <c r="J5" s="189" t="str">
        <v>STRATEGY 1</v>
      </c>
      <c r="K5" s="190">
        <v>1761.7786394999935</v>
      </c>
      <c r="L5" s="190">
        <v>-604.60023810000519</v>
      </c>
      <c r="M5" s="190">
        <v>-2376.3577380000215</v>
      </c>
      <c r="N5" s="9"/>
      <c r="O5" s="9"/>
      <c r="P5" s="9"/>
      <c r="Q5" s="9"/>
      <c r="R5" s="9"/>
      <c r="S5" s="9"/>
      <c r="T5" s="103" t="s">
        <v>316</v>
      </c>
      <c r="U5" s="164" t="str" cm="1">
        <f t="array" ref="U5">_xll.U.CACHE(_xll.U.REPLACE(Z4:AH178,"*",U6,,,"PnL"),U4)</f>
        <v>Trades_Report | 2026-02-19 10:53:20.028</v>
      </c>
      <c r="V5" s="9"/>
      <c r="W5" s="9"/>
      <c r="X5" s="8"/>
      <c r="Z5" s="1" t="s">
        <v>15</v>
      </c>
      <c r="AA5" s="69">
        <v>75</v>
      </c>
      <c r="AB5" s="169">
        <v>157.69999999999999</v>
      </c>
      <c r="AC5" s="1" t="s">
        <v>37</v>
      </c>
      <c r="AD5" s="1" t="s">
        <v>317</v>
      </c>
      <c r="AE5" s="170">
        <v>43692.849119317128</v>
      </c>
      <c r="AF5" s="1" t="s">
        <v>318</v>
      </c>
      <c r="AG5" s="169">
        <v>159.83250000000001</v>
      </c>
      <c r="AH5" s="169">
        <f>(AG5-AB5)*AA5</f>
        <v>159.93750000000162</v>
      </c>
    </row>
    <row r="6" spans="1:34" x14ac:dyDescent="0.3">
      <c r="A6" s="6"/>
      <c r="B6" s="9"/>
      <c r="C6" s="9"/>
      <c r="D6" s="9"/>
      <c r="E6" s="9"/>
      <c r="F6" s="9"/>
      <c r="G6" s="9"/>
      <c r="H6" s="9"/>
      <c r="I6" s="57" t="str">
        <v/>
      </c>
      <c r="J6" s="189" t="str">
        <v>STRATEGY 2</v>
      </c>
      <c r="K6" s="190">
        <v>-679.09198770000967</v>
      </c>
      <c r="L6" s="190">
        <v>691.02376920001086</v>
      </c>
      <c r="M6" s="190">
        <v>3547.903531200006</v>
      </c>
      <c r="N6" s="9"/>
      <c r="O6" s="9"/>
      <c r="P6" s="9"/>
      <c r="Q6" s="9"/>
      <c r="R6" s="9"/>
      <c r="S6" s="9"/>
      <c r="T6" s="103" t="s">
        <v>482</v>
      </c>
      <c r="U6" s="178" t="str" cm="1">
        <f t="array" ref="U6">_xll.U.DO(_xll.U.FORMAT_STRING("scale({0})",ROUND(_xll.U.RAND(0.98,1.02),5)),_xll.U.NOW(5))</f>
        <v>scale(0.98508)</v>
      </c>
      <c r="V6" s="9"/>
      <c r="W6" s="9"/>
      <c r="X6" s="8"/>
      <c r="Z6" s="1" t="s">
        <v>13</v>
      </c>
      <c r="AA6" s="69">
        <v>225</v>
      </c>
      <c r="AB6" s="169">
        <v>951.33</v>
      </c>
      <c r="AC6" s="1" t="s">
        <v>31</v>
      </c>
      <c r="AD6" s="1" t="s">
        <v>41</v>
      </c>
      <c r="AE6" s="170">
        <v>43692.849078437503</v>
      </c>
      <c r="AF6" s="1" t="s">
        <v>319</v>
      </c>
      <c r="AG6" s="169">
        <v>961.03520000000003</v>
      </c>
      <c r="AH6" s="169">
        <f t="shared" ref="AH6:AH31" si="0">(AG6-AB6)*AA6</f>
        <v>2183.6699999999978</v>
      </c>
    </row>
    <row r="7" spans="1:34" x14ac:dyDescent="0.3">
      <c r="A7" s="6"/>
      <c r="B7" s="213" t="s">
        <v>320</v>
      </c>
      <c r="C7" s="213"/>
      <c r="D7" s="213"/>
      <c r="E7" s="9"/>
      <c r="F7" s="9"/>
      <c r="G7" s="9"/>
      <c r="H7" s="9"/>
      <c r="I7" s="57" t="str">
        <v/>
      </c>
      <c r="J7" s="189" t="str">
        <v>STRATEGY 3</v>
      </c>
      <c r="K7" s="190">
        <v>-739.04149380000456</v>
      </c>
      <c r="L7" s="190">
        <v>249.39024089999344</v>
      </c>
      <c r="M7" s="190">
        <v>1334.1406353000043</v>
      </c>
      <c r="N7" s="9"/>
      <c r="O7" s="9"/>
      <c r="P7" s="9"/>
      <c r="Q7" s="9"/>
      <c r="R7" s="9"/>
      <c r="S7" s="9"/>
      <c r="T7" s="9"/>
      <c r="U7" s="9"/>
      <c r="V7" s="9"/>
      <c r="W7" s="9"/>
      <c r="X7" s="8"/>
      <c r="Z7" s="1" t="s">
        <v>53</v>
      </c>
      <c r="AA7" s="69">
        <v>-50</v>
      </c>
      <c r="AB7" s="169">
        <v>24.44</v>
      </c>
      <c r="AC7" s="1" t="s">
        <v>42</v>
      </c>
      <c r="AD7" s="1" t="s">
        <v>44</v>
      </c>
      <c r="AE7" s="170">
        <v>43692.849800451389</v>
      </c>
      <c r="AF7" s="1" t="s">
        <v>321</v>
      </c>
      <c r="AG7" s="169">
        <v>24.664200000000001</v>
      </c>
      <c r="AH7" s="169">
        <f t="shared" si="0"/>
        <v>-11.209999999999987</v>
      </c>
    </row>
    <row r="8" spans="1:34" x14ac:dyDescent="0.3">
      <c r="A8" s="6"/>
      <c r="B8" s="171" t="s">
        <v>322</v>
      </c>
      <c r="C8" s="171" t="s">
        <v>323</v>
      </c>
      <c r="D8" s="171" t="s">
        <v>324</v>
      </c>
      <c r="E8" s="9"/>
      <c r="F8" s="9"/>
      <c r="G8" s="9"/>
      <c r="H8" s="9"/>
      <c r="I8" s="57" t="str">
        <v/>
      </c>
      <c r="J8" s="189" t="str">
        <v>STRATEGY 4</v>
      </c>
      <c r="K8" s="190">
        <v>-270.35274330000107</v>
      </c>
      <c r="L8" s="190">
        <v>303.01553339999714</v>
      </c>
      <c r="M8" s="190">
        <v>575.83343940000054</v>
      </c>
      <c r="N8" s="9"/>
      <c r="O8" s="9"/>
      <c r="P8" s="9"/>
      <c r="Q8" s="9"/>
      <c r="R8" s="9"/>
      <c r="S8" s="9"/>
      <c r="T8" s="9"/>
      <c r="U8" s="9"/>
      <c r="V8" s="9"/>
      <c r="W8" s="9"/>
      <c r="X8" s="8"/>
      <c r="Z8" s="1" t="s">
        <v>60</v>
      </c>
      <c r="AA8" s="69">
        <v>175</v>
      </c>
      <c r="AB8" s="169">
        <v>63.12</v>
      </c>
      <c r="AC8" s="1" t="s">
        <v>37</v>
      </c>
      <c r="AD8" s="1" t="s">
        <v>317</v>
      </c>
      <c r="AE8" s="170">
        <v>43692.84999289352</v>
      </c>
      <c r="AF8" s="1" t="s">
        <v>325</v>
      </c>
      <c r="AG8" s="169">
        <v>63.8825</v>
      </c>
      <c r="AH8" s="169">
        <f t="shared" si="0"/>
        <v>133.43750000000051</v>
      </c>
    </row>
    <row r="9" spans="1:34" x14ac:dyDescent="0.3">
      <c r="A9" s="6"/>
      <c r="B9" s="172" t="s">
        <v>326</v>
      </c>
      <c r="C9" s="172" t="s">
        <v>6</v>
      </c>
      <c r="D9" s="172" t="s">
        <v>314</v>
      </c>
      <c r="E9" s="9"/>
      <c r="F9" s="9"/>
      <c r="G9" s="9"/>
      <c r="H9" s="9"/>
      <c r="I9" s="57">
        <v>43691</v>
      </c>
      <c r="J9" s="189" t="str">
        <v>STRATEGY 1</v>
      </c>
      <c r="K9" s="190" t="str">
        <v/>
      </c>
      <c r="L9" s="190">
        <v>-1166.5637511000039</v>
      </c>
      <c r="M9" s="190">
        <v>133.34535420000071</v>
      </c>
      <c r="N9" s="9"/>
      <c r="O9" s="9"/>
      <c r="P9" s="9"/>
      <c r="Q9" s="9"/>
      <c r="R9" s="9"/>
      <c r="S9" s="9"/>
      <c r="T9" s="9"/>
      <c r="U9" s="9"/>
      <c r="V9" s="9"/>
      <c r="W9" s="9"/>
      <c r="X9" s="8"/>
      <c r="Z9" s="1" t="s">
        <v>53</v>
      </c>
      <c r="AA9" s="69">
        <v>-125</v>
      </c>
      <c r="AB9" s="169">
        <v>24.42</v>
      </c>
      <c r="AC9" s="1" t="s">
        <v>31</v>
      </c>
      <c r="AD9" s="1" t="s">
        <v>317</v>
      </c>
      <c r="AE9" s="170">
        <v>43691.849086388887</v>
      </c>
      <c r="AF9" s="1" t="s">
        <v>327</v>
      </c>
      <c r="AG9" s="169">
        <v>24.664200000000001</v>
      </c>
      <c r="AH9" s="169">
        <f t="shared" si="0"/>
        <v>-30.524999999999913</v>
      </c>
    </row>
    <row r="10" spans="1:34" x14ac:dyDescent="0.3">
      <c r="A10" s="6"/>
      <c r="B10" s="172" t="s">
        <v>34</v>
      </c>
      <c r="C10" s="172"/>
      <c r="D10" s="172"/>
      <c r="E10" s="9"/>
      <c r="F10" s="9"/>
      <c r="G10" s="9"/>
      <c r="H10" s="9"/>
      <c r="I10" s="57" t="str">
        <v/>
      </c>
      <c r="J10" s="189" t="str">
        <v>STRATEGY 2</v>
      </c>
      <c r="K10" s="190">
        <v>-663.15339330001098</v>
      </c>
      <c r="L10" s="190">
        <v>206.52202200000468</v>
      </c>
      <c r="M10" s="190">
        <v>50.724231900000248</v>
      </c>
      <c r="N10" s="9"/>
      <c r="O10" s="9"/>
      <c r="P10" s="9"/>
      <c r="Q10" s="9"/>
      <c r="R10" s="9"/>
      <c r="S10" s="9"/>
      <c r="T10" s="9"/>
      <c r="U10" s="9"/>
      <c r="V10" s="9"/>
      <c r="W10" s="9"/>
      <c r="X10" s="8"/>
      <c r="Z10" s="1" t="s">
        <v>54</v>
      </c>
      <c r="AA10" s="69">
        <v>225</v>
      </c>
      <c r="AB10" s="169">
        <v>89.93</v>
      </c>
      <c r="AC10" s="1" t="s">
        <v>36</v>
      </c>
      <c r="AD10" s="1" t="s">
        <v>44</v>
      </c>
      <c r="AE10" s="170">
        <v>43692.761917118056</v>
      </c>
      <c r="AF10" s="1" t="s">
        <v>328</v>
      </c>
      <c r="AG10" s="169">
        <v>90.829300000000003</v>
      </c>
      <c r="AH10" s="169">
        <f t="shared" si="0"/>
        <v>202.34249999999923</v>
      </c>
    </row>
    <row r="11" spans="1:34" x14ac:dyDescent="0.3">
      <c r="A11" s="6"/>
      <c r="B11" s="9"/>
      <c r="C11" s="9"/>
      <c r="D11" s="9"/>
      <c r="E11" s="9"/>
      <c r="F11" s="9"/>
      <c r="G11" s="9"/>
      <c r="H11" s="9"/>
      <c r="I11" s="57" t="str">
        <v/>
      </c>
      <c r="J11" s="189" t="str">
        <v>STRATEGY 3</v>
      </c>
      <c r="K11" s="190">
        <v>52.435808400000276</v>
      </c>
      <c r="L11" s="190">
        <v>716.68756589999771</v>
      </c>
      <c r="M11" s="190">
        <v>779.45193810000524</v>
      </c>
      <c r="N11" s="9"/>
      <c r="O11" s="9"/>
      <c r="P11" s="9"/>
      <c r="Q11" s="9"/>
      <c r="R11" s="9"/>
      <c r="S11" s="9"/>
      <c r="T11" s="9"/>
      <c r="U11" s="9"/>
      <c r="V11" s="9"/>
      <c r="W11" s="9"/>
      <c r="X11" s="8"/>
      <c r="Z11" s="1" t="s">
        <v>60</v>
      </c>
      <c r="AA11" s="69">
        <v>-250</v>
      </c>
      <c r="AB11" s="169">
        <v>63.2</v>
      </c>
      <c r="AC11" s="1" t="s">
        <v>36</v>
      </c>
      <c r="AD11" s="1" t="s">
        <v>317</v>
      </c>
      <c r="AE11" s="170">
        <v>43692.761767326389</v>
      </c>
      <c r="AF11" s="1" t="s">
        <v>329</v>
      </c>
      <c r="AG11" s="169">
        <v>63.8825</v>
      </c>
      <c r="AH11" s="169">
        <f t="shared" si="0"/>
        <v>-170.62499999999937</v>
      </c>
    </row>
    <row r="12" spans="1:34" x14ac:dyDescent="0.3">
      <c r="A12" s="6"/>
      <c r="B12" s="213" t="s">
        <v>330</v>
      </c>
      <c r="C12" s="213"/>
      <c r="D12" s="9"/>
      <c r="E12" s="9"/>
      <c r="F12" s="9"/>
      <c r="G12" s="9"/>
      <c r="H12" s="9"/>
      <c r="I12" s="57" t="str">
        <v/>
      </c>
      <c r="J12" s="189" t="str">
        <v>STRATEGY 4</v>
      </c>
      <c r="K12" s="190">
        <v>511.00039920000103</v>
      </c>
      <c r="L12" s="190">
        <v>-715.58920170000408</v>
      </c>
      <c r="M12" s="190">
        <v>335.74727909999967</v>
      </c>
      <c r="N12" s="9"/>
      <c r="O12" s="9"/>
      <c r="P12" s="9"/>
      <c r="Q12" s="9"/>
      <c r="R12" s="9"/>
      <c r="S12" s="9"/>
      <c r="T12" s="9"/>
      <c r="U12" s="9"/>
      <c r="V12" s="9"/>
      <c r="W12" s="9"/>
      <c r="X12" s="8"/>
      <c r="Z12" s="1" t="s">
        <v>40</v>
      </c>
      <c r="AA12" s="69">
        <v>-100</v>
      </c>
      <c r="AB12" s="169">
        <v>33.39</v>
      </c>
      <c r="AC12" s="1" t="s">
        <v>42</v>
      </c>
      <c r="AD12" s="1" t="s">
        <v>41</v>
      </c>
      <c r="AE12" s="170">
        <v>43692.849320613423</v>
      </c>
      <c r="AF12" s="1" t="s">
        <v>331</v>
      </c>
      <c r="AG12" s="169">
        <v>33.653199999999998</v>
      </c>
      <c r="AH12" s="169">
        <f t="shared" si="0"/>
        <v>-26.319999999999766</v>
      </c>
    </row>
    <row r="13" spans="1:34" x14ac:dyDescent="0.3">
      <c r="A13" s="6"/>
      <c r="B13" s="172" t="s">
        <v>332</v>
      </c>
      <c r="C13" s="172"/>
      <c r="D13" s="9"/>
      <c r="E13" s="9"/>
      <c r="F13" s="9"/>
      <c r="G13" s="9"/>
      <c r="H13" s="9"/>
      <c r="I13" s="57" t="str">
        <v/>
      </c>
      <c r="J13" s="189" t="str">
        <v/>
      </c>
      <c r="K13" s="190" t="str">
        <v/>
      </c>
      <c r="L13" s="190" t="str">
        <v/>
      </c>
      <c r="M13" s="190" t="str">
        <v/>
      </c>
      <c r="N13" s="9"/>
      <c r="O13" s="9"/>
      <c r="P13" s="9"/>
      <c r="Q13" s="9"/>
      <c r="R13" s="9"/>
      <c r="S13" s="9"/>
      <c r="T13" s="9"/>
      <c r="U13" s="9"/>
      <c r="V13" s="9"/>
      <c r="W13" s="9"/>
      <c r="X13" s="8"/>
      <c r="Z13" s="1" t="s">
        <v>7</v>
      </c>
      <c r="AA13" s="69">
        <v>125</v>
      </c>
      <c r="AB13" s="169">
        <v>149.01</v>
      </c>
      <c r="AC13" s="1" t="s">
        <v>31</v>
      </c>
      <c r="AD13" s="1" t="s">
        <v>44</v>
      </c>
      <c r="AE13" s="170">
        <v>43692.849223124998</v>
      </c>
      <c r="AF13" s="1" t="s">
        <v>333</v>
      </c>
      <c r="AG13" s="169">
        <v>150.73240000000001</v>
      </c>
      <c r="AH13" s="169">
        <f t="shared" si="0"/>
        <v>215.30000000000271</v>
      </c>
    </row>
    <row r="14" spans="1:34" x14ac:dyDescent="0.3">
      <c r="A14" s="6"/>
      <c r="B14" s="172">
        <v>1</v>
      </c>
      <c r="C14" s="172">
        <v>-1</v>
      </c>
      <c r="D14" s="9"/>
      <c r="E14" s="9"/>
      <c r="F14" s="9"/>
      <c r="G14" s="9"/>
      <c r="H14" s="9"/>
      <c r="I14" s="57" t="str">
        <v/>
      </c>
      <c r="J14" s="189" t="str">
        <v/>
      </c>
      <c r="K14" s="190" t="str">
        <v/>
      </c>
      <c r="L14" s="190" t="str">
        <v/>
      </c>
      <c r="M14" s="190" t="str">
        <v/>
      </c>
      <c r="N14" s="9"/>
      <c r="O14" s="9"/>
      <c r="P14" s="9"/>
      <c r="Q14" s="9"/>
      <c r="R14" s="9"/>
      <c r="S14" s="9"/>
      <c r="T14" s="9"/>
      <c r="U14" s="9"/>
      <c r="V14" s="9"/>
      <c r="W14" s="9"/>
      <c r="X14" s="8"/>
      <c r="Z14" s="1" t="s">
        <v>62</v>
      </c>
      <c r="AA14" s="69">
        <v>-150</v>
      </c>
      <c r="AB14" s="169">
        <v>11.48</v>
      </c>
      <c r="AC14" s="1" t="s">
        <v>31</v>
      </c>
      <c r="AD14" s="1" t="s">
        <v>317</v>
      </c>
      <c r="AE14" s="170">
        <v>43691.849876412038</v>
      </c>
      <c r="AF14" s="1" t="s">
        <v>334</v>
      </c>
      <c r="AG14" s="169">
        <v>11.584700000000002</v>
      </c>
      <c r="AH14" s="169">
        <f t="shared" si="0"/>
        <v>-15.705000000000169</v>
      </c>
    </row>
    <row r="15" spans="1:34" x14ac:dyDescent="0.3">
      <c r="A15" s="6"/>
      <c r="B15" s="172">
        <v>2</v>
      </c>
      <c r="C15" s="172">
        <v>1</v>
      </c>
      <c r="D15" s="9"/>
      <c r="E15" s="9"/>
      <c r="F15" s="9"/>
      <c r="G15" s="9"/>
      <c r="H15" s="9"/>
      <c r="I15" s="57" t="str">
        <v/>
      </c>
      <c r="J15" s="189" t="str">
        <v/>
      </c>
      <c r="K15" s="190" t="str">
        <v/>
      </c>
      <c r="L15" s="190" t="str">
        <v/>
      </c>
      <c r="M15" s="190" t="str">
        <v/>
      </c>
      <c r="N15" s="9"/>
      <c r="O15" s="9"/>
      <c r="P15" s="9"/>
      <c r="Q15" s="9"/>
      <c r="R15" s="9"/>
      <c r="S15" s="9"/>
      <c r="T15" s="9"/>
      <c r="U15" s="9"/>
      <c r="V15" s="9"/>
      <c r="W15" s="9"/>
      <c r="X15" s="8"/>
      <c r="Z15" s="1" t="s">
        <v>48</v>
      </c>
      <c r="AA15" s="69">
        <v>75</v>
      </c>
      <c r="AB15" s="169">
        <v>157.93</v>
      </c>
      <c r="AC15" s="1" t="s">
        <v>31</v>
      </c>
      <c r="AD15" s="1" t="s">
        <v>41</v>
      </c>
      <c r="AE15" s="170">
        <v>43692.84935099537</v>
      </c>
      <c r="AF15" s="1" t="s">
        <v>335</v>
      </c>
      <c r="AG15" s="169">
        <v>159.56990000000002</v>
      </c>
      <c r="AH15" s="169">
        <f t="shared" si="0"/>
        <v>122.99250000000086</v>
      </c>
    </row>
    <row r="16" spans="1:34" x14ac:dyDescent="0.3">
      <c r="A16" s="6"/>
      <c r="B16" s="9"/>
      <c r="C16" s="9"/>
      <c r="D16" s="9"/>
      <c r="E16" s="9"/>
      <c r="F16" s="9"/>
      <c r="G16" s="9"/>
      <c r="H16" s="9"/>
      <c r="I16" s="57" t="str">
        <v/>
      </c>
      <c r="J16" s="189" t="str">
        <v/>
      </c>
      <c r="K16" s="190" t="str">
        <v/>
      </c>
      <c r="L16" s="190" t="str">
        <v/>
      </c>
      <c r="M16" s="190" t="str">
        <v/>
      </c>
      <c r="N16" s="9"/>
      <c r="O16" s="9"/>
      <c r="P16" s="9"/>
      <c r="Q16" s="9"/>
      <c r="R16" s="9"/>
      <c r="S16" s="9"/>
      <c r="T16" s="9"/>
      <c r="U16" s="9"/>
      <c r="V16" s="9"/>
      <c r="W16" s="9"/>
      <c r="X16" s="8"/>
      <c r="Z16" s="1" t="s">
        <v>63</v>
      </c>
      <c r="AA16" s="69">
        <v>75</v>
      </c>
      <c r="AB16" s="169">
        <v>315.49</v>
      </c>
      <c r="AC16" s="1" t="s">
        <v>37</v>
      </c>
      <c r="AD16" s="1" t="s">
        <v>44</v>
      </c>
      <c r="AE16" s="170">
        <v>43692.849306331016</v>
      </c>
      <c r="AF16" s="1" t="s">
        <v>336</v>
      </c>
      <c r="AG16" s="169">
        <v>317.78640000000001</v>
      </c>
      <c r="AH16" s="169">
        <f t="shared" si="0"/>
        <v>172.23000000000042</v>
      </c>
    </row>
    <row r="17" spans="1:34" x14ac:dyDescent="0.3">
      <c r="A17" s="6"/>
      <c r="B17" s="9"/>
      <c r="C17" s="9"/>
      <c r="D17" s="9"/>
      <c r="E17" s="9"/>
      <c r="F17" s="9"/>
      <c r="G17" s="9"/>
      <c r="H17" s="9"/>
      <c r="I17" s="57" t="str">
        <v/>
      </c>
      <c r="J17" s="189" t="str">
        <v/>
      </c>
      <c r="K17" s="190" t="str">
        <v/>
      </c>
      <c r="L17" s="190" t="str">
        <v/>
      </c>
      <c r="M17" s="190" t="str">
        <v/>
      </c>
      <c r="N17" s="9"/>
      <c r="O17" s="9"/>
      <c r="P17" s="9"/>
      <c r="Q17" s="9"/>
      <c r="R17" s="9"/>
      <c r="S17" s="9"/>
      <c r="T17" s="9"/>
      <c r="U17" s="9"/>
      <c r="V17" s="9"/>
      <c r="W17" s="9"/>
      <c r="X17" s="8"/>
      <c r="Z17" s="1" t="s">
        <v>54</v>
      </c>
      <c r="AA17" s="69">
        <v>150</v>
      </c>
      <c r="AB17" s="169">
        <v>89.83</v>
      </c>
      <c r="AC17" s="1" t="s">
        <v>31</v>
      </c>
      <c r="AD17" s="1" t="s">
        <v>44</v>
      </c>
      <c r="AE17" s="170">
        <v>43691.848863564817</v>
      </c>
      <c r="AF17" s="1" t="s">
        <v>337</v>
      </c>
      <c r="AG17" s="169">
        <v>90.829300000000003</v>
      </c>
      <c r="AH17" s="169">
        <f t="shared" si="0"/>
        <v>149.89500000000078</v>
      </c>
    </row>
    <row r="18" spans="1:34" x14ac:dyDescent="0.3">
      <c r="A18" s="6"/>
      <c r="B18" s="135" t="s">
        <v>485</v>
      </c>
      <c r="C18" s="183" t="str" cm="1">
        <f t="array" ref="C18">_xll.U.CACHE(_xll.U.SUBRANGE(_xll.U.VAPPEND("config(match)",_xll.U.SUBRANGE(C5,,2,1),_xll.U.TABLE_TO_GRID(_xll.U.VFILTER(C3,B26:C27),B22,C22,D22)),2),B18)</f>
        <v>Click Detail | 2026-02-19 10:53:20.030</v>
      </c>
      <c r="D18" s="9"/>
      <c r="E18" s="9"/>
      <c r="F18" s="9"/>
      <c r="G18" s="9"/>
      <c r="H18" s="9"/>
      <c r="I18" s="57" t="str">
        <v/>
      </c>
      <c r="J18" s="189" t="str">
        <v/>
      </c>
      <c r="K18" s="190" t="str">
        <v/>
      </c>
      <c r="L18" s="190" t="str">
        <v/>
      </c>
      <c r="M18" s="190" t="str">
        <v/>
      </c>
      <c r="N18" s="9"/>
      <c r="O18" s="9"/>
      <c r="P18" s="191"/>
      <c r="Q18" s="191"/>
      <c r="R18" s="191"/>
      <c r="S18" s="9"/>
      <c r="T18" s="9"/>
      <c r="U18" s="9"/>
      <c r="V18" s="9"/>
      <c r="W18" s="9"/>
      <c r="X18" s="8"/>
      <c r="Z18" s="1" t="s">
        <v>7</v>
      </c>
      <c r="AA18" s="69">
        <v>-50</v>
      </c>
      <c r="AB18" s="169">
        <v>149.01</v>
      </c>
      <c r="AC18" s="1" t="s">
        <v>31</v>
      </c>
      <c r="AD18" s="1" t="s">
        <v>41</v>
      </c>
      <c r="AE18" s="170">
        <v>43692.761864398148</v>
      </c>
      <c r="AF18" s="1" t="s">
        <v>338</v>
      </c>
      <c r="AG18" s="169">
        <v>150.73240000000001</v>
      </c>
      <c r="AH18" s="169">
        <f t="shared" si="0"/>
        <v>-86.120000000001085</v>
      </c>
    </row>
    <row r="19" spans="1:34" x14ac:dyDescent="0.3">
      <c r="A19" s="6"/>
      <c r="B19" s="9"/>
      <c r="C19" s="9"/>
      <c r="D19" s="9"/>
      <c r="E19" s="9"/>
      <c r="F19" s="9"/>
      <c r="G19" s="9"/>
      <c r="H19" s="9"/>
      <c r="I19" s="57" t="str">
        <v/>
      </c>
      <c r="J19" s="189" t="str">
        <v/>
      </c>
      <c r="K19" s="190" t="str">
        <v/>
      </c>
      <c r="L19" s="190" t="str">
        <v/>
      </c>
      <c r="M19" s="190" t="str">
        <v/>
      </c>
      <c r="N19" s="9"/>
      <c r="O19" s="9"/>
      <c r="P19" s="9"/>
      <c r="Q19" s="9"/>
      <c r="R19" s="9"/>
      <c r="S19" s="9"/>
      <c r="T19" s="9"/>
      <c r="U19" s="9"/>
      <c r="V19" s="9"/>
      <c r="W19" s="9"/>
      <c r="X19" s="8"/>
      <c r="Z19" s="1" t="s">
        <v>7</v>
      </c>
      <c r="AA19" s="69">
        <v>-175</v>
      </c>
      <c r="AB19" s="169">
        <v>148.78</v>
      </c>
      <c r="AC19" s="1" t="s">
        <v>31</v>
      </c>
      <c r="AD19" s="1" t="s">
        <v>41</v>
      </c>
      <c r="AE19" s="170">
        <v>43692.849271053237</v>
      </c>
      <c r="AF19" s="1" t="s">
        <v>339</v>
      </c>
      <c r="AG19" s="169">
        <v>150.73240000000001</v>
      </c>
      <c r="AH19" s="169">
        <f t="shared" si="0"/>
        <v>-341.67000000000201</v>
      </c>
    </row>
    <row r="20" spans="1:34" x14ac:dyDescent="0.3">
      <c r="A20" s="6"/>
      <c r="B20" s="213" t="s">
        <v>340</v>
      </c>
      <c r="C20" s="213"/>
      <c r="D20" s="213"/>
      <c r="E20" s="9"/>
      <c r="F20" s="9"/>
      <c r="G20" s="9"/>
      <c r="H20" s="9"/>
      <c r="I20" s="57" t="str">
        <v/>
      </c>
      <c r="J20" s="189" t="str">
        <v/>
      </c>
      <c r="K20" s="190" t="str">
        <v/>
      </c>
      <c r="L20" s="190" t="str">
        <v/>
      </c>
      <c r="M20" s="190" t="str">
        <v/>
      </c>
      <c r="N20" s="9"/>
      <c r="O20" s="9"/>
      <c r="P20" s="9"/>
      <c r="Q20" s="9"/>
      <c r="R20" s="9"/>
      <c r="S20" s="9"/>
      <c r="T20" s="9"/>
      <c r="U20" s="9"/>
      <c r="V20" s="9"/>
      <c r="W20" s="9"/>
      <c r="X20" s="8"/>
      <c r="Z20" s="1" t="s">
        <v>7</v>
      </c>
      <c r="AA20" s="69">
        <v>50</v>
      </c>
      <c r="AB20" s="169">
        <v>149.22</v>
      </c>
      <c r="AC20" s="1" t="s">
        <v>37</v>
      </c>
      <c r="AD20" s="1" t="s">
        <v>44</v>
      </c>
      <c r="AE20" s="170">
        <v>43692.761627048611</v>
      </c>
      <c r="AF20" s="1" t="s">
        <v>341</v>
      </c>
      <c r="AG20" s="169">
        <v>150.73240000000001</v>
      </c>
      <c r="AH20" s="169">
        <f t="shared" si="0"/>
        <v>75.620000000000687</v>
      </c>
    </row>
    <row r="21" spans="1:34" x14ac:dyDescent="0.3">
      <c r="A21" s="6"/>
      <c r="B21" s="171" t="s">
        <v>322</v>
      </c>
      <c r="C21" s="171" t="s">
        <v>323</v>
      </c>
      <c r="D21" s="171" t="s">
        <v>324</v>
      </c>
      <c r="E21" s="9"/>
      <c r="F21" s="9"/>
      <c r="G21" s="9"/>
      <c r="H21" s="9"/>
      <c r="I21" s="57" t="str">
        <v/>
      </c>
      <c r="J21" s="189" t="str">
        <v/>
      </c>
      <c r="K21" s="190" t="str">
        <v/>
      </c>
      <c r="L21" s="190" t="str">
        <v/>
      </c>
      <c r="M21" s="190" t="str">
        <v/>
      </c>
      <c r="N21" s="9"/>
      <c r="O21" s="9"/>
      <c r="P21" s="9"/>
      <c r="Q21" s="9"/>
      <c r="R21" s="9"/>
      <c r="S21" s="9"/>
      <c r="T21" s="9"/>
      <c r="U21" s="9"/>
      <c r="V21" s="9"/>
      <c r="W21" s="9"/>
      <c r="X21" s="8"/>
      <c r="Z21" s="1" t="s">
        <v>53</v>
      </c>
      <c r="AA21" s="69">
        <v>-50</v>
      </c>
      <c r="AB21" s="169">
        <v>24.44</v>
      </c>
      <c r="AC21" s="1" t="s">
        <v>42</v>
      </c>
      <c r="AD21" s="1" t="s">
        <v>44</v>
      </c>
      <c r="AE21" s="170">
        <v>43692.849800451389</v>
      </c>
      <c r="AF21" s="1" t="s">
        <v>321</v>
      </c>
      <c r="AG21" s="169">
        <v>24.664200000000001</v>
      </c>
      <c r="AH21" s="169">
        <f t="shared" si="0"/>
        <v>-11.209999999999987</v>
      </c>
    </row>
    <row r="22" spans="1:34" x14ac:dyDescent="0.3">
      <c r="A22" s="6"/>
      <c r="B22" s="184" t="s">
        <v>1</v>
      </c>
      <c r="C22" s="184" t="s">
        <v>6</v>
      </c>
      <c r="D22" s="184" t="s">
        <v>314</v>
      </c>
      <c r="E22" s="9"/>
      <c r="F22" s="9"/>
      <c r="G22" s="9"/>
      <c r="H22" s="9"/>
      <c r="I22" s="57" t="str">
        <v/>
      </c>
      <c r="J22" s="189" t="str">
        <v/>
      </c>
      <c r="K22" s="190" t="str">
        <v/>
      </c>
      <c r="L22" s="190" t="str">
        <v/>
      </c>
      <c r="M22" s="190" t="str">
        <v/>
      </c>
      <c r="N22" s="9"/>
      <c r="O22" s="9"/>
      <c r="P22" s="9"/>
      <c r="Q22" s="9"/>
      <c r="R22" s="9"/>
      <c r="S22" s="9"/>
      <c r="T22" s="9"/>
      <c r="U22" s="9"/>
      <c r="V22" s="9"/>
      <c r="W22" s="9"/>
      <c r="X22" s="8"/>
      <c r="Z22" s="1" t="s">
        <v>15</v>
      </c>
      <c r="AA22" s="69">
        <v>125</v>
      </c>
      <c r="AB22" s="169">
        <v>157.97999999999999</v>
      </c>
      <c r="AC22" s="1" t="s">
        <v>42</v>
      </c>
      <c r="AD22" s="1" t="s">
        <v>44</v>
      </c>
      <c r="AE22" s="170">
        <v>43692.849036840278</v>
      </c>
      <c r="AF22" s="1" t="s">
        <v>342</v>
      </c>
      <c r="AG22" s="169">
        <v>159.83250000000001</v>
      </c>
      <c r="AH22" s="169">
        <f t="shared" si="0"/>
        <v>231.56250000000256</v>
      </c>
    </row>
    <row r="23" spans="1:34" x14ac:dyDescent="0.3">
      <c r="A23" s="6"/>
      <c r="B23" s="9"/>
      <c r="C23" s="9"/>
      <c r="D23" s="9"/>
      <c r="E23" s="9"/>
      <c r="F23" s="9"/>
      <c r="G23" s="9"/>
      <c r="H23" s="9"/>
      <c r="I23" s="57" t="str">
        <v/>
      </c>
      <c r="J23" s="189" t="str">
        <v/>
      </c>
      <c r="K23" s="190" t="str">
        <v/>
      </c>
      <c r="L23" s="190" t="str">
        <v/>
      </c>
      <c r="M23" s="190" t="str">
        <v/>
      </c>
      <c r="N23" s="9"/>
      <c r="O23" s="9"/>
      <c r="P23" s="9"/>
      <c r="Q23" s="9"/>
      <c r="R23" s="9"/>
      <c r="S23" s="9"/>
      <c r="T23" s="9"/>
      <c r="U23" s="9"/>
      <c r="V23" s="9"/>
      <c r="W23" s="9"/>
      <c r="X23" s="8"/>
      <c r="Z23" s="1" t="s">
        <v>62</v>
      </c>
      <c r="AA23" s="69">
        <v>-250</v>
      </c>
      <c r="AB23" s="169">
        <v>11.49</v>
      </c>
      <c r="AC23" s="1" t="s">
        <v>36</v>
      </c>
      <c r="AD23" s="1" t="s">
        <v>44</v>
      </c>
      <c r="AE23" s="170">
        <v>43692.849254780092</v>
      </c>
      <c r="AF23" s="1" t="s">
        <v>343</v>
      </c>
      <c r="AG23" s="169">
        <v>11.584700000000002</v>
      </c>
      <c r="AH23" s="169">
        <f t="shared" si="0"/>
        <v>-23.675000000000335</v>
      </c>
    </row>
    <row r="24" spans="1:34" x14ac:dyDescent="0.3">
      <c r="A24" s="6"/>
      <c r="B24" s="213" t="s">
        <v>344</v>
      </c>
      <c r="C24" s="213"/>
      <c r="D24" s="9"/>
      <c r="E24" s="9"/>
      <c r="F24" s="9"/>
      <c r="G24" s="9"/>
      <c r="H24" s="9"/>
      <c r="I24" s="57" t="str">
        <v/>
      </c>
      <c r="J24" s="189" t="str">
        <v/>
      </c>
      <c r="K24" s="190" t="str">
        <v/>
      </c>
      <c r="L24" s="190" t="str">
        <v/>
      </c>
      <c r="M24" s="190" t="str">
        <v/>
      </c>
      <c r="N24" s="9"/>
      <c r="O24" s="9"/>
      <c r="P24" s="9"/>
      <c r="Q24" s="9"/>
      <c r="R24" s="9"/>
      <c r="S24" s="9"/>
      <c r="T24" s="9"/>
      <c r="U24" s="9"/>
      <c r="V24" s="9"/>
      <c r="W24" s="9"/>
      <c r="X24" s="8"/>
      <c r="Z24" s="1" t="s">
        <v>64</v>
      </c>
      <c r="AA24" s="69">
        <v>-200</v>
      </c>
      <c r="AB24" s="169">
        <v>43.07</v>
      </c>
      <c r="AC24" s="1" t="s">
        <v>31</v>
      </c>
      <c r="AD24" s="1" t="s">
        <v>317</v>
      </c>
      <c r="AE24" s="170">
        <v>43692.849833368055</v>
      </c>
      <c r="AF24" s="1" t="s">
        <v>345</v>
      </c>
      <c r="AG24" s="169">
        <v>43.389600000000002</v>
      </c>
      <c r="AH24" s="169">
        <f t="shared" si="0"/>
        <v>-63.920000000000243</v>
      </c>
    </row>
    <row r="25" spans="1:34" x14ac:dyDescent="0.3">
      <c r="A25" s="6"/>
      <c r="B25" s="171" t="s">
        <v>346</v>
      </c>
      <c r="C25" s="171" t="s">
        <v>126</v>
      </c>
      <c r="D25" s="9"/>
      <c r="E25" s="9"/>
      <c r="F25" s="9"/>
      <c r="G25" s="9"/>
      <c r="H25" s="9"/>
      <c r="I25" s="57" t="str">
        <v/>
      </c>
      <c r="J25" s="189" t="str">
        <v/>
      </c>
      <c r="K25" s="190" t="str">
        <v/>
      </c>
      <c r="L25" s="190" t="str">
        <v/>
      </c>
      <c r="M25" s="190" t="str">
        <v/>
      </c>
      <c r="N25" s="9"/>
      <c r="O25" s="9"/>
      <c r="P25" s="9"/>
      <c r="Q25" s="9"/>
      <c r="R25" s="9"/>
      <c r="S25" s="9"/>
      <c r="T25" s="9"/>
      <c r="U25" s="9"/>
      <c r="V25" s="9"/>
      <c r="W25" s="9"/>
      <c r="X25" s="8"/>
      <c r="Z25" s="1" t="s">
        <v>63</v>
      </c>
      <c r="AA25" s="69">
        <v>225</v>
      </c>
      <c r="AB25" s="169">
        <v>315.36</v>
      </c>
      <c r="AC25" s="1" t="s">
        <v>37</v>
      </c>
      <c r="AD25" s="1" t="s">
        <v>317</v>
      </c>
      <c r="AE25" s="170">
        <v>43692.848711701386</v>
      </c>
      <c r="AF25" s="1" t="s">
        <v>347</v>
      </c>
      <c r="AG25" s="169">
        <v>317.78640000000001</v>
      </c>
      <c r="AH25" s="169">
        <f t="shared" si="0"/>
        <v>545.94000000000028</v>
      </c>
    </row>
    <row r="26" spans="1:34" x14ac:dyDescent="0.3">
      <c r="A26" s="6"/>
      <c r="B26" s="185" t="s">
        <v>326</v>
      </c>
      <c r="C26" s="186" t="str">
        <f>IFERROR(C38,"")</f>
        <v/>
      </c>
      <c r="D26" s="9"/>
      <c r="E26" s="9"/>
      <c r="F26" s="9"/>
      <c r="G26" s="9"/>
      <c r="H26" s="9"/>
      <c r="I26" s="57" t="str">
        <v/>
      </c>
      <c r="J26" s="189" t="str">
        <v/>
      </c>
      <c r="K26" s="190" t="str">
        <v/>
      </c>
      <c r="L26" s="190" t="str">
        <v/>
      </c>
      <c r="M26" s="190" t="str">
        <v/>
      </c>
      <c r="N26" s="9"/>
      <c r="O26" s="9"/>
      <c r="P26" s="9"/>
      <c r="Q26" s="9"/>
      <c r="R26" s="9"/>
      <c r="S26" s="9"/>
      <c r="T26" s="9"/>
      <c r="U26" s="9"/>
      <c r="V26" s="9"/>
      <c r="W26" s="9"/>
      <c r="X26" s="8"/>
      <c r="Z26" s="1" t="s">
        <v>40</v>
      </c>
      <c r="AA26" s="69">
        <v>200</v>
      </c>
      <c r="AB26" s="169">
        <v>33.35</v>
      </c>
      <c r="AC26" s="1" t="s">
        <v>42</v>
      </c>
      <c r="AD26" s="1" t="s">
        <v>41</v>
      </c>
      <c r="AE26" s="170">
        <v>43691.761776134263</v>
      </c>
      <c r="AF26" s="1" t="s">
        <v>348</v>
      </c>
      <c r="AG26" s="169">
        <v>33.653199999999998</v>
      </c>
      <c r="AH26" s="169">
        <f t="shared" si="0"/>
        <v>60.639999999999361</v>
      </c>
    </row>
    <row r="27" spans="1:34" x14ac:dyDescent="0.3">
      <c r="A27" s="6"/>
      <c r="B27" s="185" t="s">
        <v>34</v>
      </c>
      <c r="C27" s="183" t="str">
        <f>IFERROR(C39,"")</f>
        <v/>
      </c>
      <c r="D27" s="9"/>
      <c r="E27" s="9"/>
      <c r="F27" s="9"/>
      <c r="G27" s="9"/>
      <c r="H27" s="9"/>
      <c r="I27" s="57" t="str">
        <v/>
      </c>
      <c r="J27" s="189" t="str">
        <v/>
      </c>
      <c r="K27" s="190" t="str">
        <v/>
      </c>
      <c r="L27" s="190" t="str">
        <v/>
      </c>
      <c r="M27" s="190" t="str">
        <v/>
      </c>
      <c r="N27" s="9"/>
      <c r="O27" s="9"/>
      <c r="P27" s="9"/>
      <c r="Q27" s="9"/>
      <c r="R27" s="9"/>
      <c r="S27" s="9"/>
      <c r="T27" s="9"/>
      <c r="U27" s="9"/>
      <c r="V27" s="9"/>
      <c r="W27" s="9"/>
      <c r="X27" s="8"/>
      <c r="Z27" s="1" t="s">
        <v>13</v>
      </c>
      <c r="AA27" s="69">
        <v>-125</v>
      </c>
      <c r="AB27" s="169">
        <v>951.43</v>
      </c>
      <c r="AC27" s="1" t="s">
        <v>31</v>
      </c>
      <c r="AD27" s="1" t="s">
        <v>44</v>
      </c>
      <c r="AE27" s="170">
        <v>43692.848901550926</v>
      </c>
      <c r="AF27" s="1" t="s">
        <v>349</v>
      </c>
      <c r="AG27" s="169">
        <v>961.03520000000003</v>
      </c>
      <c r="AH27" s="169">
        <f t="shared" si="0"/>
        <v>-1200.6500000000101</v>
      </c>
    </row>
    <row r="28" spans="1:34" x14ac:dyDescent="0.3">
      <c r="A28" s="6"/>
      <c r="B28" s="9"/>
      <c r="C28" s="9"/>
      <c r="D28" s="9"/>
      <c r="E28" s="9"/>
      <c r="F28" s="9"/>
      <c r="G28" s="9"/>
      <c r="H28" s="9"/>
      <c r="I28" s="57" t="str">
        <v/>
      </c>
      <c r="J28" s="189" t="str">
        <v/>
      </c>
      <c r="K28" s="190" t="str">
        <v/>
      </c>
      <c r="L28" s="190" t="str">
        <v/>
      </c>
      <c r="M28" s="190" t="str">
        <v/>
      </c>
      <c r="N28" s="9"/>
      <c r="O28" s="9"/>
      <c r="P28" s="9"/>
      <c r="Q28" s="9"/>
      <c r="R28" s="9"/>
      <c r="S28" s="9"/>
      <c r="T28" s="9"/>
      <c r="U28" s="9"/>
      <c r="V28" s="9"/>
      <c r="W28" s="9"/>
      <c r="X28" s="8"/>
      <c r="Z28" s="1" t="s">
        <v>62</v>
      </c>
      <c r="AA28" s="69">
        <v>225</v>
      </c>
      <c r="AB28" s="169">
        <v>11.49</v>
      </c>
      <c r="AC28" s="1" t="s">
        <v>37</v>
      </c>
      <c r="AD28" s="1" t="s">
        <v>317</v>
      </c>
      <c r="AE28" s="170">
        <v>43691.849867546298</v>
      </c>
      <c r="AF28" s="1" t="s">
        <v>350</v>
      </c>
      <c r="AG28" s="169">
        <v>11.584700000000002</v>
      </c>
      <c r="AH28" s="169">
        <f t="shared" si="0"/>
        <v>21.307500000000303</v>
      </c>
    </row>
    <row r="29" spans="1:34" x14ac:dyDescent="0.3">
      <c r="A29" s="6"/>
      <c r="B29" s="9"/>
      <c r="C29" s="9"/>
      <c r="D29" s="9"/>
      <c r="E29" s="9"/>
      <c r="F29" s="9"/>
      <c r="G29" s="9"/>
      <c r="H29" s="9"/>
      <c r="I29" s="57" t="str">
        <v/>
      </c>
      <c r="J29" s="189" t="str">
        <v/>
      </c>
      <c r="K29" s="190" t="str">
        <v/>
      </c>
      <c r="L29" s="190" t="str">
        <v/>
      </c>
      <c r="M29" s="190" t="str">
        <v/>
      </c>
      <c r="N29" s="9"/>
      <c r="O29" s="9"/>
      <c r="P29" s="9"/>
      <c r="Q29" s="9"/>
      <c r="R29" s="9"/>
      <c r="S29" s="9"/>
      <c r="T29" s="9"/>
      <c r="U29" s="9"/>
      <c r="V29" s="9"/>
      <c r="W29" s="9"/>
      <c r="X29" s="8"/>
      <c r="Z29" s="1" t="s">
        <v>47</v>
      </c>
      <c r="AA29" s="69">
        <v>-50</v>
      </c>
      <c r="AB29" s="169">
        <v>71.98</v>
      </c>
      <c r="AC29" s="1" t="s">
        <v>31</v>
      </c>
      <c r="AD29" s="1" t="s">
        <v>41</v>
      </c>
      <c r="AE29" s="170">
        <v>43692.761603344909</v>
      </c>
      <c r="AF29" s="1" t="s">
        <v>351</v>
      </c>
      <c r="AG29" s="169">
        <v>72.750299999999996</v>
      </c>
      <c r="AH29" s="169">
        <f t="shared" si="0"/>
        <v>-38.514999999999588</v>
      </c>
    </row>
    <row r="30" spans="1:34" x14ac:dyDescent="0.3">
      <c r="A30" s="6"/>
      <c r="B30" s="213" t="s">
        <v>488</v>
      </c>
      <c r="C30" s="213"/>
      <c r="D30" s="9"/>
      <c r="E30" s="9"/>
      <c r="F30" s="9"/>
      <c r="G30" s="9"/>
      <c r="H30" s="9"/>
      <c r="I30" s="57" t="str">
        <v/>
      </c>
      <c r="J30" s="189" t="str">
        <v/>
      </c>
      <c r="K30" s="190" t="str">
        <v/>
      </c>
      <c r="L30" s="190" t="str">
        <v/>
      </c>
      <c r="M30" s="190" t="str">
        <v/>
      </c>
      <c r="N30" s="9"/>
      <c r="O30" s="9"/>
      <c r="P30" s="9"/>
      <c r="Q30" s="9"/>
      <c r="R30" s="9"/>
      <c r="S30" s="9"/>
      <c r="T30" s="9"/>
      <c r="U30" s="9"/>
      <c r="V30" s="9"/>
      <c r="W30" s="9"/>
      <c r="X30" s="8"/>
      <c r="Z30" s="1" t="s">
        <v>61</v>
      </c>
      <c r="AA30" s="69">
        <v>-125</v>
      </c>
      <c r="AB30" s="169">
        <v>248.08</v>
      </c>
      <c r="AC30" s="1" t="s">
        <v>31</v>
      </c>
      <c r="AD30" s="1" t="s">
        <v>317</v>
      </c>
      <c r="AE30" s="170">
        <v>43691.848909143519</v>
      </c>
      <c r="AF30" s="1" t="s">
        <v>352</v>
      </c>
      <c r="AG30" s="169">
        <v>251.03550000000001</v>
      </c>
      <c r="AH30" s="169">
        <f t="shared" si="0"/>
        <v>-369.43750000000011</v>
      </c>
    </row>
    <row r="31" spans="1:34" x14ac:dyDescent="0.3">
      <c r="A31" s="6"/>
      <c r="B31" s="62" t="s">
        <v>353</v>
      </c>
      <c r="C31" s="179" t="str" cm="1">
        <f t="array" ref="C31">_xll.U.SET_CLICKVALS(B31,_xll.U.REGION(I4:M4,,,TRUE),,,"return(row)")</f>
        <v>RowClicked</v>
      </c>
      <c r="D31" s="9"/>
      <c r="E31" s="9"/>
      <c r="F31" s="9"/>
      <c r="G31" s="9"/>
      <c r="H31" s="9"/>
      <c r="I31" s="57"/>
      <c r="J31" s="189"/>
      <c r="K31" s="190"/>
      <c r="L31" s="190"/>
      <c r="M31" s="190"/>
      <c r="N31" s="9"/>
      <c r="O31" s="9"/>
      <c r="P31" s="9"/>
      <c r="Q31" s="9"/>
      <c r="R31" s="9"/>
      <c r="S31" s="9"/>
      <c r="T31" s="9"/>
      <c r="U31" s="9"/>
      <c r="V31" s="9"/>
      <c r="W31" s="9"/>
      <c r="X31" s="8"/>
      <c r="Z31" s="1" t="s">
        <v>47</v>
      </c>
      <c r="AA31" s="69">
        <v>-175</v>
      </c>
      <c r="AB31" s="169">
        <v>72.040000000000006</v>
      </c>
      <c r="AC31" s="1" t="s">
        <v>31</v>
      </c>
      <c r="AD31" s="1" t="s">
        <v>317</v>
      </c>
      <c r="AE31" s="170">
        <v>43691.848883831015</v>
      </c>
      <c r="AF31" s="1" t="s">
        <v>354</v>
      </c>
      <c r="AG31" s="169">
        <v>72.750299999999996</v>
      </c>
      <c r="AH31" s="169">
        <f t="shared" si="0"/>
        <v>-124.30249999999816</v>
      </c>
    </row>
    <row r="32" spans="1:34" x14ac:dyDescent="0.3">
      <c r="A32" s="6"/>
      <c r="B32" s="62" t="s">
        <v>355</v>
      </c>
      <c r="C32" s="62" t="str" cm="1">
        <f t="array" ref="C32">_xll.U.GET_CLICKVAL(B31)</f>
        <v/>
      </c>
      <c r="D32" s="9"/>
      <c r="E32" s="9"/>
      <c r="F32" s="9"/>
      <c r="G32" s="9"/>
      <c r="H32" s="9"/>
      <c r="I32" s="57"/>
      <c r="J32" s="189"/>
      <c r="K32" s="190"/>
      <c r="L32" s="190"/>
      <c r="M32" s="190"/>
      <c r="N32" s="9"/>
      <c r="O32" s="9"/>
      <c r="P32" s="9"/>
      <c r="Q32" s="9"/>
      <c r="R32" s="9"/>
      <c r="S32" s="9"/>
      <c r="T32" s="9"/>
      <c r="U32" s="9"/>
      <c r="V32" s="9"/>
      <c r="W32" s="9"/>
      <c r="X32" s="8"/>
      <c r="Z32" s="1" t="s">
        <v>62</v>
      </c>
      <c r="AA32" s="69">
        <v>-150</v>
      </c>
      <c r="AB32" s="169">
        <v>11.46</v>
      </c>
      <c r="AC32" s="1" t="s">
        <v>42</v>
      </c>
      <c r="AD32" s="1" t="s">
        <v>44</v>
      </c>
      <c r="AE32" s="170">
        <v>43691.850196631945</v>
      </c>
      <c r="AF32" s="1" t="s">
        <v>357</v>
      </c>
      <c r="AG32" s="169">
        <v>11.584700000000002</v>
      </c>
      <c r="AH32" s="169">
        <f t="shared" ref="AH32:AH95" si="1">(AG32-AB32)*AA32</f>
        <v>-18.705000000000105</v>
      </c>
    </row>
    <row r="33" spans="1:34" x14ac:dyDescent="0.3">
      <c r="A33" s="6"/>
      <c r="B33" s="62" t="s">
        <v>484</v>
      </c>
      <c r="C33" s="66" t="b" cm="1">
        <f t="array" ref="C33">_xll.U.DO(_xll.U.EVENT(C32),I4)</f>
        <v>0</v>
      </c>
      <c r="D33" s="9"/>
      <c r="E33" s="9"/>
      <c r="F33" s="9"/>
      <c r="G33" s="9"/>
      <c r="H33" s="9"/>
      <c r="I33" s="57"/>
      <c r="J33" s="189"/>
      <c r="K33" s="190"/>
      <c r="L33" s="190"/>
      <c r="M33" s="190"/>
      <c r="N33" s="9"/>
      <c r="O33" s="9"/>
      <c r="P33" s="9"/>
      <c r="Q33" s="9"/>
      <c r="R33" s="9"/>
      <c r="S33" s="9"/>
      <c r="T33" s="9"/>
      <c r="U33" s="9"/>
      <c r="V33" s="9"/>
      <c r="W33" s="9"/>
      <c r="X33" s="8"/>
      <c r="Z33" s="1" t="s">
        <v>64</v>
      </c>
      <c r="AA33" s="69">
        <v>75</v>
      </c>
      <c r="AB33" s="169">
        <v>42.96</v>
      </c>
      <c r="AC33" s="1" t="s">
        <v>36</v>
      </c>
      <c r="AD33" s="1" t="s">
        <v>41</v>
      </c>
      <c r="AE33" s="170">
        <v>43692.761908043984</v>
      </c>
      <c r="AF33" s="1" t="s">
        <v>359</v>
      </c>
      <c r="AG33" s="169">
        <v>43.389600000000002</v>
      </c>
      <c r="AH33" s="169">
        <f t="shared" si="1"/>
        <v>32.220000000000049</v>
      </c>
    </row>
    <row r="34" spans="1:34" x14ac:dyDescent="0.3">
      <c r="A34" s="6"/>
      <c r="B34" s="62" t="s">
        <v>356</v>
      </c>
      <c r="C34" s="58" cm="1">
        <f t="array" ref="C34">IFERROR(_xll.U.SUBRANGE(_xll.U.VFILTER(_xll.U.SUBRANGE(_xll.U.REGION(I4:M4),1,1,C32,1)),-1),"")</f>
        <v>43691</v>
      </c>
      <c r="D34" s="9"/>
      <c r="E34" s="9"/>
      <c r="F34" s="9"/>
      <c r="G34" s="9"/>
      <c r="H34" s="9"/>
      <c r="I34" s="57"/>
      <c r="J34" s="189"/>
      <c r="K34" s="190"/>
      <c r="L34" s="190"/>
      <c r="M34" s="190"/>
      <c r="N34" s="9"/>
      <c r="O34" s="9"/>
      <c r="P34" s="9"/>
      <c r="Q34" s="9"/>
      <c r="R34" s="9"/>
      <c r="S34" s="9"/>
      <c r="T34" s="9"/>
      <c r="U34" s="9"/>
      <c r="V34" s="9"/>
      <c r="W34" s="9"/>
      <c r="X34" s="8"/>
      <c r="Z34" s="1" t="s">
        <v>53</v>
      </c>
      <c r="AA34" s="69">
        <v>225</v>
      </c>
      <c r="AB34" s="169">
        <v>24.42</v>
      </c>
      <c r="AC34" s="1" t="s">
        <v>36</v>
      </c>
      <c r="AD34" s="1" t="s">
        <v>44</v>
      </c>
      <c r="AE34" s="170">
        <v>43692.848699768518</v>
      </c>
      <c r="AF34" s="1" t="s">
        <v>360</v>
      </c>
      <c r="AG34" s="169">
        <v>24.664200000000001</v>
      </c>
      <c r="AH34" s="169">
        <f t="shared" si="1"/>
        <v>54.944999999999844</v>
      </c>
    </row>
    <row r="35" spans="1:34" x14ac:dyDescent="0.3">
      <c r="A35" s="6"/>
      <c r="B35" s="62" t="s">
        <v>358</v>
      </c>
      <c r="C35" s="180" t="str" cm="1">
        <f t="array" ref="C35">IFERROR(_xll.U.SUBRANGE(_xll.U.VFILTER(_xll.U.SUBRANGE(_xll.U.REGION(I4:M4),1,2,C32,2)),-1),"")</f>
        <v>STRATEGY 4</v>
      </c>
      <c r="D35" s="9"/>
      <c r="E35" s="9"/>
      <c r="F35" s="9"/>
      <c r="G35" s="9"/>
      <c r="H35" s="9"/>
      <c r="I35" s="57"/>
      <c r="J35" s="189"/>
      <c r="K35" s="190"/>
      <c r="L35" s="190"/>
      <c r="M35" s="190"/>
      <c r="N35" s="9"/>
      <c r="O35" s="9"/>
      <c r="P35" s="9"/>
      <c r="Q35" s="9"/>
      <c r="R35" s="9"/>
      <c r="S35" s="9"/>
      <c r="T35" s="9"/>
      <c r="U35" s="9"/>
      <c r="V35" s="9"/>
      <c r="W35" s="9"/>
      <c r="X35" s="8"/>
      <c r="Z35" s="1" t="s">
        <v>62</v>
      </c>
      <c r="AA35" s="69">
        <v>-125</v>
      </c>
      <c r="AB35" s="169">
        <v>11.47</v>
      </c>
      <c r="AC35" s="1" t="s">
        <v>42</v>
      </c>
      <c r="AD35" s="1" t="s">
        <v>41</v>
      </c>
      <c r="AE35" s="170">
        <v>43692.761891712966</v>
      </c>
      <c r="AF35" s="1" t="s">
        <v>362</v>
      </c>
      <c r="AG35" s="169">
        <v>11.584700000000002</v>
      </c>
      <c r="AH35" s="169">
        <f t="shared" si="1"/>
        <v>-14.337500000000114</v>
      </c>
    </row>
    <row r="36" spans="1:34" x14ac:dyDescent="0.3">
      <c r="A36" s="6"/>
      <c r="B36" s="62" t="s">
        <v>361</v>
      </c>
      <c r="C36" s="126" t="str" cm="1">
        <f t="array" ref="C36">IF(C33,_xll.U.OVERWRITE_CLICKVAL("DateClicked",C34),"")</f>
        <v/>
      </c>
      <c r="D36" s="9"/>
      <c r="E36" s="9"/>
      <c r="F36" s="9"/>
      <c r="G36" s="9"/>
      <c r="H36" s="9"/>
      <c r="I36" s="57"/>
      <c r="J36" s="189"/>
      <c r="K36" s="190"/>
      <c r="L36" s="190"/>
      <c r="M36" s="190"/>
      <c r="N36" s="9"/>
      <c r="O36" s="9"/>
      <c r="P36" s="9"/>
      <c r="Q36" s="9"/>
      <c r="R36" s="9"/>
      <c r="S36" s="9"/>
      <c r="T36" s="9"/>
      <c r="U36" s="9"/>
      <c r="V36" s="9"/>
      <c r="W36" s="9"/>
      <c r="X36" s="8"/>
      <c r="Z36" s="1" t="s">
        <v>63</v>
      </c>
      <c r="AA36" s="69">
        <v>-225</v>
      </c>
      <c r="AB36" s="169">
        <v>315.08</v>
      </c>
      <c r="AC36" s="1" t="s">
        <v>36</v>
      </c>
      <c r="AD36" s="1" t="s">
        <v>41</v>
      </c>
      <c r="AE36" s="170">
        <v>43691.849120578707</v>
      </c>
      <c r="AF36" s="1" t="s">
        <v>364</v>
      </c>
      <c r="AG36" s="169">
        <v>317.78640000000001</v>
      </c>
      <c r="AH36" s="169">
        <f t="shared" si="1"/>
        <v>-608.94000000000688</v>
      </c>
    </row>
    <row r="37" spans="1:34" x14ac:dyDescent="0.3">
      <c r="A37" s="6"/>
      <c r="B37" s="62" t="s">
        <v>363</v>
      </c>
      <c r="C37" s="126" t="str" cm="1">
        <f t="array" ref="C37">IF(C33,IF(LEFT(C35,5)="STRAT",_xll.U.OVERWRITE_CLICKVAL("StratClicked",C35),""),"")</f>
        <v/>
      </c>
      <c r="D37" s="9"/>
      <c r="E37" s="9"/>
      <c r="F37" s="9"/>
      <c r="G37" s="9"/>
      <c r="H37" s="9"/>
      <c r="I37" s="57"/>
      <c r="J37" s="189"/>
      <c r="K37" s="190"/>
      <c r="L37" s="190"/>
      <c r="M37" s="190"/>
      <c r="N37" s="9"/>
      <c r="O37" s="9"/>
      <c r="P37" s="9"/>
      <c r="Q37" s="9"/>
      <c r="R37" s="9"/>
      <c r="S37" s="9"/>
      <c r="T37" s="9"/>
      <c r="U37" s="9"/>
      <c r="V37" s="9"/>
      <c r="W37" s="9"/>
      <c r="X37" s="8"/>
      <c r="Z37" s="1" t="s">
        <v>63</v>
      </c>
      <c r="AA37" s="69">
        <v>75</v>
      </c>
      <c r="AB37" s="169">
        <v>314.61</v>
      </c>
      <c r="AC37" s="1" t="s">
        <v>37</v>
      </c>
      <c r="AD37" s="1" t="s">
        <v>44</v>
      </c>
      <c r="AE37" s="170">
        <v>43691.848929409723</v>
      </c>
      <c r="AF37" s="1" t="s">
        <v>366</v>
      </c>
      <c r="AG37" s="169">
        <v>317.78640000000001</v>
      </c>
      <c r="AH37" s="169">
        <f t="shared" si="1"/>
        <v>238.23000000000008</v>
      </c>
    </row>
    <row r="38" spans="1:34" x14ac:dyDescent="0.3">
      <c r="A38" s="6"/>
      <c r="B38" s="62" t="s">
        <v>365</v>
      </c>
      <c r="C38" s="58" t="str" cm="1">
        <f t="array" ref="C38">_xll.U.GET_CLICKVAL("DateClicked")</f>
        <v/>
      </c>
      <c r="D38" s="9"/>
      <c r="E38" s="9"/>
      <c r="F38" s="9"/>
      <c r="G38" s="9"/>
      <c r="H38" s="9"/>
      <c r="I38" s="57"/>
      <c r="J38" s="189"/>
      <c r="K38" s="190"/>
      <c r="L38" s="190"/>
      <c r="M38" s="190"/>
      <c r="N38" s="9"/>
      <c r="O38" s="9"/>
      <c r="P38" s="9"/>
      <c r="Q38" s="9"/>
      <c r="R38" s="9"/>
      <c r="S38" s="9"/>
      <c r="T38" s="9"/>
      <c r="U38" s="9"/>
      <c r="V38" s="9"/>
      <c r="W38" s="9"/>
      <c r="X38" s="8"/>
      <c r="Z38" s="1" t="s">
        <v>7</v>
      </c>
      <c r="AA38" s="69">
        <v>250</v>
      </c>
      <c r="AB38" s="169">
        <v>148.9</v>
      </c>
      <c r="AC38" s="1" t="s">
        <v>42</v>
      </c>
      <c r="AD38" s="1" t="s">
        <v>41</v>
      </c>
      <c r="AE38" s="170">
        <v>43691.849148437497</v>
      </c>
      <c r="AF38" s="1" t="s">
        <v>367</v>
      </c>
      <c r="AG38" s="169">
        <v>150.73240000000001</v>
      </c>
      <c r="AH38" s="169">
        <f t="shared" si="1"/>
        <v>458.10000000000173</v>
      </c>
    </row>
    <row r="39" spans="1:34" x14ac:dyDescent="0.3">
      <c r="A39" s="6"/>
      <c r="B39" s="62" t="s">
        <v>486</v>
      </c>
      <c r="C39" s="62" t="str" cm="1">
        <f t="array" ref="C39">_xll.U.GET_CLICKVAL("StratClicked")</f>
        <v/>
      </c>
      <c r="D39" s="9"/>
      <c r="E39" s="9"/>
      <c r="F39" s="9"/>
      <c r="G39" s="9"/>
      <c r="H39" s="9"/>
      <c r="I39" s="57"/>
      <c r="J39" s="189"/>
      <c r="K39" s="190"/>
      <c r="L39" s="190"/>
      <c r="M39" s="190"/>
      <c r="N39" s="9"/>
      <c r="O39" s="9"/>
      <c r="P39" s="9"/>
      <c r="Q39" s="9"/>
      <c r="R39" s="9"/>
      <c r="S39" s="9"/>
      <c r="T39" s="9"/>
      <c r="U39" s="9"/>
      <c r="V39" s="9"/>
      <c r="W39" s="9"/>
      <c r="X39" s="8"/>
      <c r="Z39" s="1" t="s">
        <v>56</v>
      </c>
      <c r="AA39" s="69">
        <v>-200</v>
      </c>
      <c r="AB39" s="169">
        <v>50.3</v>
      </c>
      <c r="AC39" s="1" t="s">
        <v>36</v>
      </c>
      <c r="AD39" s="1" t="s">
        <v>41</v>
      </c>
      <c r="AE39" s="170">
        <v>43692.850229537034</v>
      </c>
      <c r="AF39" s="1" t="s">
        <v>368</v>
      </c>
      <c r="AG39" s="169">
        <v>50.752499999999998</v>
      </c>
      <c r="AH39" s="169">
        <f t="shared" si="1"/>
        <v>-90.500000000000114</v>
      </c>
    </row>
    <row r="40" spans="1:34" x14ac:dyDescent="0.3">
      <c r="A40" s="6"/>
      <c r="B40" s="9"/>
      <c r="C40" s="9"/>
      <c r="D40" s="9"/>
      <c r="E40" s="9"/>
      <c r="F40" s="9"/>
      <c r="G40" s="9"/>
      <c r="H40" s="9"/>
      <c r="I40" s="57"/>
      <c r="J40" s="189"/>
      <c r="K40" s="190"/>
      <c r="L40" s="190"/>
      <c r="M40" s="190"/>
      <c r="N40" s="9"/>
      <c r="O40" s="9"/>
      <c r="P40" s="9"/>
      <c r="Q40" s="9"/>
      <c r="R40" s="9"/>
      <c r="S40" s="9"/>
      <c r="T40" s="9"/>
      <c r="U40" s="9"/>
      <c r="V40" s="9"/>
      <c r="W40" s="9"/>
      <c r="X40" s="8"/>
      <c r="Z40" s="1" t="s">
        <v>40</v>
      </c>
      <c r="AA40" s="69">
        <v>-50</v>
      </c>
      <c r="AB40" s="169">
        <v>33.299999999999997</v>
      </c>
      <c r="AC40" s="1" t="s">
        <v>42</v>
      </c>
      <c r="AD40" s="1" t="s">
        <v>41</v>
      </c>
      <c r="AE40" s="170">
        <v>43692.849049317127</v>
      </c>
      <c r="AF40" s="1" t="s">
        <v>369</v>
      </c>
      <c r="AG40" s="169">
        <v>33.653199999999998</v>
      </c>
      <c r="AH40" s="169">
        <f t="shared" si="1"/>
        <v>-17.660000000000053</v>
      </c>
    </row>
    <row r="41" spans="1:34" x14ac:dyDescent="0.3">
      <c r="A41" s="6"/>
      <c r="B41" s="9"/>
      <c r="C41" s="9"/>
      <c r="D41" s="9"/>
      <c r="E41" s="9"/>
      <c r="F41" s="9"/>
      <c r="G41" s="9"/>
      <c r="H41" s="9"/>
      <c r="I41" s="9"/>
      <c r="J41" s="189"/>
      <c r="K41" s="190"/>
      <c r="L41" s="190"/>
      <c r="M41" s="190"/>
      <c r="N41" s="9"/>
      <c r="O41" s="9"/>
      <c r="P41" s="9"/>
      <c r="Q41" s="9"/>
      <c r="R41" s="9"/>
      <c r="S41" s="9"/>
      <c r="T41" s="9"/>
      <c r="U41" s="9"/>
      <c r="V41" s="9"/>
      <c r="W41" s="9"/>
      <c r="X41" s="8"/>
      <c r="Z41" s="1" t="s">
        <v>7</v>
      </c>
      <c r="AA41" s="69">
        <v>200</v>
      </c>
      <c r="AB41" s="169">
        <v>148.76</v>
      </c>
      <c r="AC41" s="1" t="s">
        <v>36</v>
      </c>
      <c r="AD41" s="1" t="s">
        <v>317</v>
      </c>
      <c r="AE41" s="170">
        <v>43691.849205405095</v>
      </c>
      <c r="AF41" s="1" t="s">
        <v>371</v>
      </c>
      <c r="AG41" s="169">
        <v>150.73240000000001</v>
      </c>
      <c r="AH41" s="169">
        <f t="shared" si="1"/>
        <v>394.48000000000434</v>
      </c>
    </row>
    <row r="42" spans="1:34" x14ac:dyDescent="0.3">
      <c r="A42" s="6"/>
      <c r="B42" s="20" t="s">
        <v>370</v>
      </c>
      <c r="C42" s="181" t="str" cm="1">
        <f t="array" ref="C42">IF(OR(C46="",C47=""),"",IFERROR(_xll.U.VFILTER(C5,B45:C47),""))</f>
        <v/>
      </c>
      <c r="D42" s="9"/>
      <c r="E42" s="9"/>
      <c r="F42" s="9"/>
      <c r="G42" s="9"/>
      <c r="H42" s="9"/>
      <c r="I42" s="9"/>
      <c r="J42" s="189"/>
      <c r="K42" s="190"/>
      <c r="L42" s="190"/>
      <c r="M42" s="190"/>
      <c r="N42" s="9"/>
      <c r="O42" s="9"/>
      <c r="P42" s="9"/>
      <c r="Q42" s="9"/>
      <c r="R42" s="9"/>
      <c r="S42" s="9"/>
      <c r="T42" s="9"/>
      <c r="U42" s="9"/>
      <c r="V42" s="9"/>
      <c r="W42" s="9"/>
      <c r="X42" s="8"/>
      <c r="Z42" s="1" t="s">
        <v>59</v>
      </c>
      <c r="AA42" s="69">
        <v>225</v>
      </c>
      <c r="AB42" s="169">
        <v>16.600000000000001</v>
      </c>
      <c r="AC42" s="1" t="s">
        <v>42</v>
      </c>
      <c r="AD42" s="1" t="s">
        <v>44</v>
      </c>
      <c r="AE42" s="170">
        <v>43692.849018032408</v>
      </c>
      <c r="AF42" s="1" t="s">
        <v>372</v>
      </c>
      <c r="AG42" s="169">
        <v>16.826599999999999</v>
      </c>
      <c r="AH42" s="169">
        <f t="shared" si="1"/>
        <v>50.984999999999481</v>
      </c>
    </row>
    <row r="43" spans="1:34" x14ac:dyDescent="0.3">
      <c r="A43" s="6"/>
      <c r="B43" s="57"/>
      <c r="C43" s="9"/>
      <c r="D43" s="9"/>
      <c r="E43" s="9"/>
      <c r="F43" s="9"/>
      <c r="G43" s="9"/>
      <c r="H43" s="9"/>
      <c r="I43" s="9"/>
      <c r="J43" s="189"/>
      <c r="K43" s="190"/>
      <c r="L43" s="190"/>
      <c r="M43" s="190"/>
      <c r="N43" s="9"/>
      <c r="O43" s="9"/>
      <c r="P43" s="9"/>
      <c r="Q43" s="9"/>
      <c r="R43" s="9"/>
      <c r="S43" s="9"/>
      <c r="T43" s="9"/>
      <c r="U43" s="9"/>
      <c r="V43" s="9"/>
      <c r="W43" s="9"/>
      <c r="X43" s="8"/>
      <c r="Z43" s="1" t="s">
        <v>7</v>
      </c>
      <c r="AA43" s="69">
        <v>-175</v>
      </c>
      <c r="AB43" s="169">
        <v>148.78</v>
      </c>
      <c r="AC43" s="1" t="s">
        <v>31</v>
      </c>
      <c r="AD43" s="1" t="s">
        <v>41</v>
      </c>
      <c r="AE43" s="170">
        <v>43692.849271053237</v>
      </c>
      <c r="AF43" s="1" t="s">
        <v>339</v>
      </c>
      <c r="AG43" s="169">
        <v>150.73240000000001</v>
      </c>
      <c r="AH43" s="169">
        <f t="shared" si="1"/>
        <v>-341.67000000000201</v>
      </c>
    </row>
    <row r="44" spans="1:34" x14ac:dyDescent="0.3">
      <c r="A44" s="6"/>
      <c r="B44" s="213" t="s">
        <v>373</v>
      </c>
      <c r="C44" s="213"/>
      <c r="D44" s="9"/>
      <c r="E44" s="9"/>
      <c r="F44" s="9"/>
      <c r="G44" s="9"/>
      <c r="H44" s="9"/>
      <c r="I44" s="9"/>
      <c r="J44" s="189"/>
      <c r="K44" s="190"/>
      <c r="L44" s="190"/>
      <c r="M44" s="190"/>
      <c r="N44" s="9"/>
      <c r="O44" s="9"/>
      <c r="P44" s="9"/>
      <c r="Q44" s="9"/>
      <c r="R44" s="9"/>
      <c r="S44" s="9"/>
      <c r="T44" s="9"/>
      <c r="U44" s="9"/>
      <c r="V44" s="9"/>
      <c r="W44" s="9"/>
      <c r="X44" s="8"/>
      <c r="Z44" s="1" t="s">
        <v>54</v>
      </c>
      <c r="AA44" s="69">
        <v>-175</v>
      </c>
      <c r="AB44" s="169">
        <v>90.08</v>
      </c>
      <c r="AC44" s="1" t="s">
        <v>42</v>
      </c>
      <c r="AD44" s="1" t="s">
        <v>317</v>
      </c>
      <c r="AE44" s="170">
        <v>43692.84932947917</v>
      </c>
      <c r="AF44" s="1" t="s">
        <v>375</v>
      </c>
      <c r="AG44" s="169">
        <v>90.829300000000003</v>
      </c>
      <c r="AH44" s="169">
        <f t="shared" si="1"/>
        <v>-131.12750000000091</v>
      </c>
    </row>
    <row r="45" spans="1:34" x14ac:dyDescent="0.3">
      <c r="A45" s="6"/>
      <c r="B45" s="154" t="s">
        <v>374</v>
      </c>
      <c r="C45" s="154"/>
      <c r="D45" s="9"/>
      <c r="E45" s="9"/>
      <c r="F45" s="9"/>
      <c r="G45" s="9"/>
      <c r="H45" s="9"/>
      <c r="I45" s="9"/>
      <c r="J45" s="189"/>
      <c r="K45" s="190"/>
      <c r="L45" s="190"/>
      <c r="M45" s="190"/>
      <c r="N45" s="9"/>
      <c r="O45" s="9"/>
      <c r="P45" s="9"/>
      <c r="Q45" s="9"/>
      <c r="R45" s="9"/>
      <c r="S45" s="9"/>
      <c r="T45" s="9"/>
      <c r="U45" s="9"/>
      <c r="V45" s="9"/>
      <c r="W45" s="9"/>
      <c r="X45" s="8"/>
      <c r="Z45" s="1" t="s">
        <v>58</v>
      </c>
      <c r="AA45" s="69">
        <v>-150</v>
      </c>
      <c r="AB45" s="169">
        <v>80.77</v>
      </c>
      <c r="AC45" s="1" t="s">
        <v>37</v>
      </c>
      <c r="AD45" s="1" t="s">
        <v>317</v>
      </c>
      <c r="AE45" s="170">
        <v>43691.761702013886</v>
      </c>
      <c r="AF45" s="1" t="s">
        <v>376</v>
      </c>
      <c r="AG45" s="169">
        <v>81.779700000000005</v>
      </c>
      <c r="AH45" s="169">
        <f t="shared" si="1"/>
        <v>-151.45500000000141</v>
      </c>
    </row>
    <row r="46" spans="1:34" x14ac:dyDescent="0.3">
      <c r="A46" s="6"/>
      <c r="B46" s="154">
        <v>1</v>
      </c>
      <c r="C46" s="182" t="str">
        <f>C38</f>
        <v/>
      </c>
      <c r="D46" s="9"/>
      <c r="E46" s="9"/>
      <c r="F46" s="9"/>
      <c r="G46" s="9"/>
      <c r="H46" s="9"/>
      <c r="I46" s="9"/>
      <c r="J46" s="189"/>
      <c r="K46" s="190"/>
      <c r="L46" s="190"/>
      <c r="M46" s="190"/>
      <c r="N46" s="9"/>
      <c r="O46" s="9"/>
      <c r="P46" s="9"/>
      <c r="Q46" s="9"/>
      <c r="R46" s="9"/>
      <c r="S46" s="9"/>
      <c r="T46" s="9"/>
      <c r="U46" s="9"/>
      <c r="V46" s="9"/>
      <c r="W46" s="9"/>
      <c r="X46" s="8"/>
      <c r="Z46" s="1" t="s">
        <v>61</v>
      </c>
      <c r="AA46" s="69">
        <v>-150</v>
      </c>
      <c r="AB46" s="169">
        <v>247.88</v>
      </c>
      <c r="AC46" s="1" t="s">
        <v>42</v>
      </c>
      <c r="AD46" s="1" t="s">
        <v>317</v>
      </c>
      <c r="AE46" s="170">
        <v>43692.84994857639</v>
      </c>
      <c r="AF46" s="1" t="s">
        <v>377</v>
      </c>
      <c r="AG46" s="169">
        <v>251.03550000000001</v>
      </c>
      <c r="AH46" s="169">
        <f t="shared" si="1"/>
        <v>-473.32500000000266</v>
      </c>
    </row>
    <row r="47" spans="1:34" x14ac:dyDescent="0.3">
      <c r="A47" s="6"/>
      <c r="B47" s="154">
        <v>2</v>
      </c>
      <c r="C47" s="154" t="str">
        <f>C39</f>
        <v/>
      </c>
      <c r="D47" s="9"/>
      <c r="E47" s="9"/>
      <c r="F47" s="9"/>
      <c r="G47" s="9"/>
      <c r="H47" s="9"/>
      <c r="I47" s="9"/>
      <c r="J47" s="9"/>
      <c r="K47" s="190"/>
      <c r="L47" s="190"/>
      <c r="M47" s="190"/>
      <c r="N47" s="9"/>
      <c r="O47" s="9"/>
      <c r="P47" s="9"/>
      <c r="Q47" s="9"/>
      <c r="R47" s="9"/>
      <c r="S47" s="9"/>
      <c r="T47" s="9"/>
      <c r="U47" s="9"/>
      <c r="V47" s="9"/>
      <c r="W47" s="9"/>
      <c r="X47" s="8"/>
      <c r="Z47" s="1" t="s">
        <v>59</v>
      </c>
      <c r="AA47" s="69">
        <v>-175</v>
      </c>
      <c r="AB47" s="169">
        <v>16.64</v>
      </c>
      <c r="AC47" s="1" t="s">
        <v>37</v>
      </c>
      <c r="AD47" s="1" t="s">
        <v>317</v>
      </c>
      <c r="AE47" s="170">
        <v>43692.761808807867</v>
      </c>
      <c r="AF47" s="1" t="s">
        <v>378</v>
      </c>
      <c r="AG47" s="169">
        <v>16.826599999999999</v>
      </c>
      <c r="AH47" s="169">
        <f t="shared" si="1"/>
        <v>-32.654999999999745</v>
      </c>
    </row>
    <row r="48" spans="1:34" x14ac:dyDescent="0.3">
      <c r="A48" s="6"/>
      <c r="B48" s="9"/>
      <c r="C48" s="9"/>
      <c r="D48" s="9"/>
      <c r="E48" s="9"/>
      <c r="F48" s="9"/>
      <c r="G48" s="9"/>
      <c r="H48" s="9"/>
      <c r="I48" s="9"/>
      <c r="J48" s="9"/>
      <c r="K48" s="190"/>
      <c r="L48" s="190"/>
      <c r="M48" s="190"/>
      <c r="N48" s="9"/>
      <c r="O48" s="9"/>
      <c r="P48" s="9"/>
      <c r="Q48" s="9"/>
      <c r="R48" s="9"/>
      <c r="S48" s="9"/>
      <c r="T48" s="9"/>
      <c r="U48" s="9"/>
      <c r="V48" s="9"/>
      <c r="W48" s="9"/>
      <c r="X48" s="8"/>
      <c r="Z48" s="1" t="s">
        <v>40</v>
      </c>
      <c r="AA48" s="69">
        <v>-50</v>
      </c>
      <c r="AB48" s="169">
        <v>33.299999999999997</v>
      </c>
      <c r="AC48" s="1" t="s">
        <v>42</v>
      </c>
      <c r="AD48" s="1" t="s">
        <v>44</v>
      </c>
      <c r="AE48" s="170">
        <v>43692.761617037038</v>
      </c>
      <c r="AF48" s="1" t="s">
        <v>379</v>
      </c>
      <c r="AG48" s="169">
        <v>33.653199999999998</v>
      </c>
      <c r="AH48" s="169">
        <f t="shared" si="1"/>
        <v>-17.660000000000053</v>
      </c>
    </row>
    <row r="49" spans="1:34" x14ac:dyDescent="0.3">
      <c r="A49" s="6"/>
      <c r="B49" s="9"/>
      <c r="C49" s="9"/>
      <c r="D49" s="9"/>
      <c r="E49" s="9"/>
      <c r="F49" s="9"/>
      <c r="G49" s="9"/>
      <c r="H49" s="9"/>
      <c r="I49" s="9"/>
      <c r="J49" s="9"/>
      <c r="K49" s="190"/>
      <c r="L49" s="190"/>
      <c r="M49" s="190"/>
      <c r="N49" s="9"/>
      <c r="O49" s="9"/>
      <c r="P49" s="9"/>
      <c r="Q49" s="9"/>
      <c r="R49" s="9"/>
      <c r="S49" s="9"/>
      <c r="T49" s="9"/>
      <c r="U49" s="9"/>
      <c r="V49" s="9"/>
      <c r="W49" s="9"/>
      <c r="X49" s="8"/>
      <c r="Z49" s="1" t="s">
        <v>60</v>
      </c>
      <c r="AA49" s="69">
        <v>-125</v>
      </c>
      <c r="AB49" s="169">
        <v>63.07</v>
      </c>
      <c r="AC49" s="1" t="s">
        <v>36</v>
      </c>
      <c r="AD49" s="1" t="s">
        <v>44</v>
      </c>
      <c r="AE49" s="170">
        <v>43691.848772418984</v>
      </c>
      <c r="AF49" s="1" t="s">
        <v>380</v>
      </c>
      <c r="AG49" s="169">
        <v>63.8825</v>
      </c>
      <c r="AH49" s="169">
        <f t="shared" si="1"/>
        <v>-101.5625</v>
      </c>
    </row>
    <row r="50" spans="1:34" x14ac:dyDescent="0.3">
      <c r="A50" s="6"/>
      <c r="B50" s="9"/>
      <c r="C50" s="9"/>
      <c r="D50" s="9"/>
      <c r="E50" s="9"/>
      <c r="F50" s="9"/>
      <c r="G50" s="9"/>
      <c r="H50" s="9"/>
      <c r="I50" s="9"/>
      <c r="J50" s="9"/>
      <c r="K50" s="190"/>
      <c r="L50" s="190"/>
      <c r="M50" s="190"/>
      <c r="N50" s="9"/>
      <c r="O50" s="9"/>
      <c r="P50" s="9"/>
      <c r="Q50" s="9"/>
      <c r="R50" s="9"/>
      <c r="S50" s="9"/>
      <c r="T50" s="9"/>
      <c r="U50" s="9"/>
      <c r="V50" s="9"/>
      <c r="W50" s="9"/>
      <c r="X50" s="8"/>
      <c r="Z50" s="1" t="s">
        <v>60</v>
      </c>
      <c r="AA50" s="69">
        <v>75</v>
      </c>
      <c r="AB50" s="169">
        <v>63.26</v>
      </c>
      <c r="AC50" s="1" t="s">
        <v>42</v>
      </c>
      <c r="AD50" s="1" t="s">
        <v>44</v>
      </c>
      <c r="AE50" s="170">
        <v>43691.84919148148</v>
      </c>
      <c r="AF50" s="1" t="s">
        <v>381</v>
      </c>
      <c r="AG50" s="169">
        <v>63.8825</v>
      </c>
      <c r="AH50" s="169">
        <f t="shared" si="1"/>
        <v>46.687500000000171</v>
      </c>
    </row>
    <row r="51" spans="1:34" ht="15" thickBot="1" x14ac:dyDescent="0.35">
      <c r="A51" s="10"/>
      <c r="B51" s="11"/>
      <c r="C51" s="11"/>
      <c r="D51" s="11"/>
      <c r="E51" s="11"/>
      <c r="F51" s="11"/>
      <c r="G51" s="11"/>
      <c r="H51" s="11"/>
      <c r="I51" s="11"/>
      <c r="J51" s="11"/>
      <c r="K51" s="34"/>
      <c r="L51" s="34"/>
      <c r="M51" s="34"/>
      <c r="N51" s="11"/>
      <c r="O51" s="11"/>
      <c r="P51" s="11"/>
      <c r="Q51" s="11"/>
      <c r="R51" s="11"/>
      <c r="S51" s="11"/>
      <c r="T51" s="11"/>
      <c r="U51" s="11"/>
      <c r="V51" s="11"/>
      <c r="W51" s="11"/>
      <c r="X51" s="12"/>
      <c r="Z51" s="1" t="s">
        <v>63</v>
      </c>
      <c r="AA51" s="69">
        <v>-225</v>
      </c>
      <c r="AB51" s="169">
        <v>315.08</v>
      </c>
      <c r="AC51" s="1" t="s">
        <v>36</v>
      </c>
      <c r="AD51" s="1" t="s">
        <v>41</v>
      </c>
      <c r="AE51" s="170">
        <v>43692.849120578707</v>
      </c>
      <c r="AF51" s="1" t="s">
        <v>364</v>
      </c>
      <c r="AG51" s="169">
        <v>317.78640000000001</v>
      </c>
      <c r="AH51" s="169">
        <f t="shared" si="1"/>
        <v>-608.94000000000688</v>
      </c>
    </row>
    <row r="52" spans="1:34" x14ac:dyDescent="0.3">
      <c r="Z52" s="1" t="s">
        <v>60</v>
      </c>
      <c r="AA52" s="69">
        <v>-250</v>
      </c>
      <c r="AB52" s="169">
        <v>63.2</v>
      </c>
      <c r="AC52" s="1" t="s">
        <v>36</v>
      </c>
      <c r="AD52" s="1" t="s">
        <v>317</v>
      </c>
      <c r="AE52" s="170">
        <v>43691.761767326389</v>
      </c>
      <c r="AF52" s="1" t="s">
        <v>329</v>
      </c>
      <c r="AG52" s="169">
        <v>63.8825</v>
      </c>
      <c r="AH52" s="169">
        <f t="shared" si="1"/>
        <v>-170.62499999999937</v>
      </c>
    </row>
    <row r="53" spans="1:34" x14ac:dyDescent="0.3">
      <c r="Z53" s="1" t="s">
        <v>63</v>
      </c>
      <c r="AA53" s="69">
        <v>-225</v>
      </c>
      <c r="AB53" s="169">
        <v>315.08</v>
      </c>
      <c r="AC53" s="1" t="s">
        <v>36</v>
      </c>
      <c r="AD53" s="1" t="s">
        <v>41</v>
      </c>
      <c r="AE53" s="170">
        <v>43692.849120578707</v>
      </c>
      <c r="AF53" s="1" t="s">
        <v>364</v>
      </c>
      <c r="AG53" s="169">
        <v>317.78640000000001</v>
      </c>
      <c r="AH53" s="169">
        <f t="shared" si="1"/>
        <v>-608.94000000000688</v>
      </c>
    </row>
    <row r="54" spans="1:34" x14ac:dyDescent="0.3">
      <c r="Z54" s="1" t="s">
        <v>12</v>
      </c>
      <c r="AA54" s="69">
        <v>75</v>
      </c>
      <c r="AB54" s="169">
        <v>1000.1</v>
      </c>
      <c r="AC54" s="1" t="s">
        <v>31</v>
      </c>
      <c r="AD54" s="1" t="s">
        <v>317</v>
      </c>
      <c r="AE54" s="170">
        <v>43692.849996689816</v>
      </c>
      <c r="AF54" s="1" t="s">
        <v>382</v>
      </c>
      <c r="AG54" s="169">
        <v>1011.01</v>
      </c>
      <c r="AH54" s="169">
        <f t="shared" si="1"/>
        <v>818.24999999999761</v>
      </c>
    </row>
    <row r="55" spans="1:34" x14ac:dyDescent="0.3">
      <c r="Z55" s="1" t="s">
        <v>53</v>
      </c>
      <c r="AA55" s="69">
        <v>125</v>
      </c>
      <c r="AB55" s="169">
        <v>24.44</v>
      </c>
      <c r="AC55" s="1" t="s">
        <v>36</v>
      </c>
      <c r="AD55" s="1" t="s">
        <v>44</v>
      </c>
      <c r="AE55" s="170">
        <v>43692.848874965275</v>
      </c>
      <c r="AF55" s="1" t="s">
        <v>383</v>
      </c>
      <c r="AG55" s="169">
        <v>24.664200000000001</v>
      </c>
      <c r="AH55" s="169">
        <f t="shared" si="1"/>
        <v>28.024999999999967</v>
      </c>
    </row>
    <row r="56" spans="1:34" x14ac:dyDescent="0.3">
      <c r="Z56" s="1" t="s">
        <v>61</v>
      </c>
      <c r="AA56" s="69">
        <v>175</v>
      </c>
      <c r="AB56" s="169">
        <v>248.03</v>
      </c>
      <c r="AC56" s="1" t="s">
        <v>42</v>
      </c>
      <c r="AD56" s="1" t="s">
        <v>317</v>
      </c>
      <c r="AE56" s="170">
        <v>43692.761814004632</v>
      </c>
      <c r="AF56" s="1" t="s">
        <v>384</v>
      </c>
      <c r="AG56" s="169">
        <v>251.03550000000001</v>
      </c>
      <c r="AH56" s="169">
        <f t="shared" si="1"/>
        <v>525.96250000000214</v>
      </c>
    </row>
    <row r="57" spans="1:34" x14ac:dyDescent="0.3">
      <c r="Z57" s="1" t="s">
        <v>47</v>
      </c>
      <c r="AA57" s="69">
        <v>-250</v>
      </c>
      <c r="AB57" s="169">
        <v>72.02</v>
      </c>
      <c r="AC57" s="1" t="s">
        <v>42</v>
      </c>
      <c r="AD57" s="1" t="s">
        <v>44</v>
      </c>
      <c r="AE57" s="170">
        <v>43692.849186412037</v>
      </c>
      <c r="AF57" s="1" t="s">
        <v>385</v>
      </c>
      <c r="AG57" s="169">
        <v>72.750299999999996</v>
      </c>
      <c r="AH57" s="169">
        <f t="shared" si="1"/>
        <v>-182.57499999999993</v>
      </c>
    </row>
    <row r="58" spans="1:34" x14ac:dyDescent="0.3">
      <c r="Z58" s="1" t="s">
        <v>63</v>
      </c>
      <c r="AA58" s="69">
        <v>25</v>
      </c>
      <c r="AB58" s="169">
        <v>315.43</v>
      </c>
      <c r="AC58" s="1" t="s">
        <v>31</v>
      </c>
      <c r="AD58" s="1" t="s">
        <v>317</v>
      </c>
      <c r="AE58" s="170">
        <v>43692.849718159719</v>
      </c>
      <c r="AF58" s="1" t="s">
        <v>386</v>
      </c>
      <c r="AG58" s="169">
        <v>317.78640000000001</v>
      </c>
      <c r="AH58" s="169">
        <f t="shared" si="1"/>
        <v>58.910000000000196</v>
      </c>
    </row>
    <row r="59" spans="1:34" x14ac:dyDescent="0.3">
      <c r="Z59" s="1" t="s">
        <v>55</v>
      </c>
      <c r="AA59" s="69">
        <v>250</v>
      </c>
      <c r="AB59" s="169">
        <v>27.38</v>
      </c>
      <c r="AC59" s="1" t="s">
        <v>31</v>
      </c>
      <c r="AD59" s="1" t="s">
        <v>44</v>
      </c>
      <c r="AE59" s="170">
        <v>43692.84892650463</v>
      </c>
      <c r="AF59" s="1" t="s">
        <v>387</v>
      </c>
      <c r="AG59" s="169">
        <v>27.6538</v>
      </c>
      <c r="AH59" s="169">
        <f t="shared" si="1"/>
        <v>68.450000000000344</v>
      </c>
    </row>
    <row r="60" spans="1:34" x14ac:dyDescent="0.3">
      <c r="Z60" s="1" t="s">
        <v>63</v>
      </c>
      <c r="AA60" s="69">
        <v>225</v>
      </c>
      <c r="AB60" s="169">
        <v>314.26</v>
      </c>
      <c r="AC60" s="1" t="s">
        <v>37</v>
      </c>
      <c r="AD60" s="1" t="s">
        <v>44</v>
      </c>
      <c r="AE60" s="170">
        <v>43691.849207939813</v>
      </c>
      <c r="AF60" s="1" t="s">
        <v>388</v>
      </c>
      <c r="AG60" s="169">
        <v>317.78640000000001</v>
      </c>
      <c r="AH60" s="169">
        <f t="shared" si="1"/>
        <v>793.44000000000528</v>
      </c>
    </row>
    <row r="61" spans="1:34" x14ac:dyDescent="0.3">
      <c r="Z61" s="1" t="s">
        <v>54</v>
      </c>
      <c r="AA61" s="69">
        <v>-75</v>
      </c>
      <c r="AB61" s="169">
        <v>89.96</v>
      </c>
      <c r="AC61" s="1" t="s">
        <v>42</v>
      </c>
      <c r="AD61" s="1" t="s">
        <v>41</v>
      </c>
      <c r="AE61" s="170">
        <v>43692.849705497683</v>
      </c>
      <c r="AF61" s="1" t="s">
        <v>389</v>
      </c>
      <c r="AG61" s="169">
        <v>90.829300000000003</v>
      </c>
      <c r="AH61" s="169">
        <f t="shared" si="1"/>
        <v>-65.19750000000073</v>
      </c>
    </row>
    <row r="62" spans="1:34" x14ac:dyDescent="0.3">
      <c r="Z62" s="1" t="s">
        <v>63</v>
      </c>
      <c r="AA62" s="69">
        <v>225</v>
      </c>
      <c r="AB62" s="169">
        <v>315.36</v>
      </c>
      <c r="AC62" s="1" t="s">
        <v>37</v>
      </c>
      <c r="AD62" s="1" t="s">
        <v>317</v>
      </c>
      <c r="AE62" s="170">
        <v>43692.848711701386</v>
      </c>
      <c r="AF62" s="1" t="s">
        <v>347</v>
      </c>
      <c r="AG62" s="169">
        <v>317.78640000000001</v>
      </c>
      <c r="AH62" s="169">
        <f t="shared" si="1"/>
        <v>545.94000000000028</v>
      </c>
    </row>
    <row r="63" spans="1:34" x14ac:dyDescent="0.3">
      <c r="Z63" s="1" t="s">
        <v>62</v>
      </c>
      <c r="AA63" s="69">
        <v>75</v>
      </c>
      <c r="AB63" s="169">
        <v>11.46</v>
      </c>
      <c r="AC63" s="1" t="s">
        <v>36</v>
      </c>
      <c r="AD63" s="1" t="s">
        <v>41</v>
      </c>
      <c r="AE63" s="170">
        <v>43692.849322789349</v>
      </c>
      <c r="AF63" s="1" t="s">
        <v>390</v>
      </c>
      <c r="AG63" s="169">
        <v>11.584700000000002</v>
      </c>
      <c r="AH63" s="169">
        <f t="shared" si="1"/>
        <v>9.3525000000000524</v>
      </c>
    </row>
    <row r="64" spans="1:34" x14ac:dyDescent="0.3">
      <c r="Z64" s="1" t="s">
        <v>62</v>
      </c>
      <c r="AA64" s="69">
        <v>75</v>
      </c>
      <c r="AB64" s="169">
        <v>11.47</v>
      </c>
      <c r="AC64" s="1" t="s">
        <v>36</v>
      </c>
      <c r="AD64" s="1" t="s">
        <v>317</v>
      </c>
      <c r="AE64" s="170">
        <v>43692.849315185187</v>
      </c>
      <c r="AF64" s="1" t="s">
        <v>391</v>
      </c>
      <c r="AG64" s="169">
        <v>11.584700000000002</v>
      </c>
      <c r="AH64" s="169">
        <f t="shared" si="1"/>
        <v>8.6025000000000684</v>
      </c>
    </row>
    <row r="65" spans="26:34" x14ac:dyDescent="0.3">
      <c r="Z65" s="1" t="s">
        <v>53</v>
      </c>
      <c r="AA65" s="69">
        <v>-125</v>
      </c>
      <c r="AB65" s="169">
        <v>24.42</v>
      </c>
      <c r="AC65" s="1" t="s">
        <v>31</v>
      </c>
      <c r="AD65" s="1" t="s">
        <v>317</v>
      </c>
      <c r="AE65" s="170">
        <v>43692.849086388887</v>
      </c>
      <c r="AF65" s="1" t="s">
        <v>327</v>
      </c>
      <c r="AG65" s="169">
        <v>24.664200000000001</v>
      </c>
      <c r="AH65" s="169">
        <f t="shared" si="1"/>
        <v>-30.524999999999913</v>
      </c>
    </row>
    <row r="66" spans="26:34" x14ac:dyDescent="0.3">
      <c r="Z66" s="1" t="s">
        <v>60</v>
      </c>
      <c r="AA66" s="69">
        <v>25</v>
      </c>
      <c r="AB66" s="169">
        <v>63.21</v>
      </c>
      <c r="AC66" s="1" t="s">
        <v>37</v>
      </c>
      <c r="AD66" s="1" t="s">
        <v>41</v>
      </c>
      <c r="AE66" s="170">
        <v>43692.850022002312</v>
      </c>
      <c r="AF66" s="1" t="s">
        <v>392</v>
      </c>
      <c r="AG66" s="169">
        <v>63.8825</v>
      </c>
      <c r="AH66" s="169">
        <f t="shared" si="1"/>
        <v>16.812499999999986</v>
      </c>
    </row>
    <row r="67" spans="26:34" x14ac:dyDescent="0.3">
      <c r="Z67" s="1" t="s">
        <v>63</v>
      </c>
      <c r="AA67" s="69">
        <v>75</v>
      </c>
      <c r="AB67" s="169">
        <v>315.43</v>
      </c>
      <c r="AC67" s="1" t="s">
        <v>36</v>
      </c>
      <c r="AD67" s="1" t="s">
        <v>44</v>
      </c>
      <c r="AE67" s="170">
        <v>43691.849815636575</v>
      </c>
      <c r="AF67" s="1" t="s">
        <v>393</v>
      </c>
      <c r="AG67" s="169">
        <v>317.78640000000001</v>
      </c>
      <c r="AH67" s="169">
        <f t="shared" si="1"/>
        <v>176.73000000000059</v>
      </c>
    </row>
    <row r="68" spans="26:34" x14ac:dyDescent="0.3">
      <c r="Z68" s="1" t="s">
        <v>58</v>
      </c>
      <c r="AA68" s="69">
        <v>-125</v>
      </c>
      <c r="AB68" s="169">
        <v>80.77</v>
      </c>
      <c r="AC68" s="1" t="s">
        <v>31</v>
      </c>
      <c r="AD68" s="1" t="s">
        <v>317</v>
      </c>
      <c r="AE68" s="170">
        <v>43692.8492471875</v>
      </c>
      <c r="AF68" s="1" t="s">
        <v>394</v>
      </c>
      <c r="AG68" s="169">
        <v>81.779700000000005</v>
      </c>
      <c r="AH68" s="169">
        <f t="shared" si="1"/>
        <v>-126.21250000000117</v>
      </c>
    </row>
    <row r="69" spans="26:34" x14ac:dyDescent="0.3">
      <c r="Z69" s="1" t="s">
        <v>65</v>
      </c>
      <c r="AA69" s="69">
        <v>-175</v>
      </c>
      <c r="AB69" s="169">
        <v>30.26</v>
      </c>
      <c r="AC69" s="1" t="s">
        <v>36</v>
      </c>
      <c r="AD69" s="1" t="s">
        <v>317</v>
      </c>
      <c r="AE69" s="170">
        <v>43692.849846030091</v>
      </c>
      <c r="AF69" s="1" t="s">
        <v>395</v>
      </c>
      <c r="AG69" s="169">
        <v>30.603000000000002</v>
      </c>
      <c r="AH69" s="169">
        <f t="shared" si="1"/>
        <v>-60.024999999999991</v>
      </c>
    </row>
    <row r="70" spans="26:34" x14ac:dyDescent="0.3">
      <c r="Z70" s="1" t="s">
        <v>48</v>
      </c>
      <c r="AA70" s="69">
        <v>-150</v>
      </c>
      <c r="AB70" s="169">
        <v>158.12</v>
      </c>
      <c r="AC70" s="1" t="s">
        <v>37</v>
      </c>
      <c r="AD70" s="1" t="s">
        <v>317</v>
      </c>
      <c r="AE70" s="170">
        <v>43692.850052395836</v>
      </c>
      <c r="AF70" s="1" t="s">
        <v>396</v>
      </c>
      <c r="AG70" s="169">
        <v>159.56990000000002</v>
      </c>
      <c r="AH70" s="169">
        <f t="shared" si="1"/>
        <v>-217.48500000000206</v>
      </c>
    </row>
    <row r="71" spans="26:34" x14ac:dyDescent="0.3">
      <c r="Z71" s="1" t="s">
        <v>61</v>
      </c>
      <c r="AA71" s="69">
        <v>-75</v>
      </c>
      <c r="AB71" s="169">
        <v>247.83</v>
      </c>
      <c r="AC71" s="1" t="s">
        <v>37</v>
      </c>
      <c r="AD71" s="1" t="s">
        <v>44</v>
      </c>
      <c r="AE71" s="170">
        <v>43691.848828125003</v>
      </c>
      <c r="AF71" s="1" t="s">
        <v>397</v>
      </c>
      <c r="AG71" s="169">
        <v>251.03550000000001</v>
      </c>
      <c r="AH71" s="169">
        <f t="shared" si="1"/>
        <v>-240.41250000000005</v>
      </c>
    </row>
    <row r="72" spans="26:34" x14ac:dyDescent="0.3">
      <c r="Z72" s="1" t="s">
        <v>60</v>
      </c>
      <c r="AA72" s="69">
        <v>25</v>
      </c>
      <c r="AB72" s="169">
        <v>63.21</v>
      </c>
      <c r="AC72" s="1" t="s">
        <v>37</v>
      </c>
      <c r="AD72" s="1" t="s">
        <v>41</v>
      </c>
      <c r="AE72" s="170">
        <v>43692.850022002312</v>
      </c>
      <c r="AF72" s="1" t="s">
        <v>392</v>
      </c>
      <c r="AG72" s="169">
        <v>63.8825</v>
      </c>
      <c r="AH72" s="169">
        <f t="shared" si="1"/>
        <v>16.812499999999986</v>
      </c>
    </row>
    <row r="73" spans="26:34" x14ac:dyDescent="0.3">
      <c r="Z73" s="1" t="s">
        <v>55</v>
      </c>
      <c r="AA73" s="69">
        <v>-200</v>
      </c>
      <c r="AB73" s="169">
        <v>27.4</v>
      </c>
      <c r="AC73" s="1" t="s">
        <v>37</v>
      </c>
      <c r="AD73" s="1" t="s">
        <v>317</v>
      </c>
      <c r="AE73" s="170">
        <v>43692.848816724538</v>
      </c>
      <c r="AF73" s="1" t="s">
        <v>398</v>
      </c>
      <c r="AG73" s="169">
        <v>27.6538</v>
      </c>
      <c r="AH73" s="169">
        <f t="shared" si="1"/>
        <v>-50.76000000000036</v>
      </c>
    </row>
    <row r="74" spans="26:34" x14ac:dyDescent="0.3">
      <c r="Z74" s="1" t="s">
        <v>65</v>
      </c>
      <c r="AA74" s="69">
        <v>-125</v>
      </c>
      <c r="AB74" s="169">
        <v>30.26</v>
      </c>
      <c r="AC74" s="1" t="s">
        <v>42</v>
      </c>
      <c r="AD74" s="1" t="s">
        <v>44</v>
      </c>
      <c r="AE74" s="170">
        <v>43691.849821967589</v>
      </c>
      <c r="AF74" s="1" t="s">
        <v>399</v>
      </c>
      <c r="AG74" s="169">
        <v>30.603000000000002</v>
      </c>
      <c r="AH74" s="169">
        <f t="shared" si="1"/>
        <v>-42.875</v>
      </c>
    </row>
    <row r="75" spans="26:34" x14ac:dyDescent="0.3">
      <c r="Z75" s="1" t="s">
        <v>47</v>
      </c>
      <c r="AA75" s="69">
        <v>75</v>
      </c>
      <c r="AB75" s="169">
        <v>71.819999999999993</v>
      </c>
      <c r="AC75" s="1" t="s">
        <v>37</v>
      </c>
      <c r="AD75" s="1" t="s">
        <v>41</v>
      </c>
      <c r="AE75" s="170">
        <v>43692.849324409719</v>
      </c>
      <c r="AF75" s="1" t="s">
        <v>400</v>
      </c>
      <c r="AG75" s="169">
        <v>72.750299999999996</v>
      </c>
      <c r="AH75" s="169">
        <f t="shared" si="1"/>
        <v>69.772500000000193</v>
      </c>
    </row>
    <row r="76" spans="26:34" x14ac:dyDescent="0.3">
      <c r="Z76" s="1" t="s">
        <v>60</v>
      </c>
      <c r="AA76" s="69">
        <v>100</v>
      </c>
      <c r="AB76" s="169">
        <v>63.18</v>
      </c>
      <c r="AC76" s="1" t="s">
        <v>37</v>
      </c>
      <c r="AD76" s="1" t="s">
        <v>44</v>
      </c>
      <c r="AE76" s="170">
        <v>43692.848730694444</v>
      </c>
      <c r="AF76" s="1" t="s">
        <v>401</v>
      </c>
      <c r="AG76" s="169">
        <v>63.8825</v>
      </c>
      <c r="AH76" s="169">
        <f t="shared" si="1"/>
        <v>70.250000000000057</v>
      </c>
    </row>
    <row r="77" spans="26:34" x14ac:dyDescent="0.3">
      <c r="Z77" s="1" t="s">
        <v>54</v>
      </c>
      <c r="AA77" s="69">
        <v>250</v>
      </c>
      <c r="AB77" s="169">
        <v>89.93</v>
      </c>
      <c r="AC77" s="1" t="s">
        <v>42</v>
      </c>
      <c r="AD77" s="1" t="s">
        <v>44</v>
      </c>
      <c r="AE77" s="170">
        <v>43692.849210462962</v>
      </c>
      <c r="AF77" s="1" t="s">
        <v>402</v>
      </c>
      <c r="AG77" s="169">
        <v>90.829300000000003</v>
      </c>
      <c r="AH77" s="169">
        <f t="shared" si="1"/>
        <v>224.82499999999916</v>
      </c>
    </row>
    <row r="78" spans="26:34" x14ac:dyDescent="0.3">
      <c r="Z78" s="1" t="s">
        <v>7</v>
      </c>
      <c r="AA78" s="69">
        <v>-100</v>
      </c>
      <c r="AB78" s="169">
        <v>148.91</v>
      </c>
      <c r="AC78" s="1" t="s">
        <v>42</v>
      </c>
      <c r="AD78" s="1" t="s">
        <v>44</v>
      </c>
      <c r="AE78" s="170">
        <v>43692.849288969905</v>
      </c>
      <c r="AF78" s="1" t="s">
        <v>403</v>
      </c>
      <c r="AG78" s="169">
        <v>150.73240000000001</v>
      </c>
      <c r="AH78" s="169">
        <f t="shared" si="1"/>
        <v>-182.2400000000016</v>
      </c>
    </row>
    <row r="79" spans="26:34" x14ac:dyDescent="0.3">
      <c r="Z79" s="1" t="s">
        <v>56</v>
      </c>
      <c r="AA79" s="69">
        <v>225</v>
      </c>
      <c r="AB79" s="169">
        <v>50.25</v>
      </c>
      <c r="AC79" s="1" t="s">
        <v>31</v>
      </c>
      <c r="AD79" s="1" t="s">
        <v>44</v>
      </c>
      <c r="AE79" s="170">
        <v>43692.849054745369</v>
      </c>
      <c r="AF79" s="1" t="s">
        <v>404</v>
      </c>
      <c r="AG79" s="169">
        <v>50.752499999999998</v>
      </c>
      <c r="AH79" s="169">
        <f t="shared" si="1"/>
        <v>113.06249999999949</v>
      </c>
    </row>
    <row r="80" spans="26:34" x14ac:dyDescent="0.3">
      <c r="Z80" s="1" t="s">
        <v>64</v>
      </c>
      <c r="AA80" s="69">
        <v>-150</v>
      </c>
      <c r="AB80" s="169">
        <v>42.95</v>
      </c>
      <c r="AC80" s="1" t="s">
        <v>42</v>
      </c>
      <c r="AD80" s="1" t="s">
        <v>317</v>
      </c>
      <c r="AE80" s="170">
        <v>43691.761753460647</v>
      </c>
      <c r="AF80" s="1" t="s">
        <v>405</v>
      </c>
      <c r="AG80" s="169">
        <v>43.389600000000002</v>
      </c>
      <c r="AH80" s="169">
        <f t="shared" si="1"/>
        <v>-65.939999999999799</v>
      </c>
    </row>
    <row r="81" spans="26:34" x14ac:dyDescent="0.3">
      <c r="Z81" s="1" t="s">
        <v>7</v>
      </c>
      <c r="AA81" s="69">
        <v>200</v>
      </c>
      <c r="AB81" s="169">
        <v>148.76</v>
      </c>
      <c r="AC81" s="1" t="s">
        <v>36</v>
      </c>
      <c r="AD81" s="1" t="s">
        <v>317</v>
      </c>
      <c r="AE81" s="170">
        <v>43692.849205405095</v>
      </c>
      <c r="AF81" s="1" t="s">
        <v>371</v>
      </c>
      <c r="AG81" s="169">
        <v>150.73240000000001</v>
      </c>
      <c r="AH81" s="169">
        <f t="shared" si="1"/>
        <v>394.48000000000434</v>
      </c>
    </row>
    <row r="82" spans="26:34" x14ac:dyDescent="0.3">
      <c r="Z82" s="1" t="s">
        <v>61</v>
      </c>
      <c r="AA82" s="69">
        <v>-125</v>
      </c>
      <c r="AB82" s="169">
        <v>248.13</v>
      </c>
      <c r="AC82" s="1" t="s">
        <v>37</v>
      </c>
      <c r="AD82" s="1" t="s">
        <v>41</v>
      </c>
      <c r="AE82" s="170">
        <v>43692.851208298613</v>
      </c>
      <c r="AF82" s="1" t="s">
        <v>406</v>
      </c>
      <c r="AG82" s="169">
        <v>251.03550000000001</v>
      </c>
      <c r="AH82" s="169">
        <f t="shared" si="1"/>
        <v>-363.18750000000222</v>
      </c>
    </row>
    <row r="83" spans="26:34" x14ac:dyDescent="0.3">
      <c r="Z83" s="1" t="s">
        <v>59</v>
      </c>
      <c r="AA83" s="69">
        <v>-25</v>
      </c>
      <c r="AB83" s="169">
        <v>16.649999999999999</v>
      </c>
      <c r="AC83" s="1" t="s">
        <v>37</v>
      </c>
      <c r="AD83" s="1" t="s">
        <v>317</v>
      </c>
      <c r="AE83" s="170">
        <v>43692.8491281713</v>
      </c>
      <c r="AF83" s="1" t="s">
        <v>407</v>
      </c>
      <c r="AG83" s="169">
        <v>16.826599999999999</v>
      </c>
      <c r="AH83" s="169">
        <f t="shared" si="1"/>
        <v>-4.4150000000000134</v>
      </c>
    </row>
    <row r="84" spans="26:34" x14ac:dyDescent="0.3">
      <c r="Z84" s="1" t="s">
        <v>62</v>
      </c>
      <c r="AA84" s="69">
        <v>-100</v>
      </c>
      <c r="AB84" s="169">
        <v>11.46</v>
      </c>
      <c r="AC84" s="1" t="s">
        <v>36</v>
      </c>
      <c r="AD84" s="1" t="s">
        <v>41</v>
      </c>
      <c r="AE84" s="170">
        <v>43691.848847106485</v>
      </c>
      <c r="AF84" s="1" t="s">
        <v>408</v>
      </c>
      <c r="AG84" s="169">
        <v>11.584700000000002</v>
      </c>
      <c r="AH84" s="169">
        <f t="shared" si="1"/>
        <v>-12.47000000000007</v>
      </c>
    </row>
    <row r="85" spans="26:34" x14ac:dyDescent="0.3">
      <c r="Z85" s="1" t="s">
        <v>62</v>
      </c>
      <c r="AA85" s="69">
        <v>-150</v>
      </c>
      <c r="AB85" s="169">
        <v>11.46</v>
      </c>
      <c r="AC85" s="1" t="s">
        <v>42</v>
      </c>
      <c r="AD85" s="1" t="s">
        <v>44</v>
      </c>
      <c r="AE85" s="170">
        <v>43692.850196631945</v>
      </c>
      <c r="AF85" s="1" t="s">
        <v>357</v>
      </c>
      <c r="AG85" s="169">
        <v>11.584700000000002</v>
      </c>
      <c r="AH85" s="169">
        <f t="shared" si="1"/>
        <v>-18.705000000000105</v>
      </c>
    </row>
    <row r="86" spans="26:34" x14ac:dyDescent="0.3">
      <c r="Z86" s="1" t="s">
        <v>15</v>
      </c>
      <c r="AA86" s="69">
        <v>75</v>
      </c>
      <c r="AB86" s="169">
        <v>157.69999999999999</v>
      </c>
      <c r="AC86" s="1" t="s">
        <v>37</v>
      </c>
      <c r="AD86" s="1" t="s">
        <v>317</v>
      </c>
      <c r="AE86" s="170">
        <v>43692.849119317128</v>
      </c>
      <c r="AF86" s="1" t="s">
        <v>318</v>
      </c>
      <c r="AG86" s="169">
        <v>159.83250000000001</v>
      </c>
      <c r="AH86" s="169">
        <f t="shared" si="1"/>
        <v>159.93750000000162</v>
      </c>
    </row>
    <row r="87" spans="26:34" x14ac:dyDescent="0.3">
      <c r="Z87" s="1" t="s">
        <v>56</v>
      </c>
      <c r="AA87" s="69">
        <v>-25</v>
      </c>
      <c r="AB87" s="169">
        <v>50.39</v>
      </c>
      <c r="AC87" s="1" t="s">
        <v>42</v>
      </c>
      <c r="AD87" s="1" t="s">
        <v>317</v>
      </c>
      <c r="AE87" s="170">
        <v>43692.848748391203</v>
      </c>
      <c r="AF87" s="1" t="s">
        <v>409</v>
      </c>
      <c r="AG87" s="169">
        <v>50.752499999999998</v>
      </c>
      <c r="AH87" s="169">
        <f t="shared" si="1"/>
        <v>-9.0624999999999289</v>
      </c>
    </row>
    <row r="88" spans="26:34" x14ac:dyDescent="0.3">
      <c r="Z88" s="1" t="s">
        <v>12</v>
      </c>
      <c r="AA88" s="69">
        <v>-75</v>
      </c>
      <c r="AB88" s="169">
        <v>1002.4</v>
      </c>
      <c r="AC88" s="1" t="s">
        <v>31</v>
      </c>
      <c r="AD88" s="1" t="s">
        <v>317</v>
      </c>
      <c r="AE88" s="170">
        <v>43692.761749768521</v>
      </c>
      <c r="AF88" s="1" t="s">
        <v>410</v>
      </c>
      <c r="AG88" s="169">
        <v>1011.01</v>
      </c>
      <c r="AH88" s="169">
        <f t="shared" si="1"/>
        <v>-645.75000000000102</v>
      </c>
    </row>
    <row r="89" spans="26:34" x14ac:dyDescent="0.3">
      <c r="Z89" s="1" t="s">
        <v>64</v>
      </c>
      <c r="AA89" s="69">
        <v>75</v>
      </c>
      <c r="AB89" s="169">
        <v>42.96</v>
      </c>
      <c r="AC89" s="1" t="s">
        <v>36</v>
      </c>
      <c r="AD89" s="1" t="s">
        <v>41</v>
      </c>
      <c r="AE89" s="170">
        <v>43692.761908043984</v>
      </c>
      <c r="AF89" s="1" t="s">
        <v>359</v>
      </c>
      <c r="AG89" s="169">
        <v>43.389600000000002</v>
      </c>
      <c r="AH89" s="169">
        <f t="shared" si="1"/>
        <v>32.220000000000049</v>
      </c>
    </row>
    <row r="90" spans="26:34" x14ac:dyDescent="0.3">
      <c r="Z90" s="1" t="s">
        <v>54</v>
      </c>
      <c r="AA90" s="69">
        <v>-175</v>
      </c>
      <c r="AB90" s="169">
        <v>90.08</v>
      </c>
      <c r="AC90" s="1" t="s">
        <v>42</v>
      </c>
      <c r="AD90" s="1" t="s">
        <v>317</v>
      </c>
      <c r="AE90" s="170">
        <v>43692.84932947917</v>
      </c>
      <c r="AF90" s="1" t="s">
        <v>375</v>
      </c>
      <c r="AG90" s="169">
        <v>90.829300000000003</v>
      </c>
      <c r="AH90" s="169">
        <f t="shared" si="1"/>
        <v>-131.12750000000091</v>
      </c>
    </row>
    <row r="91" spans="26:34" x14ac:dyDescent="0.3">
      <c r="Z91" s="1" t="s">
        <v>57</v>
      </c>
      <c r="AA91" s="69">
        <v>-100</v>
      </c>
      <c r="AB91" s="169">
        <v>10.01</v>
      </c>
      <c r="AC91" s="1" t="s">
        <v>37</v>
      </c>
      <c r="AD91" s="1" t="s">
        <v>44</v>
      </c>
      <c r="AE91" s="170">
        <v>43692.848891423608</v>
      </c>
      <c r="AF91" s="1" t="s">
        <v>411</v>
      </c>
      <c r="AG91" s="169">
        <v>10.0899</v>
      </c>
      <c r="AH91" s="169">
        <f t="shared" si="1"/>
        <v>-7.9900000000000304</v>
      </c>
    </row>
    <row r="92" spans="26:34" x14ac:dyDescent="0.3">
      <c r="Z92" s="1" t="s">
        <v>60</v>
      </c>
      <c r="AA92" s="69">
        <v>-250</v>
      </c>
      <c r="AB92" s="169">
        <v>63.2</v>
      </c>
      <c r="AC92" s="1" t="s">
        <v>36</v>
      </c>
      <c r="AD92" s="1" t="s">
        <v>317</v>
      </c>
      <c r="AE92" s="170">
        <v>43692.761767326389</v>
      </c>
      <c r="AF92" s="1" t="s">
        <v>329</v>
      </c>
      <c r="AG92" s="169">
        <v>63.8825</v>
      </c>
      <c r="AH92" s="169">
        <f t="shared" si="1"/>
        <v>-170.62499999999937</v>
      </c>
    </row>
    <row r="93" spans="26:34" x14ac:dyDescent="0.3">
      <c r="Z93" s="1" t="s">
        <v>57</v>
      </c>
      <c r="AA93" s="69">
        <v>-225</v>
      </c>
      <c r="AB93" s="169">
        <v>10.01</v>
      </c>
      <c r="AC93" s="1" t="s">
        <v>42</v>
      </c>
      <c r="AD93" s="1" t="s">
        <v>317</v>
      </c>
      <c r="AE93" s="170">
        <v>43692.848931759261</v>
      </c>
      <c r="AF93" s="1" t="s">
        <v>412</v>
      </c>
      <c r="AG93" s="169">
        <v>10.0899</v>
      </c>
      <c r="AH93" s="169">
        <f t="shared" si="1"/>
        <v>-17.97750000000007</v>
      </c>
    </row>
    <row r="94" spans="26:34" x14ac:dyDescent="0.3">
      <c r="Z94" s="1" t="s">
        <v>15</v>
      </c>
      <c r="AA94" s="69">
        <v>25</v>
      </c>
      <c r="AB94" s="169">
        <v>157.94</v>
      </c>
      <c r="AC94" s="1" t="s">
        <v>36</v>
      </c>
      <c r="AD94" s="1" t="s">
        <v>41</v>
      </c>
      <c r="AE94" s="170">
        <v>43692.761705821758</v>
      </c>
      <c r="AF94" s="1" t="s">
        <v>413</v>
      </c>
      <c r="AG94" s="169">
        <v>159.83250000000001</v>
      </c>
      <c r="AH94" s="169">
        <f t="shared" si="1"/>
        <v>47.312500000000313</v>
      </c>
    </row>
    <row r="95" spans="26:34" x14ac:dyDescent="0.3">
      <c r="Z95" s="1" t="s">
        <v>59</v>
      </c>
      <c r="AA95" s="69">
        <v>250</v>
      </c>
      <c r="AB95" s="169">
        <v>16.64</v>
      </c>
      <c r="AC95" s="1" t="s">
        <v>36</v>
      </c>
      <c r="AD95" s="1" t="s">
        <v>44</v>
      </c>
      <c r="AE95" s="170">
        <v>43692.848796469909</v>
      </c>
      <c r="AF95" s="1" t="s">
        <v>414</v>
      </c>
      <c r="AG95" s="169">
        <v>16.826599999999999</v>
      </c>
      <c r="AH95" s="169">
        <f t="shared" si="1"/>
        <v>46.649999999999636</v>
      </c>
    </row>
    <row r="96" spans="26:34" x14ac:dyDescent="0.3">
      <c r="Z96" s="1" t="s">
        <v>64</v>
      </c>
      <c r="AA96" s="69">
        <v>200</v>
      </c>
      <c r="AB96" s="169">
        <v>43.07</v>
      </c>
      <c r="AC96" s="1" t="s">
        <v>37</v>
      </c>
      <c r="AD96" s="1" t="s">
        <v>41</v>
      </c>
      <c r="AE96" s="170">
        <v>43692.849362395835</v>
      </c>
      <c r="AF96" s="1" t="s">
        <v>415</v>
      </c>
      <c r="AG96" s="169">
        <v>43.389600000000002</v>
      </c>
      <c r="AH96" s="169">
        <f t="shared" ref="AH96:AH125" si="2">(AG96-AB96)*AA96</f>
        <v>63.920000000000243</v>
      </c>
    </row>
    <row r="97" spans="26:34" x14ac:dyDescent="0.3">
      <c r="Z97" s="1" t="s">
        <v>57</v>
      </c>
      <c r="AA97" s="69">
        <v>-225</v>
      </c>
      <c r="AB97" s="169">
        <v>10</v>
      </c>
      <c r="AC97" s="1" t="s">
        <v>37</v>
      </c>
      <c r="AD97" s="1" t="s">
        <v>44</v>
      </c>
      <c r="AE97" s="170">
        <v>43692.761807546296</v>
      </c>
      <c r="AF97" s="1" t="s">
        <v>416</v>
      </c>
      <c r="AG97" s="169">
        <v>10.0899</v>
      </c>
      <c r="AH97" s="169">
        <f t="shared" si="2"/>
        <v>-20.22750000000002</v>
      </c>
    </row>
    <row r="98" spans="26:34" x14ac:dyDescent="0.3">
      <c r="Z98" s="1" t="s">
        <v>48</v>
      </c>
      <c r="AA98" s="69">
        <v>-175</v>
      </c>
      <c r="AB98" s="169">
        <v>158.4</v>
      </c>
      <c r="AC98" s="1" t="s">
        <v>31</v>
      </c>
      <c r="AD98" s="1" t="s">
        <v>317</v>
      </c>
      <c r="AE98" s="170">
        <v>43691.850066319443</v>
      </c>
      <c r="AF98" s="1" t="s">
        <v>417</v>
      </c>
      <c r="AG98" s="169">
        <v>159.56990000000002</v>
      </c>
      <c r="AH98" s="169">
        <f t="shared" si="2"/>
        <v>-204.7325000000022</v>
      </c>
    </row>
    <row r="99" spans="26:34" x14ac:dyDescent="0.3">
      <c r="Z99" s="1" t="s">
        <v>15</v>
      </c>
      <c r="AA99" s="69">
        <v>175</v>
      </c>
      <c r="AB99" s="169">
        <v>158.05000000000001</v>
      </c>
      <c r="AC99" s="1" t="s">
        <v>42</v>
      </c>
      <c r="AD99" s="1" t="s">
        <v>44</v>
      </c>
      <c r="AE99" s="170">
        <v>43692.848834456017</v>
      </c>
      <c r="AF99" s="1" t="s">
        <v>418</v>
      </c>
      <c r="AG99" s="169">
        <v>159.83250000000001</v>
      </c>
      <c r="AH99" s="169">
        <f t="shared" si="2"/>
        <v>311.93749999999977</v>
      </c>
    </row>
    <row r="100" spans="26:34" x14ac:dyDescent="0.3">
      <c r="Z100" s="1" t="s">
        <v>15</v>
      </c>
      <c r="AA100" s="69">
        <v>-225</v>
      </c>
      <c r="AB100" s="169">
        <v>158.16</v>
      </c>
      <c r="AC100" s="1" t="s">
        <v>31</v>
      </c>
      <c r="AD100" s="1" t="s">
        <v>44</v>
      </c>
      <c r="AE100" s="170">
        <v>43692.849169594905</v>
      </c>
      <c r="AF100" s="1" t="s">
        <v>419</v>
      </c>
      <c r="AG100" s="169">
        <v>159.83250000000001</v>
      </c>
      <c r="AH100" s="169">
        <f t="shared" si="2"/>
        <v>-376.31250000000307</v>
      </c>
    </row>
    <row r="101" spans="26:34" x14ac:dyDescent="0.3">
      <c r="Z101" s="1" t="s">
        <v>56</v>
      </c>
      <c r="AA101" s="69">
        <v>-100</v>
      </c>
      <c r="AB101" s="169">
        <v>50.38</v>
      </c>
      <c r="AC101" s="1" t="s">
        <v>36</v>
      </c>
      <c r="AD101" s="1" t="s">
        <v>41</v>
      </c>
      <c r="AE101" s="170">
        <v>43692.849220601849</v>
      </c>
      <c r="AF101" s="1" t="s">
        <v>420</v>
      </c>
      <c r="AG101" s="169">
        <v>50.752499999999998</v>
      </c>
      <c r="AH101" s="169">
        <f t="shared" si="2"/>
        <v>-37.249999999999517</v>
      </c>
    </row>
    <row r="102" spans="26:34" x14ac:dyDescent="0.3">
      <c r="Z102" s="1" t="s">
        <v>65</v>
      </c>
      <c r="AA102" s="69">
        <v>-200</v>
      </c>
      <c r="AB102" s="169">
        <v>30.31</v>
      </c>
      <c r="AC102" s="1" t="s">
        <v>31</v>
      </c>
      <c r="AD102" s="1" t="s">
        <v>317</v>
      </c>
      <c r="AE102" s="170">
        <v>43692.761691944441</v>
      </c>
      <c r="AF102" s="1" t="s">
        <v>421</v>
      </c>
      <c r="AG102" s="169">
        <v>30.603000000000002</v>
      </c>
      <c r="AH102" s="169">
        <f t="shared" si="2"/>
        <v>-58.600000000000563</v>
      </c>
    </row>
    <row r="103" spans="26:34" x14ac:dyDescent="0.3">
      <c r="Z103" s="1" t="s">
        <v>40</v>
      </c>
      <c r="AA103" s="69">
        <v>150</v>
      </c>
      <c r="AB103" s="169">
        <v>33.36</v>
      </c>
      <c r="AC103" s="1" t="s">
        <v>36</v>
      </c>
      <c r="AD103" s="1" t="s">
        <v>41</v>
      </c>
      <c r="AE103" s="170">
        <v>43692.761699560186</v>
      </c>
      <c r="AF103" s="1" t="s">
        <v>422</v>
      </c>
      <c r="AG103" s="169">
        <v>33.653199999999998</v>
      </c>
      <c r="AH103" s="169">
        <f t="shared" si="2"/>
        <v>43.979999999999819</v>
      </c>
    </row>
    <row r="104" spans="26:34" x14ac:dyDescent="0.3">
      <c r="Z104" s="1" t="s">
        <v>56</v>
      </c>
      <c r="AA104" s="69">
        <v>100</v>
      </c>
      <c r="AB104" s="169">
        <v>50.31</v>
      </c>
      <c r="AC104" s="1" t="s">
        <v>42</v>
      </c>
      <c r="AD104" s="1" t="s">
        <v>41</v>
      </c>
      <c r="AE104" s="170">
        <v>43692.848806412039</v>
      </c>
      <c r="AF104" s="1" t="s">
        <v>423</v>
      </c>
      <c r="AG104" s="169">
        <v>50.752499999999998</v>
      </c>
      <c r="AH104" s="169">
        <f t="shared" si="2"/>
        <v>44.249999999999545</v>
      </c>
    </row>
    <row r="105" spans="26:34" x14ac:dyDescent="0.3">
      <c r="Z105" s="1" t="s">
        <v>63</v>
      </c>
      <c r="AA105" s="69">
        <v>75</v>
      </c>
      <c r="AB105" s="169">
        <v>314.7</v>
      </c>
      <c r="AC105" s="1" t="s">
        <v>31</v>
      </c>
      <c r="AD105" s="1" t="s">
        <v>44</v>
      </c>
      <c r="AE105" s="170">
        <v>43692.849777662035</v>
      </c>
      <c r="AF105" s="1" t="s">
        <v>424</v>
      </c>
      <c r="AG105" s="169">
        <v>317.78640000000001</v>
      </c>
      <c r="AH105" s="169">
        <f t="shared" si="2"/>
        <v>231.48000000000195</v>
      </c>
    </row>
    <row r="106" spans="26:34" x14ac:dyDescent="0.3">
      <c r="Z106" s="1" t="s">
        <v>61</v>
      </c>
      <c r="AA106" s="69">
        <v>225</v>
      </c>
      <c r="AB106" s="169">
        <v>247.85</v>
      </c>
      <c r="AC106" s="1" t="s">
        <v>36</v>
      </c>
      <c r="AD106" s="1" t="s">
        <v>41</v>
      </c>
      <c r="AE106" s="170">
        <v>43692.849953645833</v>
      </c>
      <c r="AF106" s="1" t="s">
        <v>425</v>
      </c>
      <c r="AG106" s="169">
        <v>251.03550000000001</v>
      </c>
      <c r="AH106" s="169">
        <f t="shared" si="2"/>
        <v>716.73750000000427</v>
      </c>
    </row>
    <row r="107" spans="26:34" x14ac:dyDescent="0.3">
      <c r="Z107" s="1" t="s">
        <v>59</v>
      </c>
      <c r="AA107" s="69">
        <v>75</v>
      </c>
      <c r="AB107" s="169">
        <v>16.61</v>
      </c>
      <c r="AC107" s="1" t="s">
        <v>37</v>
      </c>
      <c r="AD107" s="1" t="s">
        <v>317</v>
      </c>
      <c r="AE107" s="170">
        <v>43691.849235787035</v>
      </c>
      <c r="AF107" s="1" t="s">
        <v>426</v>
      </c>
      <c r="AG107" s="169">
        <v>16.826599999999999</v>
      </c>
      <c r="AH107" s="169">
        <f t="shared" si="2"/>
        <v>16.244999999999976</v>
      </c>
    </row>
    <row r="108" spans="26:34" x14ac:dyDescent="0.3">
      <c r="Z108" s="1" t="s">
        <v>54</v>
      </c>
      <c r="AA108" s="69">
        <v>250</v>
      </c>
      <c r="AB108" s="169">
        <v>89.87</v>
      </c>
      <c r="AC108" s="1" t="s">
        <v>31</v>
      </c>
      <c r="AD108" s="1" t="s">
        <v>41</v>
      </c>
      <c r="AE108" s="170">
        <v>43692.849197812502</v>
      </c>
      <c r="AF108" s="1" t="s">
        <v>427</v>
      </c>
      <c r="AG108" s="169">
        <v>90.829300000000003</v>
      </c>
      <c r="AH108" s="169">
        <f t="shared" si="2"/>
        <v>239.82499999999973</v>
      </c>
    </row>
    <row r="109" spans="26:34" x14ac:dyDescent="0.3">
      <c r="Z109" s="1" t="s">
        <v>62</v>
      </c>
      <c r="AA109" s="69">
        <v>225</v>
      </c>
      <c r="AB109" s="169">
        <v>11.5</v>
      </c>
      <c r="AC109" s="1" t="s">
        <v>37</v>
      </c>
      <c r="AD109" s="1" t="s">
        <v>317</v>
      </c>
      <c r="AE109" s="170">
        <v>43692.849333275466</v>
      </c>
      <c r="AF109" s="1" t="s">
        <v>428</v>
      </c>
      <c r="AG109" s="169">
        <v>11.584700000000002</v>
      </c>
      <c r="AH109" s="169">
        <f t="shared" si="2"/>
        <v>19.057500000000349</v>
      </c>
    </row>
    <row r="110" spans="26:34" x14ac:dyDescent="0.3">
      <c r="Z110" s="1" t="s">
        <v>48</v>
      </c>
      <c r="AA110" s="69">
        <v>-150</v>
      </c>
      <c r="AB110" s="169">
        <v>158.12</v>
      </c>
      <c r="AC110" s="1" t="s">
        <v>37</v>
      </c>
      <c r="AD110" s="1" t="s">
        <v>317</v>
      </c>
      <c r="AE110" s="170">
        <v>43692.850052395836</v>
      </c>
      <c r="AF110" s="1" t="s">
        <v>396</v>
      </c>
      <c r="AG110" s="169">
        <v>159.56990000000002</v>
      </c>
      <c r="AH110" s="169">
        <f t="shared" si="2"/>
        <v>-217.48500000000206</v>
      </c>
    </row>
    <row r="111" spans="26:34" x14ac:dyDescent="0.3">
      <c r="Z111" s="1" t="s">
        <v>54</v>
      </c>
      <c r="AA111" s="69">
        <v>-50</v>
      </c>
      <c r="AB111" s="169">
        <v>89.93</v>
      </c>
      <c r="AC111" s="1" t="s">
        <v>37</v>
      </c>
      <c r="AD111" s="1" t="s">
        <v>41</v>
      </c>
      <c r="AE111" s="170">
        <v>43692.848986377314</v>
      </c>
      <c r="AF111" s="1" t="s">
        <v>429</v>
      </c>
      <c r="AG111" s="169">
        <v>90.829300000000003</v>
      </c>
      <c r="AH111" s="169">
        <f t="shared" si="2"/>
        <v>-44.964999999999833</v>
      </c>
    </row>
    <row r="112" spans="26:34" x14ac:dyDescent="0.3">
      <c r="Z112" s="1" t="s">
        <v>15</v>
      </c>
      <c r="AA112" s="69">
        <v>125</v>
      </c>
      <c r="AB112" s="169">
        <v>158.08000000000001</v>
      </c>
      <c r="AC112" s="1" t="s">
        <v>36</v>
      </c>
      <c r="AD112" s="1" t="s">
        <v>317</v>
      </c>
      <c r="AE112" s="170">
        <v>43692.84886953704</v>
      </c>
      <c r="AF112" s="1" t="s">
        <v>430</v>
      </c>
      <c r="AG112" s="169">
        <v>159.83250000000001</v>
      </c>
      <c r="AH112" s="169">
        <f t="shared" si="2"/>
        <v>219.06249999999972</v>
      </c>
    </row>
    <row r="113" spans="26:34" x14ac:dyDescent="0.3">
      <c r="Z113" s="1" t="s">
        <v>63</v>
      </c>
      <c r="AA113" s="69">
        <v>-75</v>
      </c>
      <c r="AB113" s="169">
        <v>315.08</v>
      </c>
      <c r="AC113" s="1" t="s">
        <v>31</v>
      </c>
      <c r="AD113" s="1" t="s">
        <v>317</v>
      </c>
      <c r="AE113" s="170">
        <v>43691.849337071762</v>
      </c>
      <c r="AF113" s="1" t="s">
        <v>431</v>
      </c>
      <c r="AG113" s="169">
        <v>317.78640000000001</v>
      </c>
      <c r="AH113" s="169">
        <f t="shared" si="2"/>
        <v>-202.98000000000229</v>
      </c>
    </row>
    <row r="114" spans="26:34" x14ac:dyDescent="0.3">
      <c r="Z114" s="1" t="s">
        <v>53</v>
      </c>
      <c r="AA114" s="69">
        <v>100</v>
      </c>
      <c r="AB114" s="169">
        <v>24.41</v>
      </c>
      <c r="AC114" s="1" t="s">
        <v>31</v>
      </c>
      <c r="AD114" s="1" t="s">
        <v>44</v>
      </c>
      <c r="AE114" s="170">
        <v>43691.848969918981</v>
      </c>
      <c r="AF114" s="1" t="s">
        <v>432</v>
      </c>
      <c r="AG114" s="169">
        <v>24.664200000000001</v>
      </c>
      <c r="AH114" s="169">
        <f t="shared" si="2"/>
        <v>25.420000000000087</v>
      </c>
    </row>
    <row r="115" spans="26:34" x14ac:dyDescent="0.3">
      <c r="Z115" s="1" t="s">
        <v>57</v>
      </c>
      <c r="AA115" s="69">
        <v>-200</v>
      </c>
      <c r="AB115" s="169">
        <v>9.99</v>
      </c>
      <c r="AC115" s="1" t="s">
        <v>36</v>
      </c>
      <c r="AD115" s="1" t="s">
        <v>317</v>
      </c>
      <c r="AE115" s="170">
        <v>43692.849928321761</v>
      </c>
      <c r="AF115" s="1" t="s">
        <v>433</v>
      </c>
      <c r="AG115" s="169">
        <v>10.0899</v>
      </c>
      <c r="AH115" s="169">
        <f t="shared" si="2"/>
        <v>-19.979999999999976</v>
      </c>
    </row>
    <row r="116" spans="26:34" x14ac:dyDescent="0.3">
      <c r="Z116" s="1" t="s">
        <v>40</v>
      </c>
      <c r="AA116" s="69">
        <v>-50</v>
      </c>
      <c r="AB116" s="169">
        <v>33.299999999999997</v>
      </c>
      <c r="AC116" s="1" t="s">
        <v>42</v>
      </c>
      <c r="AD116" s="1" t="s">
        <v>44</v>
      </c>
      <c r="AE116" s="170">
        <v>43692.761617037038</v>
      </c>
      <c r="AF116" s="1" t="s">
        <v>379</v>
      </c>
      <c r="AG116" s="169">
        <v>33.653199999999998</v>
      </c>
      <c r="AH116" s="169">
        <f t="shared" si="2"/>
        <v>-17.660000000000053</v>
      </c>
    </row>
    <row r="117" spans="26:34" x14ac:dyDescent="0.3">
      <c r="Z117" s="1" t="s">
        <v>64</v>
      </c>
      <c r="AA117" s="69">
        <v>200</v>
      </c>
      <c r="AB117" s="169">
        <v>43.07</v>
      </c>
      <c r="AC117" s="1" t="s">
        <v>37</v>
      </c>
      <c r="AD117" s="1" t="s">
        <v>41</v>
      </c>
      <c r="AE117" s="170">
        <v>43691.849362395835</v>
      </c>
      <c r="AF117" s="1" t="s">
        <v>415</v>
      </c>
      <c r="AG117" s="169">
        <v>43.389600000000002</v>
      </c>
      <c r="AH117" s="169">
        <f t="shared" si="2"/>
        <v>63.920000000000243</v>
      </c>
    </row>
    <row r="118" spans="26:34" x14ac:dyDescent="0.3">
      <c r="Z118" s="1" t="s">
        <v>63</v>
      </c>
      <c r="AA118" s="69">
        <v>25</v>
      </c>
      <c r="AB118" s="169">
        <v>315.43</v>
      </c>
      <c r="AC118" s="1" t="s">
        <v>37</v>
      </c>
      <c r="AD118" s="1" t="s">
        <v>317</v>
      </c>
      <c r="AE118" s="170">
        <v>43692.848720567126</v>
      </c>
      <c r="AF118" s="1" t="s">
        <v>434</v>
      </c>
      <c r="AG118" s="169">
        <v>317.78640000000001</v>
      </c>
      <c r="AH118" s="169">
        <f t="shared" si="2"/>
        <v>58.910000000000196</v>
      </c>
    </row>
    <row r="119" spans="26:34" x14ac:dyDescent="0.3">
      <c r="Z119" s="1" t="s">
        <v>59</v>
      </c>
      <c r="AA119" s="69">
        <v>250</v>
      </c>
      <c r="AB119" s="169">
        <v>16.62</v>
      </c>
      <c r="AC119" s="1" t="s">
        <v>31</v>
      </c>
      <c r="AD119" s="1" t="s">
        <v>317</v>
      </c>
      <c r="AE119" s="170">
        <v>43692.849376319442</v>
      </c>
      <c r="AF119" s="1" t="s">
        <v>435</v>
      </c>
      <c r="AG119" s="169">
        <v>16.826599999999999</v>
      </c>
      <c r="AH119" s="169">
        <f t="shared" si="2"/>
        <v>51.64999999999953</v>
      </c>
    </row>
    <row r="120" spans="26:34" x14ac:dyDescent="0.3">
      <c r="Z120" s="1" t="s">
        <v>47</v>
      </c>
      <c r="AA120" s="69">
        <v>-50</v>
      </c>
      <c r="AB120" s="169">
        <v>72.02</v>
      </c>
      <c r="AC120" s="1" t="s">
        <v>36</v>
      </c>
      <c r="AD120" s="1" t="s">
        <v>44</v>
      </c>
      <c r="AE120" s="170">
        <v>43692.848742002316</v>
      </c>
      <c r="AF120" s="1" t="s">
        <v>436</v>
      </c>
      <c r="AG120" s="169">
        <v>72.750299999999996</v>
      </c>
      <c r="AH120" s="169">
        <f t="shared" si="2"/>
        <v>-36.514999999999986</v>
      </c>
    </row>
    <row r="121" spans="26:34" x14ac:dyDescent="0.3">
      <c r="Z121" s="1" t="s">
        <v>64</v>
      </c>
      <c r="AA121" s="69">
        <v>-125</v>
      </c>
      <c r="AB121" s="169">
        <v>43.07</v>
      </c>
      <c r="AC121" s="1" t="s">
        <v>31</v>
      </c>
      <c r="AD121" s="1" t="s">
        <v>44</v>
      </c>
      <c r="AE121" s="170">
        <v>43692.848841863422</v>
      </c>
      <c r="AF121" s="1" t="s">
        <v>437</v>
      </c>
      <c r="AG121" s="169">
        <v>43.389600000000002</v>
      </c>
      <c r="AH121" s="169">
        <f t="shared" si="2"/>
        <v>-39.950000000000152</v>
      </c>
    </row>
    <row r="122" spans="26:34" x14ac:dyDescent="0.3">
      <c r="Z122" s="1" t="s">
        <v>47</v>
      </c>
      <c r="AA122" s="69">
        <v>-250</v>
      </c>
      <c r="AB122" s="169">
        <v>72.02</v>
      </c>
      <c r="AC122" s="1" t="s">
        <v>42</v>
      </c>
      <c r="AD122" s="1" t="s">
        <v>44</v>
      </c>
      <c r="AE122" s="170">
        <v>43692.849186412037</v>
      </c>
      <c r="AF122" s="1" t="s">
        <v>385</v>
      </c>
      <c r="AG122" s="169">
        <v>72.750299999999996</v>
      </c>
      <c r="AH122" s="169">
        <f t="shared" si="2"/>
        <v>-182.57499999999993</v>
      </c>
    </row>
    <row r="123" spans="26:34" x14ac:dyDescent="0.3">
      <c r="Z123" s="1" t="s">
        <v>61</v>
      </c>
      <c r="AA123" s="69">
        <v>-75</v>
      </c>
      <c r="AB123" s="169">
        <v>248.2</v>
      </c>
      <c r="AC123" s="1" t="s">
        <v>37</v>
      </c>
      <c r="AD123" s="1" t="s">
        <v>317</v>
      </c>
      <c r="AE123" s="170">
        <v>43692.849167418979</v>
      </c>
      <c r="AF123" s="1" t="s">
        <v>438</v>
      </c>
      <c r="AG123" s="169">
        <v>251.03550000000001</v>
      </c>
      <c r="AH123" s="169">
        <f t="shared" si="2"/>
        <v>-212.66250000000184</v>
      </c>
    </row>
    <row r="124" spans="26:34" x14ac:dyDescent="0.3">
      <c r="Z124" s="1" t="s">
        <v>48</v>
      </c>
      <c r="AA124" s="69">
        <v>-250</v>
      </c>
      <c r="AB124" s="169">
        <v>158.44</v>
      </c>
      <c r="AC124" s="1" t="s">
        <v>36</v>
      </c>
      <c r="AD124" s="1" t="s">
        <v>41</v>
      </c>
      <c r="AE124" s="170">
        <v>43691.849933379628</v>
      </c>
      <c r="AF124" s="1" t="s">
        <v>439</v>
      </c>
      <c r="AG124" s="169">
        <v>159.56990000000002</v>
      </c>
      <c r="AH124" s="169">
        <f t="shared" si="2"/>
        <v>-282.47500000000514</v>
      </c>
    </row>
    <row r="125" spans="26:34" x14ac:dyDescent="0.3">
      <c r="Z125" s="1" t="s">
        <v>57</v>
      </c>
      <c r="AA125" s="69">
        <v>250</v>
      </c>
      <c r="AB125" s="169">
        <v>9.99</v>
      </c>
      <c r="AC125" s="1" t="s">
        <v>31</v>
      </c>
      <c r="AD125" s="1" t="s">
        <v>41</v>
      </c>
      <c r="AE125" s="170">
        <v>43692.848819259256</v>
      </c>
      <c r="AF125" s="1" t="s">
        <v>440</v>
      </c>
      <c r="AG125" s="169">
        <v>10.0899</v>
      </c>
      <c r="AH125" s="169">
        <f t="shared" si="2"/>
        <v>24.974999999999969</v>
      </c>
    </row>
    <row r="126" spans="26:34" x14ac:dyDescent="0.3">
      <c r="Z126" s="1" t="s">
        <v>65</v>
      </c>
      <c r="AA126" s="69">
        <v>-200</v>
      </c>
      <c r="AB126" s="169">
        <v>30.26</v>
      </c>
      <c r="AC126" s="1" t="s">
        <v>37</v>
      </c>
      <c r="AD126" s="1" t="s">
        <v>41</v>
      </c>
      <c r="AE126" s="170">
        <v>43692.761811365737</v>
      </c>
      <c r="AF126" s="1" t="s">
        <v>441</v>
      </c>
      <c r="AG126" s="169">
        <v>30.603000000000002</v>
      </c>
      <c r="AH126" s="169">
        <f t="shared" ref="AH126:AH178" si="3">(AG126-AB126)*AA126</f>
        <v>-68.599999999999994</v>
      </c>
    </row>
    <row r="127" spans="26:34" x14ac:dyDescent="0.3">
      <c r="Z127" s="1" t="s">
        <v>62</v>
      </c>
      <c r="AA127" s="69">
        <v>-250</v>
      </c>
      <c r="AB127" s="169">
        <v>11.49</v>
      </c>
      <c r="AC127" s="1" t="s">
        <v>36</v>
      </c>
      <c r="AD127" s="1" t="s">
        <v>44</v>
      </c>
      <c r="AE127" s="170">
        <v>43691.849254780092</v>
      </c>
      <c r="AF127" s="1" t="s">
        <v>343</v>
      </c>
      <c r="AG127" s="169">
        <v>11.584700000000002</v>
      </c>
      <c r="AH127" s="169">
        <f t="shared" si="3"/>
        <v>-23.675000000000335</v>
      </c>
    </row>
    <row r="128" spans="26:34" x14ac:dyDescent="0.3">
      <c r="Z128" s="1" t="s">
        <v>7</v>
      </c>
      <c r="AA128" s="69">
        <v>-125</v>
      </c>
      <c r="AB128" s="169">
        <v>148.84</v>
      </c>
      <c r="AC128" s="1" t="s">
        <v>31</v>
      </c>
      <c r="AD128" s="1" t="s">
        <v>317</v>
      </c>
      <c r="AE128" s="170">
        <v>43691.849201608798</v>
      </c>
      <c r="AF128" s="1" t="s">
        <v>442</v>
      </c>
      <c r="AG128" s="169">
        <v>150.73240000000001</v>
      </c>
      <c r="AH128" s="169">
        <f t="shared" si="3"/>
        <v>-236.55000000000115</v>
      </c>
    </row>
    <row r="129" spans="26:34" x14ac:dyDescent="0.3">
      <c r="Z129" s="1" t="s">
        <v>13</v>
      </c>
      <c r="AA129" s="69">
        <v>-150</v>
      </c>
      <c r="AB129" s="169">
        <v>951.81</v>
      </c>
      <c r="AC129" s="1" t="s">
        <v>31</v>
      </c>
      <c r="AD129" s="1" t="s">
        <v>44</v>
      </c>
      <c r="AE129" s="170">
        <v>43692.849900462963</v>
      </c>
      <c r="AF129" s="1" t="s">
        <v>443</v>
      </c>
      <c r="AG129" s="169">
        <v>961.03520000000003</v>
      </c>
      <c r="AH129" s="169">
        <f t="shared" si="3"/>
        <v>-1383.7800000000129</v>
      </c>
    </row>
    <row r="130" spans="26:34" x14ac:dyDescent="0.3">
      <c r="Z130" s="1" t="s">
        <v>64</v>
      </c>
      <c r="AA130" s="69">
        <v>-125</v>
      </c>
      <c r="AB130" s="169">
        <v>43.01</v>
      </c>
      <c r="AC130" s="1" t="s">
        <v>42</v>
      </c>
      <c r="AD130" s="1" t="s">
        <v>44</v>
      </c>
      <c r="AE130" s="170">
        <v>43692.76174490741</v>
      </c>
      <c r="AF130" s="1" t="s">
        <v>444</v>
      </c>
      <c r="AG130" s="169">
        <v>43.389600000000002</v>
      </c>
      <c r="AH130" s="169">
        <f t="shared" si="3"/>
        <v>-47.450000000000436</v>
      </c>
    </row>
    <row r="131" spans="26:34" x14ac:dyDescent="0.3">
      <c r="Z131" s="1" t="s">
        <v>62</v>
      </c>
      <c r="AA131" s="69">
        <v>25</v>
      </c>
      <c r="AB131" s="169">
        <v>11.48</v>
      </c>
      <c r="AC131" s="1" t="s">
        <v>42</v>
      </c>
      <c r="AD131" s="1" t="s">
        <v>41</v>
      </c>
      <c r="AE131" s="170">
        <v>43692.848762499998</v>
      </c>
      <c r="AF131" s="1" t="s">
        <v>445</v>
      </c>
      <c r="AG131" s="169">
        <v>11.584700000000002</v>
      </c>
      <c r="AH131" s="169">
        <f t="shared" si="3"/>
        <v>2.6175000000000281</v>
      </c>
    </row>
    <row r="132" spans="26:34" x14ac:dyDescent="0.3">
      <c r="Z132" s="1" t="s">
        <v>64</v>
      </c>
      <c r="AA132" s="69">
        <v>-125</v>
      </c>
      <c r="AB132" s="169">
        <v>43.08</v>
      </c>
      <c r="AC132" s="1" t="s">
        <v>37</v>
      </c>
      <c r="AD132" s="1" t="s">
        <v>317</v>
      </c>
      <c r="AE132" s="170">
        <v>43692.849965034722</v>
      </c>
      <c r="AF132" s="1" t="s">
        <v>446</v>
      </c>
      <c r="AG132" s="169">
        <v>43.389600000000002</v>
      </c>
      <c r="AH132" s="169">
        <f t="shared" si="3"/>
        <v>-38.700000000000401</v>
      </c>
    </row>
    <row r="133" spans="26:34" x14ac:dyDescent="0.3">
      <c r="Z133" s="1" t="s">
        <v>54</v>
      </c>
      <c r="AA133" s="69">
        <v>-75</v>
      </c>
      <c r="AB133" s="169">
        <v>89.98</v>
      </c>
      <c r="AC133" s="1" t="s">
        <v>36</v>
      </c>
      <c r="AD133" s="1" t="s">
        <v>41</v>
      </c>
      <c r="AE133" s="170">
        <v>43692.849131979165</v>
      </c>
      <c r="AF133" s="1" t="s">
        <v>447</v>
      </c>
      <c r="AG133" s="169">
        <v>90.829300000000003</v>
      </c>
      <c r="AH133" s="169">
        <f t="shared" si="3"/>
        <v>-63.697499999999962</v>
      </c>
    </row>
    <row r="134" spans="26:34" x14ac:dyDescent="0.3">
      <c r="Z134" s="1" t="s">
        <v>56</v>
      </c>
      <c r="AA134" s="69">
        <v>125</v>
      </c>
      <c r="AB134" s="169">
        <v>50.32</v>
      </c>
      <c r="AC134" s="1" t="s">
        <v>42</v>
      </c>
      <c r="AD134" s="1" t="s">
        <v>44</v>
      </c>
      <c r="AE134" s="170">
        <v>43692.850230810189</v>
      </c>
      <c r="AF134" s="1" t="s">
        <v>448</v>
      </c>
      <c r="AG134" s="169">
        <v>50.752499999999998</v>
      </c>
      <c r="AH134" s="169">
        <f t="shared" si="3"/>
        <v>54.06249999999968</v>
      </c>
    </row>
    <row r="135" spans="26:34" x14ac:dyDescent="0.3">
      <c r="Z135" s="1" t="s">
        <v>61</v>
      </c>
      <c r="AA135" s="69">
        <v>-125</v>
      </c>
      <c r="AB135" s="169">
        <v>248.08</v>
      </c>
      <c r="AC135" s="1" t="s">
        <v>31</v>
      </c>
      <c r="AD135" s="1" t="s">
        <v>317</v>
      </c>
      <c r="AE135" s="170">
        <v>43692.848909143519</v>
      </c>
      <c r="AF135" s="1" t="s">
        <v>352</v>
      </c>
      <c r="AG135" s="169">
        <v>251.03550000000001</v>
      </c>
      <c r="AH135" s="169">
        <f t="shared" si="3"/>
        <v>-369.43750000000011</v>
      </c>
    </row>
    <row r="136" spans="26:34" x14ac:dyDescent="0.3">
      <c r="Z136" s="1" t="s">
        <v>61</v>
      </c>
      <c r="AA136" s="69">
        <v>-225</v>
      </c>
      <c r="AB136" s="169">
        <v>248.1</v>
      </c>
      <c r="AC136" s="1" t="s">
        <v>42</v>
      </c>
      <c r="AD136" s="1" t="s">
        <v>317</v>
      </c>
      <c r="AE136" s="170">
        <v>43691.848777476851</v>
      </c>
      <c r="AF136" s="1" t="s">
        <v>449</v>
      </c>
      <c r="AG136" s="169">
        <v>251.03550000000001</v>
      </c>
      <c r="AH136" s="169">
        <f t="shared" si="3"/>
        <v>-660.48750000000427</v>
      </c>
    </row>
    <row r="137" spans="26:34" x14ac:dyDescent="0.3">
      <c r="Z137" s="1" t="s">
        <v>64</v>
      </c>
      <c r="AA137" s="69">
        <v>25</v>
      </c>
      <c r="AB137" s="169">
        <v>43.04</v>
      </c>
      <c r="AC137" s="1" t="s">
        <v>31</v>
      </c>
      <c r="AD137" s="1" t="s">
        <v>317</v>
      </c>
      <c r="AE137" s="170">
        <v>43692.849862488423</v>
      </c>
      <c r="AF137" s="1" t="s">
        <v>450</v>
      </c>
      <c r="AG137" s="169">
        <v>43.389600000000002</v>
      </c>
      <c r="AH137" s="169">
        <f t="shared" si="3"/>
        <v>8.7400000000000588</v>
      </c>
    </row>
    <row r="138" spans="26:34" x14ac:dyDescent="0.3">
      <c r="Z138" s="1" t="s">
        <v>64</v>
      </c>
      <c r="AA138" s="69">
        <v>-200</v>
      </c>
      <c r="AB138" s="169">
        <v>43.02</v>
      </c>
      <c r="AC138" s="1" t="s">
        <v>42</v>
      </c>
      <c r="AD138" s="1" t="s">
        <v>44</v>
      </c>
      <c r="AE138" s="170">
        <v>43692.849410509261</v>
      </c>
      <c r="AF138" s="1" t="s">
        <v>451</v>
      </c>
      <c r="AG138" s="169">
        <v>43.389600000000002</v>
      </c>
      <c r="AH138" s="169">
        <f t="shared" si="3"/>
        <v>-73.919999999999675</v>
      </c>
    </row>
    <row r="139" spans="26:34" x14ac:dyDescent="0.3">
      <c r="Z139" s="1" t="s">
        <v>40</v>
      </c>
      <c r="AA139" s="69">
        <v>150</v>
      </c>
      <c r="AB139" s="169">
        <v>33.36</v>
      </c>
      <c r="AC139" s="1" t="s">
        <v>36</v>
      </c>
      <c r="AD139" s="1" t="s">
        <v>41</v>
      </c>
      <c r="AE139" s="170">
        <v>43692.761699560186</v>
      </c>
      <c r="AF139" s="1" t="s">
        <v>422</v>
      </c>
      <c r="AG139" s="169">
        <v>33.653199999999998</v>
      </c>
      <c r="AH139" s="169">
        <f t="shared" si="3"/>
        <v>43.979999999999819</v>
      </c>
    </row>
    <row r="140" spans="26:34" x14ac:dyDescent="0.3">
      <c r="Z140" s="1" t="s">
        <v>53</v>
      </c>
      <c r="AA140" s="69">
        <v>250</v>
      </c>
      <c r="AB140" s="169">
        <v>24.47</v>
      </c>
      <c r="AC140" s="1" t="s">
        <v>36</v>
      </c>
      <c r="AD140" s="1" t="s">
        <v>44</v>
      </c>
      <c r="AE140" s="170">
        <v>43692.8499371875</v>
      </c>
      <c r="AF140" s="1" t="s">
        <v>452</v>
      </c>
      <c r="AG140" s="169">
        <v>24.664200000000001</v>
      </c>
      <c r="AH140" s="169">
        <f t="shared" si="3"/>
        <v>48.550000000000537</v>
      </c>
    </row>
    <row r="141" spans="26:34" x14ac:dyDescent="0.3">
      <c r="Z141" s="1" t="s">
        <v>60</v>
      </c>
      <c r="AA141" s="69">
        <v>75</v>
      </c>
      <c r="AB141" s="169">
        <v>63.21</v>
      </c>
      <c r="AC141" s="1" t="s">
        <v>36</v>
      </c>
      <c r="AD141" s="1" t="s">
        <v>41</v>
      </c>
      <c r="AE141" s="170">
        <v>43691.850029606481</v>
      </c>
      <c r="AF141" s="1" t="s">
        <v>453</v>
      </c>
      <c r="AG141" s="169">
        <v>63.8825</v>
      </c>
      <c r="AH141" s="169">
        <f t="shared" si="3"/>
        <v>50.437499999999957</v>
      </c>
    </row>
    <row r="142" spans="26:34" x14ac:dyDescent="0.3">
      <c r="Z142" s="1" t="s">
        <v>63</v>
      </c>
      <c r="AA142" s="69">
        <v>250</v>
      </c>
      <c r="AB142" s="169">
        <v>314.29000000000002</v>
      </c>
      <c r="AC142" s="1" t="s">
        <v>37</v>
      </c>
      <c r="AD142" s="1" t="s">
        <v>317</v>
      </c>
      <c r="AE142" s="170">
        <v>43691.761870567127</v>
      </c>
      <c r="AF142" s="1" t="s">
        <v>454</v>
      </c>
      <c r="AG142" s="169">
        <v>317.78640000000001</v>
      </c>
      <c r="AH142" s="169">
        <f t="shared" si="3"/>
        <v>874.09999999999854</v>
      </c>
    </row>
    <row r="143" spans="26:34" x14ac:dyDescent="0.3">
      <c r="Z143" s="1" t="s">
        <v>61</v>
      </c>
      <c r="AA143" s="69">
        <v>-150</v>
      </c>
      <c r="AB143" s="169">
        <v>247.88</v>
      </c>
      <c r="AC143" s="1" t="s">
        <v>42</v>
      </c>
      <c r="AD143" s="1" t="s">
        <v>317</v>
      </c>
      <c r="AE143" s="170">
        <v>43692.84994857639</v>
      </c>
      <c r="AF143" s="1" t="s">
        <v>377</v>
      </c>
      <c r="AG143" s="169">
        <v>251.03550000000001</v>
      </c>
      <c r="AH143" s="169">
        <f t="shared" si="3"/>
        <v>-473.32500000000266</v>
      </c>
    </row>
    <row r="144" spans="26:34" x14ac:dyDescent="0.3">
      <c r="Z144" s="1" t="s">
        <v>53</v>
      </c>
      <c r="AA144" s="69">
        <v>-225</v>
      </c>
      <c r="AB144" s="169">
        <v>24.43</v>
      </c>
      <c r="AC144" s="1" t="s">
        <v>42</v>
      </c>
      <c r="AD144" s="1" t="s">
        <v>317</v>
      </c>
      <c r="AE144" s="170">
        <v>43692.84922945602</v>
      </c>
      <c r="AF144" s="1" t="s">
        <v>455</v>
      </c>
      <c r="AG144" s="169">
        <v>24.664200000000001</v>
      </c>
      <c r="AH144" s="169">
        <f t="shared" si="3"/>
        <v>-52.695000000000292</v>
      </c>
    </row>
    <row r="145" spans="26:34" x14ac:dyDescent="0.3">
      <c r="Z145" s="1" t="s">
        <v>54</v>
      </c>
      <c r="AA145" s="69">
        <v>250</v>
      </c>
      <c r="AB145" s="169">
        <v>89.93</v>
      </c>
      <c r="AC145" s="1" t="s">
        <v>42</v>
      </c>
      <c r="AD145" s="1" t="s">
        <v>44</v>
      </c>
      <c r="AE145" s="170">
        <v>43692.849210462962</v>
      </c>
      <c r="AF145" s="1" t="s">
        <v>402</v>
      </c>
      <c r="AG145" s="169">
        <v>90.829300000000003</v>
      </c>
      <c r="AH145" s="169">
        <f t="shared" si="3"/>
        <v>224.82499999999916</v>
      </c>
    </row>
    <row r="146" spans="26:34" x14ac:dyDescent="0.3">
      <c r="Z146" s="1" t="s">
        <v>64</v>
      </c>
      <c r="AA146" s="69">
        <v>-125</v>
      </c>
      <c r="AB146" s="169">
        <v>43.07</v>
      </c>
      <c r="AC146" s="1" t="s">
        <v>31</v>
      </c>
      <c r="AD146" s="1" t="s">
        <v>44</v>
      </c>
      <c r="AE146" s="170">
        <v>43691.848841863422</v>
      </c>
      <c r="AF146" s="1" t="s">
        <v>437</v>
      </c>
      <c r="AG146" s="169">
        <v>43.389600000000002</v>
      </c>
      <c r="AH146" s="169">
        <f t="shared" si="3"/>
        <v>-39.950000000000152</v>
      </c>
    </row>
    <row r="147" spans="26:34" x14ac:dyDescent="0.3">
      <c r="Z147" s="1" t="s">
        <v>62</v>
      </c>
      <c r="AA147" s="69">
        <v>-150</v>
      </c>
      <c r="AB147" s="169">
        <v>11.49</v>
      </c>
      <c r="AC147" s="1" t="s">
        <v>36</v>
      </c>
      <c r="AD147" s="1" t="s">
        <v>317</v>
      </c>
      <c r="AE147" s="170">
        <v>43691.76183019676</v>
      </c>
      <c r="AF147" s="1" t="s">
        <v>456</v>
      </c>
      <c r="AG147" s="169">
        <v>11.584700000000002</v>
      </c>
      <c r="AH147" s="169">
        <f t="shared" si="3"/>
        <v>-14.205000000000201</v>
      </c>
    </row>
    <row r="148" spans="26:34" x14ac:dyDescent="0.3">
      <c r="Z148" s="1" t="s">
        <v>57</v>
      </c>
      <c r="AA148" s="69">
        <v>250</v>
      </c>
      <c r="AB148" s="169">
        <v>9.99</v>
      </c>
      <c r="AC148" s="1" t="s">
        <v>31</v>
      </c>
      <c r="AD148" s="1" t="s">
        <v>41</v>
      </c>
      <c r="AE148" s="170">
        <v>43692.848819259256</v>
      </c>
      <c r="AF148" s="1" t="s">
        <v>440</v>
      </c>
      <c r="AG148" s="169">
        <v>10.0899</v>
      </c>
      <c r="AH148" s="169">
        <f t="shared" si="3"/>
        <v>24.974999999999969</v>
      </c>
    </row>
    <row r="149" spans="26:34" x14ac:dyDescent="0.3">
      <c r="Z149" s="1" t="s">
        <v>60</v>
      </c>
      <c r="AA149" s="69">
        <v>-25</v>
      </c>
      <c r="AB149" s="169">
        <v>63.04</v>
      </c>
      <c r="AC149" s="1" t="s">
        <v>36</v>
      </c>
      <c r="AD149" s="1" t="s">
        <v>41</v>
      </c>
      <c r="AE149" s="170">
        <v>43692.849260752315</v>
      </c>
      <c r="AF149" s="1" t="s">
        <v>457</v>
      </c>
      <c r="AG149" s="169">
        <v>63.8825</v>
      </c>
      <c r="AH149" s="169">
        <f t="shared" si="3"/>
        <v>-21.062500000000028</v>
      </c>
    </row>
    <row r="150" spans="26:34" x14ac:dyDescent="0.3">
      <c r="Z150" s="1" t="s">
        <v>13</v>
      </c>
      <c r="AA150" s="69">
        <v>125</v>
      </c>
      <c r="AB150" s="169">
        <v>948.39</v>
      </c>
      <c r="AC150" s="1" t="s">
        <v>36</v>
      </c>
      <c r="AD150" s="1" t="s">
        <v>44</v>
      </c>
      <c r="AE150" s="170">
        <v>43692.849149699075</v>
      </c>
      <c r="AF150" s="1" t="s">
        <v>458</v>
      </c>
      <c r="AG150" s="169">
        <v>961.03520000000003</v>
      </c>
      <c r="AH150" s="169">
        <f t="shared" si="3"/>
        <v>1580.6500000000055</v>
      </c>
    </row>
    <row r="151" spans="26:34" x14ac:dyDescent="0.3">
      <c r="Z151" s="1" t="s">
        <v>60</v>
      </c>
      <c r="AA151" s="69">
        <v>225</v>
      </c>
      <c r="AB151" s="169">
        <v>63.13</v>
      </c>
      <c r="AC151" s="1" t="s">
        <v>42</v>
      </c>
      <c r="AD151" s="1" t="s">
        <v>44</v>
      </c>
      <c r="AE151" s="170">
        <v>43691.761883043982</v>
      </c>
      <c r="AF151" s="1" t="s">
        <v>459</v>
      </c>
      <c r="AG151" s="169">
        <v>63.8825</v>
      </c>
      <c r="AH151" s="169">
        <f t="shared" si="3"/>
        <v>169.31249999999949</v>
      </c>
    </row>
    <row r="152" spans="26:34" x14ac:dyDescent="0.3">
      <c r="Z152" s="1" t="s">
        <v>59</v>
      </c>
      <c r="AA152" s="69">
        <v>-175</v>
      </c>
      <c r="AB152" s="169">
        <v>16.64</v>
      </c>
      <c r="AC152" s="1" t="s">
        <v>37</v>
      </c>
      <c r="AD152" s="1" t="s">
        <v>317</v>
      </c>
      <c r="AE152" s="170">
        <v>43691.761808807867</v>
      </c>
      <c r="AF152" s="1" t="s">
        <v>378</v>
      </c>
      <c r="AG152" s="169">
        <v>16.826599999999999</v>
      </c>
      <c r="AH152" s="169">
        <f t="shared" si="3"/>
        <v>-32.654999999999745</v>
      </c>
    </row>
    <row r="153" spans="26:34" x14ac:dyDescent="0.3">
      <c r="Z153" s="1" t="s">
        <v>12</v>
      </c>
      <c r="AA153" s="69">
        <v>200</v>
      </c>
      <c r="AB153" s="169">
        <v>1003.4</v>
      </c>
      <c r="AC153" s="1" t="s">
        <v>36</v>
      </c>
      <c r="AD153" s="1" t="s">
        <v>44</v>
      </c>
      <c r="AE153" s="170">
        <v>43692.84893320602</v>
      </c>
      <c r="AF153" s="1" t="s">
        <v>460</v>
      </c>
      <c r="AG153" s="169">
        <v>1011.01</v>
      </c>
      <c r="AH153" s="169">
        <f t="shared" si="3"/>
        <v>1522.0000000000027</v>
      </c>
    </row>
    <row r="154" spans="26:34" x14ac:dyDescent="0.3">
      <c r="Z154" s="1" t="s">
        <v>63</v>
      </c>
      <c r="AA154" s="69">
        <v>-125</v>
      </c>
      <c r="AB154" s="169">
        <v>314.26</v>
      </c>
      <c r="AC154" s="1" t="s">
        <v>37</v>
      </c>
      <c r="AD154" s="1" t="s">
        <v>41</v>
      </c>
      <c r="AE154" s="170">
        <v>43692.761761087961</v>
      </c>
      <c r="AF154" s="1" t="s">
        <v>461</v>
      </c>
      <c r="AG154" s="169">
        <v>317.78640000000001</v>
      </c>
      <c r="AH154" s="169">
        <f t="shared" si="3"/>
        <v>-440.80000000000297</v>
      </c>
    </row>
    <row r="155" spans="26:34" x14ac:dyDescent="0.3">
      <c r="Z155" s="1" t="s">
        <v>7</v>
      </c>
      <c r="AA155" s="69">
        <v>250</v>
      </c>
      <c r="AB155" s="169">
        <v>148.72999999999999</v>
      </c>
      <c r="AC155" s="1" t="s">
        <v>36</v>
      </c>
      <c r="AD155" s="1" t="s">
        <v>317</v>
      </c>
      <c r="AE155" s="170">
        <v>43692.849096527774</v>
      </c>
      <c r="AF155" s="1" t="s">
        <v>462</v>
      </c>
      <c r="AG155" s="169">
        <v>150.73240000000001</v>
      </c>
      <c r="AH155" s="169">
        <f t="shared" si="3"/>
        <v>500.60000000000571</v>
      </c>
    </row>
    <row r="156" spans="26:34" x14ac:dyDescent="0.3">
      <c r="Z156" s="1" t="s">
        <v>62</v>
      </c>
      <c r="AA156" s="69">
        <v>-250</v>
      </c>
      <c r="AB156" s="169">
        <v>11.49</v>
      </c>
      <c r="AC156" s="1" t="s">
        <v>36</v>
      </c>
      <c r="AD156" s="1" t="s">
        <v>44</v>
      </c>
      <c r="AE156" s="170">
        <v>43692.849254780092</v>
      </c>
      <c r="AF156" s="1" t="s">
        <v>343</v>
      </c>
      <c r="AG156" s="169">
        <v>11.584700000000002</v>
      </c>
      <c r="AH156" s="169">
        <f t="shared" si="3"/>
        <v>-23.675000000000335</v>
      </c>
    </row>
    <row r="157" spans="26:34" x14ac:dyDescent="0.3">
      <c r="Z157" s="1" t="s">
        <v>54</v>
      </c>
      <c r="AA157" s="69">
        <v>225</v>
      </c>
      <c r="AB157" s="169">
        <v>89.93</v>
      </c>
      <c r="AC157" s="1" t="s">
        <v>36</v>
      </c>
      <c r="AD157" s="1" t="s">
        <v>44</v>
      </c>
      <c r="AE157" s="170">
        <v>43692.761917118056</v>
      </c>
      <c r="AF157" s="1" t="s">
        <v>328</v>
      </c>
      <c r="AG157" s="169">
        <v>90.829300000000003</v>
      </c>
      <c r="AH157" s="169">
        <f t="shared" si="3"/>
        <v>202.34249999999923</v>
      </c>
    </row>
    <row r="158" spans="26:34" x14ac:dyDescent="0.3">
      <c r="Z158" s="1" t="s">
        <v>61</v>
      </c>
      <c r="AA158" s="69">
        <v>75</v>
      </c>
      <c r="AB158" s="169">
        <v>248.55</v>
      </c>
      <c r="AC158" s="1" t="s">
        <v>42</v>
      </c>
      <c r="AD158" s="1" t="s">
        <v>44</v>
      </c>
      <c r="AE158" s="170">
        <v>43691.849794120368</v>
      </c>
      <c r="AF158" s="1" t="s">
        <v>463</v>
      </c>
      <c r="AG158" s="169">
        <v>251.03550000000001</v>
      </c>
      <c r="AH158" s="169">
        <f t="shared" si="3"/>
        <v>186.41250000000014</v>
      </c>
    </row>
    <row r="159" spans="26:34" x14ac:dyDescent="0.3">
      <c r="Z159" s="1" t="s">
        <v>15</v>
      </c>
      <c r="AA159" s="69">
        <v>125</v>
      </c>
      <c r="AB159" s="169">
        <v>157.97999999999999</v>
      </c>
      <c r="AC159" s="1" t="s">
        <v>42</v>
      </c>
      <c r="AD159" s="1" t="s">
        <v>44</v>
      </c>
      <c r="AE159" s="170">
        <v>43692.849036840278</v>
      </c>
      <c r="AF159" s="1" t="s">
        <v>342</v>
      </c>
      <c r="AG159" s="169">
        <v>159.83250000000001</v>
      </c>
      <c r="AH159" s="169">
        <f t="shared" si="3"/>
        <v>231.56250000000256</v>
      </c>
    </row>
    <row r="160" spans="26:34" x14ac:dyDescent="0.3">
      <c r="Z160" s="1" t="s">
        <v>58</v>
      </c>
      <c r="AA160" s="69">
        <v>-75</v>
      </c>
      <c r="AB160" s="169">
        <v>80.72</v>
      </c>
      <c r="AC160" s="1" t="s">
        <v>36</v>
      </c>
      <c r="AD160" s="1" t="s">
        <v>41</v>
      </c>
      <c r="AE160" s="170">
        <v>43692.848809131945</v>
      </c>
      <c r="AF160" s="1" t="s">
        <v>464</v>
      </c>
      <c r="AG160" s="169">
        <v>81.779700000000005</v>
      </c>
      <c r="AH160" s="169">
        <f t="shared" si="3"/>
        <v>-79.477500000000489</v>
      </c>
    </row>
    <row r="161" spans="26:34" x14ac:dyDescent="0.3">
      <c r="Z161" s="1" t="s">
        <v>56</v>
      </c>
      <c r="AA161" s="69">
        <v>-75</v>
      </c>
      <c r="AB161" s="169">
        <v>50.31</v>
      </c>
      <c r="AC161" s="1" t="s">
        <v>31</v>
      </c>
      <c r="AD161" s="1" t="s">
        <v>317</v>
      </c>
      <c r="AE161" s="170">
        <v>43692.761857766207</v>
      </c>
      <c r="AF161" s="1" t="s">
        <v>465</v>
      </c>
      <c r="AG161" s="169">
        <v>50.752499999999998</v>
      </c>
      <c r="AH161" s="169">
        <f t="shared" si="3"/>
        <v>-33.187499999999659</v>
      </c>
    </row>
    <row r="162" spans="26:34" x14ac:dyDescent="0.3">
      <c r="Z162" s="1" t="s">
        <v>13</v>
      </c>
      <c r="AA162" s="69">
        <v>50</v>
      </c>
      <c r="AB162" s="169">
        <v>948.58</v>
      </c>
      <c r="AC162" s="1" t="s">
        <v>37</v>
      </c>
      <c r="AD162" s="1" t="s">
        <v>44</v>
      </c>
      <c r="AE162" s="170">
        <v>43692.849373784724</v>
      </c>
      <c r="AF162" s="1" t="s">
        <v>466</v>
      </c>
      <c r="AG162" s="169">
        <v>961.03520000000003</v>
      </c>
      <c r="AH162" s="169">
        <f t="shared" si="3"/>
        <v>622.75999999999954</v>
      </c>
    </row>
    <row r="163" spans="26:34" x14ac:dyDescent="0.3">
      <c r="Z163" s="1" t="s">
        <v>55</v>
      </c>
      <c r="AA163" s="69">
        <v>-50</v>
      </c>
      <c r="AB163" s="169">
        <v>27.44</v>
      </c>
      <c r="AC163" s="1" t="s">
        <v>37</v>
      </c>
      <c r="AD163" s="1" t="s">
        <v>41</v>
      </c>
      <c r="AE163" s="170">
        <v>43691.761831469907</v>
      </c>
      <c r="AF163" s="1" t="s">
        <v>467</v>
      </c>
      <c r="AG163" s="169">
        <v>27.6538</v>
      </c>
      <c r="AH163" s="169">
        <f t="shared" si="3"/>
        <v>-10.689999999999955</v>
      </c>
    </row>
    <row r="164" spans="26:34" x14ac:dyDescent="0.3">
      <c r="Z164" s="1" t="s">
        <v>48</v>
      </c>
      <c r="AA164" s="69">
        <v>225</v>
      </c>
      <c r="AB164" s="169">
        <v>157.87</v>
      </c>
      <c r="AC164" s="1" t="s">
        <v>37</v>
      </c>
      <c r="AD164" s="1" t="s">
        <v>44</v>
      </c>
      <c r="AE164" s="170">
        <v>43692.848761053239</v>
      </c>
      <c r="AF164" s="1" t="s">
        <v>468</v>
      </c>
      <c r="AG164" s="169">
        <v>159.56990000000002</v>
      </c>
      <c r="AH164" s="169">
        <f t="shared" si="3"/>
        <v>382.47750000000309</v>
      </c>
    </row>
    <row r="165" spans="26:34" x14ac:dyDescent="0.3">
      <c r="Z165" s="1" t="s">
        <v>61</v>
      </c>
      <c r="AA165" s="69">
        <v>-125</v>
      </c>
      <c r="AB165" s="169">
        <v>248.08</v>
      </c>
      <c r="AC165" s="1" t="s">
        <v>31</v>
      </c>
      <c r="AD165" s="1" t="s">
        <v>317</v>
      </c>
      <c r="AE165" s="170">
        <v>43692.848909143519</v>
      </c>
      <c r="AF165" s="1" t="s">
        <v>352</v>
      </c>
      <c r="AG165" s="169">
        <v>251.03550000000001</v>
      </c>
      <c r="AH165" s="169">
        <f t="shared" si="3"/>
        <v>-369.43750000000011</v>
      </c>
    </row>
    <row r="166" spans="26:34" x14ac:dyDescent="0.3">
      <c r="Z166" s="1" t="s">
        <v>47</v>
      </c>
      <c r="AA166" s="69">
        <v>175</v>
      </c>
      <c r="AB166" s="169">
        <v>71.989999999999995</v>
      </c>
      <c r="AC166" s="1" t="s">
        <v>31</v>
      </c>
      <c r="AD166" s="1" t="s">
        <v>317</v>
      </c>
      <c r="AE166" s="170">
        <v>43692.849402905093</v>
      </c>
      <c r="AF166" s="1" t="s">
        <v>469</v>
      </c>
      <c r="AG166" s="169">
        <v>72.750299999999996</v>
      </c>
      <c r="AH166" s="169">
        <f t="shared" si="3"/>
        <v>133.05250000000015</v>
      </c>
    </row>
    <row r="167" spans="26:34" x14ac:dyDescent="0.3">
      <c r="Z167" s="1" t="s">
        <v>61</v>
      </c>
      <c r="AA167" s="69">
        <v>-250</v>
      </c>
      <c r="AB167" s="169">
        <v>248.1</v>
      </c>
      <c r="AC167" s="1" t="s">
        <v>37</v>
      </c>
      <c r="AD167" s="1" t="s">
        <v>317</v>
      </c>
      <c r="AE167" s="170">
        <v>43692.848945868056</v>
      </c>
      <c r="AF167" s="1" t="s">
        <v>470</v>
      </c>
      <c r="AG167" s="169">
        <v>251.03550000000001</v>
      </c>
      <c r="AH167" s="169">
        <f t="shared" si="3"/>
        <v>-733.87500000000477</v>
      </c>
    </row>
    <row r="168" spans="26:34" x14ac:dyDescent="0.3">
      <c r="Z168" s="1" t="s">
        <v>64</v>
      </c>
      <c r="AA168" s="69">
        <v>-125</v>
      </c>
      <c r="AB168" s="169">
        <v>43.07</v>
      </c>
      <c r="AC168" s="1" t="s">
        <v>31</v>
      </c>
      <c r="AD168" s="1" t="s">
        <v>44</v>
      </c>
      <c r="AE168" s="170">
        <v>43692.848841863422</v>
      </c>
      <c r="AF168" s="1" t="s">
        <v>437</v>
      </c>
      <c r="AG168" s="169">
        <v>43.389600000000002</v>
      </c>
      <c r="AH168" s="169">
        <f t="shared" si="3"/>
        <v>-39.950000000000152</v>
      </c>
    </row>
    <row r="169" spans="26:34" x14ac:dyDescent="0.3">
      <c r="Z169" s="1" t="s">
        <v>12</v>
      </c>
      <c r="AA169" s="69">
        <v>25</v>
      </c>
      <c r="AB169" s="169">
        <v>1003.8</v>
      </c>
      <c r="AC169" s="1" t="s">
        <v>36</v>
      </c>
      <c r="AD169" s="1" t="s">
        <v>41</v>
      </c>
      <c r="AE169" s="170">
        <v>43691.849157291668</v>
      </c>
      <c r="AF169" s="1" t="s">
        <v>471</v>
      </c>
      <c r="AG169" s="169">
        <v>1011.01</v>
      </c>
      <c r="AH169" s="169">
        <f t="shared" si="3"/>
        <v>180.25000000000091</v>
      </c>
    </row>
    <row r="170" spans="26:34" x14ac:dyDescent="0.3">
      <c r="Z170" s="1" t="s">
        <v>61</v>
      </c>
      <c r="AA170" s="69">
        <v>-225</v>
      </c>
      <c r="AB170" s="169">
        <v>248.1</v>
      </c>
      <c r="AC170" s="1" t="s">
        <v>42</v>
      </c>
      <c r="AD170" s="1" t="s">
        <v>317</v>
      </c>
      <c r="AE170" s="170">
        <v>43692.848777476851</v>
      </c>
      <c r="AF170" s="1" t="s">
        <v>449</v>
      </c>
      <c r="AG170" s="169">
        <v>251.03550000000001</v>
      </c>
      <c r="AH170" s="169">
        <f t="shared" si="3"/>
        <v>-660.48750000000427</v>
      </c>
    </row>
    <row r="171" spans="26:34" x14ac:dyDescent="0.3">
      <c r="Z171" s="1" t="s">
        <v>47</v>
      </c>
      <c r="AA171" s="69">
        <v>150</v>
      </c>
      <c r="AB171" s="169">
        <v>71.83</v>
      </c>
      <c r="AC171" s="1" t="s">
        <v>37</v>
      </c>
      <c r="AD171" s="1" t="s">
        <v>317</v>
      </c>
      <c r="AE171" s="170">
        <v>43692.849196539355</v>
      </c>
      <c r="AF171" s="1" t="s">
        <v>472</v>
      </c>
      <c r="AG171" s="169">
        <v>72.750299999999996</v>
      </c>
      <c r="AH171" s="169">
        <f t="shared" si="3"/>
        <v>138.04499999999962</v>
      </c>
    </row>
    <row r="172" spans="26:34" x14ac:dyDescent="0.3">
      <c r="Z172" s="1" t="s">
        <v>40</v>
      </c>
      <c r="AA172" s="69">
        <v>-150</v>
      </c>
      <c r="AB172" s="169">
        <v>33.28</v>
      </c>
      <c r="AC172" s="1" t="s">
        <v>42</v>
      </c>
      <c r="AD172" s="1" t="s">
        <v>317</v>
      </c>
      <c r="AE172" s="170">
        <v>43692.849163622683</v>
      </c>
      <c r="AF172" s="1" t="s">
        <v>473</v>
      </c>
      <c r="AG172" s="169">
        <v>33.653199999999998</v>
      </c>
      <c r="AH172" s="169">
        <f t="shared" si="3"/>
        <v>-55.979999999999563</v>
      </c>
    </row>
    <row r="173" spans="26:34" x14ac:dyDescent="0.3">
      <c r="Z173" s="1" t="s">
        <v>60</v>
      </c>
      <c r="AA173" s="69">
        <v>-125</v>
      </c>
      <c r="AB173" s="169">
        <v>63.04</v>
      </c>
      <c r="AC173" s="1" t="s">
        <v>36</v>
      </c>
      <c r="AD173" s="1" t="s">
        <v>41</v>
      </c>
      <c r="AE173" s="170">
        <v>43692.849214270835</v>
      </c>
      <c r="AF173" s="1" t="s">
        <v>474</v>
      </c>
      <c r="AG173" s="169">
        <v>63.8825</v>
      </c>
      <c r="AH173" s="169">
        <f t="shared" si="3"/>
        <v>-105.31250000000014</v>
      </c>
    </row>
    <row r="174" spans="26:34" x14ac:dyDescent="0.3">
      <c r="Z174" s="1" t="s">
        <v>12</v>
      </c>
      <c r="AA174" s="69">
        <v>175</v>
      </c>
      <c r="AB174" s="169">
        <v>1000.8</v>
      </c>
      <c r="AC174" s="1" t="s">
        <v>42</v>
      </c>
      <c r="AD174" s="1" t="s">
        <v>317</v>
      </c>
      <c r="AE174" s="170">
        <v>43692.761851678239</v>
      </c>
      <c r="AF174" s="1" t="s">
        <v>475</v>
      </c>
      <c r="AG174" s="169">
        <v>1011.01</v>
      </c>
      <c r="AH174" s="169">
        <f t="shared" si="3"/>
        <v>1786.7500000000064</v>
      </c>
    </row>
    <row r="175" spans="26:34" x14ac:dyDescent="0.3">
      <c r="Z175" s="1" t="s">
        <v>65</v>
      </c>
      <c r="AA175" s="69">
        <v>250</v>
      </c>
      <c r="AB175" s="169">
        <v>30.3</v>
      </c>
      <c r="AC175" s="1" t="s">
        <v>42</v>
      </c>
      <c r="AD175" s="1" t="s">
        <v>41</v>
      </c>
      <c r="AE175" s="170">
        <v>43692.761894293981</v>
      </c>
      <c r="AF175" s="1" t="s">
        <v>476</v>
      </c>
      <c r="AG175" s="169">
        <v>30.603000000000002</v>
      </c>
      <c r="AH175" s="169">
        <f t="shared" si="3"/>
        <v>75.750000000000199</v>
      </c>
    </row>
    <row r="176" spans="26:34" x14ac:dyDescent="0.3">
      <c r="Z176" s="1" t="s">
        <v>61</v>
      </c>
      <c r="AA176" s="69">
        <v>-100</v>
      </c>
      <c r="AB176" s="169">
        <v>248.3</v>
      </c>
      <c r="AC176" s="1" t="s">
        <v>42</v>
      </c>
      <c r="AD176" s="1" t="s">
        <v>41</v>
      </c>
      <c r="AE176" s="170">
        <v>43692.849134143522</v>
      </c>
      <c r="AF176" s="1" t="s">
        <v>477</v>
      </c>
      <c r="AG176" s="169">
        <v>251.03550000000001</v>
      </c>
      <c r="AH176" s="169">
        <f t="shared" si="3"/>
        <v>-273.55000000000018</v>
      </c>
    </row>
    <row r="177" spans="26:34" x14ac:dyDescent="0.3">
      <c r="Z177" s="1" t="s">
        <v>53</v>
      </c>
      <c r="AA177" s="69">
        <v>50</v>
      </c>
      <c r="AB177" s="169">
        <v>24.41</v>
      </c>
      <c r="AC177" s="1" t="s">
        <v>31</v>
      </c>
      <c r="AD177" s="1" t="s">
        <v>317</v>
      </c>
      <c r="AE177" s="170">
        <v>43692.761823912035</v>
      </c>
      <c r="AF177" s="1" t="s">
        <v>478</v>
      </c>
      <c r="AG177" s="169">
        <v>24.664200000000001</v>
      </c>
      <c r="AH177" s="169">
        <f t="shared" si="3"/>
        <v>12.710000000000043</v>
      </c>
    </row>
    <row r="178" spans="26:34" x14ac:dyDescent="0.3">
      <c r="Z178" s="1" t="s">
        <v>58</v>
      </c>
      <c r="AA178" s="69">
        <v>75</v>
      </c>
      <c r="AB178" s="169">
        <v>80.989999999999995</v>
      </c>
      <c r="AC178" s="1" t="s">
        <v>37</v>
      </c>
      <c r="AD178" s="1" t="s">
        <v>44</v>
      </c>
      <c r="AE178" s="170">
        <v>43692.761797465275</v>
      </c>
      <c r="AF178" s="1" t="s">
        <v>479</v>
      </c>
      <c r="AG178" s="169">
        <v>81.779700000000005</v>
      </c>
      <c r="AH178" s="169">
        <f t="shared" si="3"/>
        <v>59.227500000000788</v>
      </c>
    </row>
  </sheetData>
  <mergeCells count="9">
    <mergeCell ref="C1:D1"/>
    <mergeCell ref="B44:C44"/>
    <mergeCell ref="Z3:AH3"/>
    <mergeCell ref="T3:U3"/>
    <mergeCell ref="B7:D7"/>
    <mergeCell ref="B12:C12"/>
    <mergeCell ref="B20:D20"/>
    <mergeCell ref="B24:C24"/>
    <mergeCell ref="B30:C30"/>
  </mergeCells>
  <conditionalFormatting sqref="I5:I41">
    <cfRule type="expression" dxfId="5" priority="4">
      <formula>I5&lt;&gt;""</formula>
    </cfRule>
  </conditionalFormatting>
  <conditionalFormatting sqref="I4:M33 N11:O51 I34:I43 J34:M44">
    <cfRule type="expression" dxfId="4" priority="5">
      <formula>I4&lt;&gt;""</formula>
    </cfRule>
  </conditionalFormatting>
  <conditionalFormatting sqref="J5:J43">
    <cfRule type="expression" dxfId="3" priority="3">
      <formula>LEFT(J5,8)="STRATEGY"</formula>
    </cfRule>
  </conditionalFormatting>
  <conditionalFormatting sqref="J5:J44">
    <cfRule type="expression" dxfId="2" priority="1">
      <formula>AND($J5&lt;&gt;"",NOT(LEFT($J5,8)="STRATEGY"))</formula>
    </cfRule>
  </conditionalFormatting>
  <conditionalFormatting sqref="K5:M36">
    <cfRule type="expression" dxfId="1" priority="6">
      <formula>K5&lt;0</formula>
    </cfRule>
  </conditionalFormatting>
  <conditionalFormatting sqref="K5:M46">
    <cfRule type="expression" dxfId="0" priority="2">
      <formula>AND($J5&lt;&gt;"",NOT(LEFT($J5,8)="STRATEGY"))</formula>
    </cfRule>
  </conditionalFormatting>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Y220"/>
  <sheetViews>
    <sheetView zoomScaleNormal="100" workbookViewId="0">
      <pane ySplit="1" topLeftCell="A2" activePane="bottomLeft" state="frozen"/>
      <selection pane="bottomLeft"/>
    </sheetView>
  </sheetViews>
  <sheetFormatPr defaultRowHeight="14.4" x14ac:dyDescent="0.3"/>
  <cols>
    <col min="2" max="2" width="23.88671875" customWidth="1"/>
    <col min="3" max="4" width="24.6640625" customWidth="1"/>
    <col min="5" max="5" width="17.6640625" customWidth="1"/>
    <col min="6" max="6" width="22.44140625" customWidth="1"/>
    <col min="7" max="7" width="25.6640625" customWidth="1"/>
    <col min="8" max="8" width="15.44140625" bestFit="1" customWidth="1"/>
    <col min="9" max="9" width="21.6640625" bestFit="1" customWidth="1"/>
    <col min="10" max="10" width="25.5546875" bestFit="1" customWidth="1"/>
    <col min="11" max="11" width="13" customWidth="1"/>
    <col min="12" max="15" width="11.6640625" customWidth="1"/>
    <col min="18" max="18" width="23.88671875" customWidth="1"/>
    <col min="19" max="20" width="24.6640625" customWidth="1"/>
    <col min="21" max="21" width="11.5546875" bestFit="1" customWidth="1"/>
    <col min="22" max="22" width="14.6640625" bestFit="1" customWidth="1"/>
    <col min="23" max="23" width="19" bestFit="1" customWidth="1"/>
    <col min="24" max="24" width="5.88671875" bestFit="1" customWidth="1"/>
  </cols>
  <sheetData>
    <row r="1" spans="1:23" ht="34.5" customHeight="1" thickBot="1" x14ac:dyDescent="0.35">
      <c r="A1" s="146" t="s">
        <v>255</v>
      </c>
      <c r="B1" s="207" t="e" vm="1">
        <v>#VALUE!</v>
      </c>
      <c r="C1" s="214" t="s">
        <v>130</v>
      </c>
      <c r="D1" s="215"/>
      <c r="F1" s="5"/>
      <c r="G1" s="5"/>
      <c r="H1" s="5"/>
      <c r="I1" s="5"/>
      <c r="J1" s="5"/>
      <c r="K1" s="5"/>
      <c r="L1" s="5"/>
      <c r="M1" s="5"/>
      <c r="N1" s="5"/>
      <c r="O1" s="7"/>
    </row>
    <row r="2" spans="1:23" ht="15" customHeight="1" thickBot="1" x14ac:dyDescent="0.35">
      <c r="A2" s="6"/>
      <c r="B2" s="9"/>
      <c r="C2" s="9"/>
      <c r="D2" s="9"/>
      <c r="E2" s="9"/>
      <c r="F2" s="9"/>
      <c r="G2" s="9"/>
      <c r="H2" s="9"/>
      <c r="I2" s="9"/>
      <c r="J2" s="9"/>
      <c r="K2" s="9"/>
      <c r="L2" s="9"/>
      <c r="M2" s="9"/>
      <c r="N2" s="9"/>
      <c r="O2" s="8"/>
      <c r="W2" s="20" t="s">
        <v>258</v>
      </c>
    </row>
    <row r="3" spans="1:23" ht="15" customHeight="1" thickBot="1" x14ac:dyDescent="0.35">
      <c r="A3" s="6"/>
      <c r="B3" s="150" t="s">
        <v>259</v>
      </c>
      <c r="C3" s="152" t="s">
        <v>260</v>
      </c>
      <c r="D3" s="9"/>
      <c r="E3" s="9"/>
      <c r="F3" s="9"/>
      <c r="G3" s="9"/>
      <c r="H3" s="9"/>
      <c r="I3" s="9"/>
      <c r="J3" s="9"/>
      <c r="K3" s="9"/>
      <c r="L3" s="9"/>
      <c r="M3" s="9"/>
      <c r="N3" s="9"/>
      <c r="O3" s="8"/>
      <c r="W3" s="119" t="str" cm="1">
        <f t="array" ref="W3">_xll.U.SET_CLICKVALS("toggle",B3:C3,,,,C3)</f>
        <v>toggle</v>
      </c>
    </row>
    <row r="4" spans="1:23" ht="15" customHeight="1" x14ac:dyDescent="0.3">
      <c r="A4" s="6"/>
      <c r="B4" s="9"/>
      <c r="C4" s="9"/>
      <c r="D4" s="9"/>
      <c r="E4" s="9"/>
      <c r="F4" s="9"/>
      <c r="G4" s="9"/>
      <c r="H4" s="9"/>
      <c r="I4" s="9"/>
      <c r="J4" s="9"/>
      <c r="K4" s="9"/>
      <c r="L4" s="9"/>
      <c r="M4" s="9"/>
      <c r="N4" s="9"/>
      <c r="O4" s="8"/>
      <c r="W4" s="151" t="str" cm="1">
        <f t="array" ref="W4">_xll.U.GET_CLICKVAL("toggle")</f>
        <v>DISABLE</v>
      </c>
    </row>
    <row r="5" spans="1:23" ht="15" customHeight="1" x14ac:dyDescent="0.3">
      <c r="A5" s="6"/>
      <c r="B5" s="9"/>
      <c r="C5" s="9"/>
      <c r="D5" s="9"/>
      <c r="E5" s="9"/>
      <c r="F5" s="9"/>
      <c r="G5" s="9"/>
      <c r="H5" s="9"/>
      <c r="I5" s="9"/>
      <c r="J5" s="9"/>
      <c r="K5" s="9"/>
      <c r="L5" s="9"/>
      <c r="M5" s="9"/>
      <c r="N5" s="9"/>
      <c r="O5" s="8"/>
      <c r="W5" s="151" t="b">
        <f>W4=B3</f>
        <v>0</v>
      </c>
    </row>
    <row r="6" spans="1:23" ht="15" customHeight="1" x14ac:dyDescent="0.3">
      <c r="A6" s="6"/>
      <c r="B6" s="9"/>
      <c r="C6" s="9"/>
      <c r="D6" s="9"/>
      <c r="E6" s="9"/>
      <c r="F6" s="9"/>
      <c r="G6" s="9"/>
      <c r="H6" s="9"/>
      <c r="I6" s="9"/>
      <c r="J6" s="9"/>
      <c r="K6" s="9"/>
      <c r="L6" s="9"/>
      <c r="M6" s="9"/>
      <c r="N6" s="9"/>
      <c r="O6" s="8"/>
    </row>
    <row r="7" spans="1:23" ht="15" customHeight="1" x14ac:dyDescent="0.35">
      <c r="A7" s="6"/>
      <c r="B7" s="105" t="s">
        <v>146</v>
      </c>
      <c r="C7" s="9"/>
      <c r="D7" s="9"/>
      <c r="E7" s="9"/>
      <c r="F7" s="9"/>
      <c r="G7" s="9"/>
      <c r="H7" s="9"/>
      <c r="I7" s="9"/>
      <c r="J7" s="9"/>
      <c r="K7" s="9"/>
      <c r="L7" s="9"/>
      <c r="M7" s="9"/>
      <c r="N7" s="9"/>
      <c r="O7" s="8"/>
    </row>
    <row r="8" spans="1:23" ht="15" customHeight="1" x14ac:dyDescent="0.3">
      <c r="A8" s="6"/>
      <c r="B8" s="9"/>
      <c r="C8" s="9"/>
      <c r="D8" s="9"/>
      <c r="E8" s="9"/>
      <c r="F8" s="9"/>
      <c r="G8" s="9"/>
      <c r="H8" s="9"/>
      <c r="I8" s="9"/>
      <c r="J8" s="9"/>
      <c r="K8" s="9"/>
      <c r="L8" s="9"/>
      <c r="M8" s="9"/>
      <c r="N8" s="9"/>
      <c r="O8" s="8"/>
    </row>
    <row r="9" spans="1:23" x14ac:dyDescent="0.3">
      <c r="A9" s="9"/>
      <c r="B9" s="103" t="s">
        <v>144</v>
      </c>
      <c r="C9" s="104" t="str" cm="1">
        <f t="array" ref="C9">IF(ENABLED,_xll.U.TWO_WAY_DATA(C11,C12,B20:C28,B15:C18,F21:F26),"Not enabled")</f>
        <v>Not enabled</v>
      </c>
      <c r="D9" s="9"/>
      <c r="E9" s="9"/>
      <c r="F9" s="9"/>
      <c r="G9" s="9"/>
      <c r="H9" s="9"/>
      <c r="I9" s="9"/>
      <c r="J9" s="9"/>
      <c r="K9" s="9"/>
      <c r="L9" s="9"/>
      <c r="M9" s="9"/>
      <c r="N9" s="9"/>
      <c r="O9" s="8"/>
    </row>
    <row r="10" spans="1:23" x14ac:dyDescent="0.3">
      <c r="A10" s="9"/>
      <c r="B10" s="9"/>
      <c r="C10" s="9"/>
      <c r="D10" s="9"/>
      <c r="E10" s="9"/>
      <c r="F10" s="9"/>
      <c r="G10" s="9"/>
      <c r="H10" s="9"/>
      <c r="I10" s="9"/>
      <c r="J10" s="9"/>
      <c r="K10" s="9"/>
      <c r="L10" s="9"/>
      <c r="M10" s="9"/>
      <c r="N10" s="9"/>
      <c r="O10" s="8"/>
    </row>
    <row r="11" spans="1:23" x14ac:dyDescent="0.3">
      <c r="A11" s="9"/>
      <c r="B11" s="103" t="s">
        <v>140</v>
      </c>
      <c r="C11" s="89" t="s">
        <v>141</v>
      </c>
      <c r="D11" s="9"/>
      <c r="E11" s="9"/>
      <c r="F11" s="9"/>
      <c r="G11" s="9"/>
      <c r="H11" s="9"/>
      <c r="I11" s="9"/>
      <c r="J11" s="9"/>
      <c r="K11" s="9"/>
      <c r="L11" s="9"/>
      <c r="M11" s="9"/>
      <c r="N11" s="9"/>
      <c r="O11" s="8"/>
    </row>
    <row r="12" spans="1:23" x14ac:dyDescent="0.3">
      <c r="A12" s="9"/>
      <c r="B12" s="103" t="s">
        <v>142</v>
      </c>
      <c r="C12" s="89" t="s">
        <v>143</v>
      </c>
      <c r="D12" s="9"/>
      <c r="E12" s="9"/>
      <c r="F12" s="9"/>
      <c r="G12" s="9"/>
      <c r="H12" s="9"/>
      <c r="I12" s="9"/>
      <c r="J12" s="9"/>
      <c r="K12" s="9"/>
      <c r="L12" s="9"/>
      <c r="M12" s="9"/>
      <c r="N12" s="9"/>
      <c r="O12" s="8"/>
    </row>
    <row r="13" spans="1:23" x14ac:dyDescent="0.3">
      <c r="A13" s="9"/>
      <c r="B13" s="9"/>
      <c r="C13" s="9"/>
      <c r="D13" s="9"/>
      <c r="E13" s="9"/>
      <c r="F13" s="9"/>
      <c r="G13" s="9"/>
      <c r="H13" s="9"/>
      <c r="I13" s="9"/>
      <c r="J13" s="9"/>
      <c r="K13" s="9"/>
      <c r="L13" s="9"/>
      <c r="M13" s="9"/>
      <c r="N13" s="9"/>
      <c r="O13" s="8"/>
    </row>
    <row r="14" spans="1:23" x14ac:dyDescent="0.3">
      <c r="A14" s="9"/>
      <c r="B14" s="211" t="s">
        <v>169</v>
      </c>
      <c r="C14" s="212"/>
      <c r="D14" s="9"/>
      <c r="E14" s="9"/>
      <c r="F14" s="9"/>
      <c r="G14" s="9"/>
      <c r="H14" s="9"/>
      <c r="I14" s="9"/>
      <c r="J14" s="9"/>
      <c r="K14" s="9"/>
      <c r="L14" s="9"/>
      <c r="M14" s="9"/>
      <c r="N14" s="9"/>
      <c r="O14" s="8"/>
    </row>
    <row r="15" spans="1:23" x14ac:dyDescent="0.3">
      <c r="A15" s="9"/>
      <c r="B15" s="1" t="str">
        <f t="array" ref="B15:C15">_xll.U.HAS_WEB_CONTROLS(TRUE)</f>
        <v>U.HAS_WEB_CONTROLS</v>
      </c>
      <c r="C15" s="1" t="str">
        <v>r</v>
      </c>
      <c r="D15" s="9"/>
      <c r="E15" s="9"/>
      <c r="F15" s="9"/>
      <c r="G15" s="9"/>
      <c r="H15" s="9"/>
      <c r="I15" s="9"/>
      <c r="J15" s="9"/>
      <c r="K15" s="9"/>
      <c r="L15" s="9"/>
      <c r="M15" s="9"/>
      <c r="N15" s="9"/>
      <c r="O15" s="8"/>
    </row>
    <row r="16" spans="1:23" x14ac:dyDescent="0.3">
      <c r="A16" s="9"/>
      <c r="B16" s="1" t="str">
        <f t="array" ref="B16:C16">_xll.U.ALLOW_PUBLISH(TRUE)</f>
        <v>U.ALLOW_FAST_RESPONSE</v>
      </c>
      <c r="C16" s="1" t="b">
        <v>1</v>
      </c>
      <c r="D16" s="9"/>
      <c r="E16" s="9"/>
      <c r="F16" s="9"/>
      <c r="G16" s="9"/>
      <c r="H16" s="9"/>
      <c r="I16" s="9"/>
      <c r="J16" s="9"/>
      <c r="K16" s="9"/>
      <c r="L16" s="9"/>
      <c r="M16" s="9"/>
      <c r="N16" s="9"/>
      <c r="O16" s="8"/>
    </row>
    <row r="17" spans="1:15" x14ac:dyDescent="0.3">
      <c r="A17" s="9"/>
      <c r="B17" s="1" t="str">
        <f t="array" ref="B17:C17">_xll.U.INCLUDE_HTML()</f>
        <v>U.HTML_INCLUDED</v>
      </c>
      <c r="C17" s="1">
        <v>0.35</v>
      </c>
      <c r="D17" s="9"/>
      <c r="E17" s="9"/>
      <c r="F17" s="9"/>
      <c r="G17" s="9"/>
      <c r="H17" s="9"/>
      <c r="I17" s="9"/>
      <c r="J17" s="9"/>
      <c r="K17" s="9"/>
      <c r="L17" s="9"/>
      <c r="M17" s="9"/>
      <c r="N17" s="9"/>
      <c r="O17" s="8"/>
    </row>
    <row r="18" spans="1:15" x14ac:dyDescent="0.3">
      <c r="A18" s="6"/>
      <c r="B18" s="1" t="str">
        <f t="array" ref="B18:C18">_xll.U.PAGE_NAMES("Payment Calculator")</f>
        <v>U.PAGE_1_NAME</v>
      </c>
      <c r="C18" s="1" t="str">
        <v>Payment Calculator</v>
      </c>
      <c r="D18" s="9"/>
      <c r="E18" s="9"/>
      <c r="F18" s="9"/>
      <c r="G18" s="9"/>
      <c r="H18" s="9"/>
      <c r="I18" s="9"/>
      <c r="J18" s="9"/>
      <c r="K18" s="9"/>
      <c r="L18" s="9"/>
      <c r="M18" s="9"/>
      <c r="N18" s="9"/>
      <c r="O18" s="8"/>
    </row>
    <row r="19" spans="1:15" x14ac:dyDescent="0.3">
      <c r="A19" s="6"/>
      <c r="B19" s="9"/>
      <c r="C19" s="9"/>
      <c r="D19" s="9"/>
      <c r="E19" s="9"/>
      <c r="F19" s="9"/>
      <c r="G19" s="9"/>
      <c r="H19" s="9"/>
      <c r="I19" s="9"/>
      <c r="J19" s="9"/>
      <c r="K19" s="9"/>
      <c r="L19" s="9"/>
      <c r="M19" s="9"/>
      <c r="N19" s="9"/>
      <c r="O19" s="8"/>
    </row>
    <row r="20" spans="1:15" x14ac:dyDescent="0.3">
      <c r="A20" s="6"/>
      <c r="B20" s="96" t="s">
        <v>131</v>
      </c>
      <c r="C20" s="99" t="s">
        <v>126</v>
      </c>
      <c r="D20" s="9"/>
      <c r="E20" s="101" t="s">
        <v>138</v>
      </c>
      <c r="F20" s="101" t="s">
        <v>139</v>
      </c>
      <c r="G20" s="9"/>
      <c r="H20" s="9"/>
      <c r="I20" s="9"/>
      <c r="J20" s="9"/>
      <c r="K20" s="9"/>
      <c r="L20" s="9"/>
      <c r="M20" s="9"/>
      <c r="N20" s="9"/>
      <c r="O20" s="8"/>
    </row>
    <row r="21" spans="1:15" x14ac:dyDescent="0.3">
      <c r="A21" s="6"/>
      <c r="B21" s="97" t="s">
        <v>134</v>
      </c>
      <c r="C21" s="106">
        <v>50000</v>
      </c>
      <c r="D21" s="9"/>
      <c r="E21" s="9" t="str" cm="1">
        <f t="array" ref="E21">_xll.U.WEB_CONTROL_LOCATION($B$20:$C$28,C21)</f>
        <v>[R2C2]</v>
      </c>
      <c r="F21" s="9" t="str" cm="1">
        <f t="array" ref="F21">_xll.U.WEB_CONTROL.TEXTAREA(C21,,E21)</f>
        <v>[HTML::TEXTAREA ID=QLLM][VAL=n|50000][R2C2]</v>
      </c>
      <c r="G21" s="9"/>
      <c r="H21" s="9"/>
      <c r="I21" s="9"/>
      <c r="J21" s="9"/>
      <c r="K21" s="9"/>
      <c r="L21" s="9"/>
      <c r="M21" s="9"/>
      <c r="N21" s="9"/>
      <c r="O21" s="8"/>
    </row>
    <row r="22" spans="1:15" x14ac:dyDescent="0.3">
      <c r="A22" s="6"/>
      <c r="B22" s="97" t="s">
        <v>135</v>
      </c>
      <c r="C22" s="95" t="s">
        <v>300</v>
      </c>
      <c r="D22" s="9"/>
      <c r="E22" s="9" t="str" cm="1">
        <f t="array" ref="E22">_xll.U.WEB_CONTROL_LOCATION($B$20:$C$28,C22)</f>
        <v>[R3C2]</v>
      </c>
      <c r="F22" s="9" t="str" cm="1">
        <f t="array" ref="F22">_xll.U.WEB_CONTROL.DATEPICKER(C22,,E22)</f>
        <v>[HTML::DATEPICKER ID=IVEY][VAL=d|][R3C2]</v>
      </c>
      <c r="G22" s="9"/>
      <c r="H22" s="9"/>
      <c r="I22" s="9"/>
      <c r="J22" s="9"/>
      <c r="K22" s="9"/>
      <c r="L22" s="9"/>
      <c r="M22" s="9"/>
      <c r="N22" s="9"/>
      <c r="O22" s="8"/>
    </row>
    <row r="23" spans="1:15" x14ac:dyDescent="0.3">
      <c r="A23" s="6"/>
      <c r="B23" s="97" t="s">
        <v>136</v>
      </c>
      <c r="C23" s="122" t="s">
        <v>264</v>
      </c>
      <c r="D23" s="9"/>
      <c r="E23" s="9" t="str" cm="1">
        <f t="array" ref="E23">_xll.U.WEB_CONTROL_LOCATION($B$20:$C$28,C23)</f>
        <v>[R4C2]</v>
      </c>
      <c r="F23" s="9" t="str" cm="1">
        <f t="array" ref="F23">_xll.U.WEB_CONTROL.DATEPICKER(C23,,E23)</f>
        <v>[HTML::DATEPICKER ID=XFDW][VAL=d|][R4C2]</v>
      </c>
      <c r="G23" s="9"/>
      <c r="H23" s="9"/>
      <c r="I23" s="9"/>
      <c r="J23" s="9"/>
      <c r="K23" s="9"/>
      <c r="L23" s="9"/>
      <c r="M23" s="9"/>
      <c r="N23" s="9"/>
      <c r="O23" s="8"/>
    </row>
    <row r="24" spans="1:15" x14ac:dyDescent="0.3">
      <c r="A24" s="6"/>
      <c r="B24" s="97" t="s">
        <v>133</v>
      </c>
      <c r="C24" s="100">
        <v>5.2499999999999998E-2</v>
      </c>
      <c r="D24" s="9"/>
      <c r="E24" s="9" t="str" cm="1">
        <f t="array" ref="E24">_xll.U.WEB_CONTROL_LOCATION($B$20:$C$28,C24)</f>
        <v>[R5C2]</v>
      </c>
      <c r="F24" s="9" t="str" cm="1">
        <f t="array" ref="F24">_xll.U.WEB_CONTROL.TEXTAREA(C24,,E24)</f>
        <v>[HTML::TEXTAREA ID=LQDL][VAL=n|0.0525][R5C2]</v>
      </c>
      <c r="G24" s="9"/>
      <c r="H24" s="9"/>
      <c r="I24" s="9"/>
      <c r="J24" s="9"/>
      <c r="K24" s="9"/>
      <c r="L24" s="9"/>
      <c r="M24" s="9"/>
      <c r="N24" s="9"/>
      <c r="O24" s="8"/>
    </row>
    <row r="25" spans="1:15" x14ac:dyDescent="0.3">
      <c r="A25" s="6"/>
      <c r="B25" s="97" t="s">
        <v>132</v>
      </c>
      <c r="C25" s="98">
        <v>12</v>
      </c>
      <c r="D25" s="9"/>
      <c r="E25" s="9" t="str" cm="1">
        <f t="array" ref="E25">_xll.U.WEB_CONTROL_LOCATION($B$20:$C$28,C25)</f>
        <v>[R6C2]</v>
      </c>
      <c r="F25" s="9" t="str" cm="1">
        <f t="array" ref="F25">_xll.U.WEB_CONTROL.DROPDOWN("1,2,4,6,12,24",C25,,E25)</f>
        <v>[HTML::DROPDOWN ID=DVEE OPTIONS=1,2,4,6,12,24][VAL=n|12][R6C2]</v>
      </c>
      <c r="G25" s="9"/>
      <c r="H25" s="9"/>
      <c r="I25" s="9"/>
      <c r="J25" s="9"/>
      <c r="K25" s="9"/>
      <c r="L25" s="9"/>
      <c r="M25" s="9"/>
      <c r="N25" s="9"/>
      <c r="O25" s="8"/>
    </row>
    <row r="26" spans="1:15" x14ac:dyDescent="0.3">
      <c r="A26" s="9"/>
      <c r="B26" s="9" t="s">
        <v>5</v>
      </c>
      <c r="C26" s="9" t="s">
        <v>5</v>
      </c>
      <c r="D26" s="9"/>
      <c r="E26" s="9" t="str" cm="1">
        <f t="array" ref="E26">_xll.U.WEB_CONTROL_LOCATION($B$20:$C$28,C21:C25)</f>
        <v>[R2C2:R6C2]</v>
      </c>
      <c r="F26" s="9" t="str" cm="1">
        <f t="array" ref="F26">_xll.U.TWO_WAY_DATA(,,,,E26)</f>
        <v>[UPDATE_SUBRANGE][R2C2:R6C2]</v>
      </c>
      <c r="G26" s="9"/>
      <c r="H26" s="9"/>
      <c r="I26" s="9"/>
      <c r="J26" s="9"/>
      <c r="K26" s="9"/>
      <c r="L26" s="9"/>
      <c r="M26" s="9"/>
      <c r="N26" s="9"/>
      <c r="O26" s="8"/>
    </row>
    <row r="27" spans="1:15" x14ac:dyDescent="0.3">
      <c r="A27" s="9"/>
      <c r="B27" s="102" t="s">
        <v>137</v>
      </c>
      <c r="C27" s="117">
        <f>ROUND(-PMT(C24/C25,C25*(C23-C22)/365.25,C21),2)</f>
        <v>536.51</v>
      </c>
      <c r="D27" s="9"/>
      <c r="E27" s="9"/>
      <c r="F27" s="9"/>
      <c r="G27" s="9"/>
      <c r="H27" s="9"/>
      <c r="I27" s="9"/>
      <c r="J27" s="9"/>
      <c r="K27" s="9"/>
      <c r="L27" s="9"/>
      <c r="M27" s="9"/>
      <c r="N27" s="9"/>
      <c r="O27" s="8"/>
    </row>
    <row r="28" spans="1:15" x14ac:dyDescent="0.3">
      <c r="A28" s="9"/>
      <c r="B28" s="102" t="s">
        <v>145</v>
      </c>
      <c r="C28" s="117">
        <f>ROUND(C27*C25/12,2)</f>
        <v>536.51</v>
      </c>
      <c r="D28" s="9"/>
      <c r="E28" s="9"/>
      <c r="F28" s="9"/>
      <c r="G28" s="9"/>
      <c r="H28" s="9"/>
      <c r="I28" s="9"/>
      <c r="J28" s="9"/>
      <c r="K28" s="9"/>
      <c r="L28" s="9"/>
      <c r="M28" s="9"/>
      <c r="N28" s="9"/>
      <c r="O28" s="8"/>
    </row>
    <row r="29" spans="1:15" x14ac:dyDescent="0.3">
      <c r="A29" s="9"/>
      <c r="B29" s="9"/>
      <c r="C29" s="9"/>
      <c r="D29" s="9"/>
      <c r="E29" s="9"/>
      <c r="F29" s="9"/>
      <c r="G29" s="9"/>
      <c r="H29" s="9"/>
      <c r="I29" s="9"/>
      <c r="J29" s="9"/>
      <c r="K29" s="9"/>
      <c r="L29" s="9"/>
      <c r="M29" s="9"/>
      <c r="N29" s="9"/>
      <c r="O29" s="8"/>
    </row>
    <row r="30" spans="1:15" x14ac:dyDescent="0.3">
      <c r="A30" s="9"/>
      <c r="B30" s="9"/>
      <c r="C30" s="9"/>
      <c r="D30" s="9"/>
      <c r="E30" s="9"/>
      <c r="F30" s="9"/>
      <c r="G30" s="9"/>
      <c r="H30" s="9"/>
      <c r="I30" s="9"/>
      <c r="J30" s="9"/>
      <c r="K30" s="9"/>
      <c r="L30" s="9"/>
      <c r="M30" s="9"/>
      <c r="N30" s="9"/>
      <c r="O30" s="8"/>
    </row>
    <row r="31" spans="1:15" x14ac:dyDescent="0.3">
      <c r="A31" s="9"/>
      <c r="B31" s="9"/>
      <c r="C31" s="9"/>
      <c r="D31" s="9"/>
      <c r="E31" s="9"/>
      <c r="F31" s="9"/>
      <c r="G31" s="9"/>
      <c r="H31" s="9"/>
      <c r="I31" s="9"/>
      <c r="J31" s="9"/>
      <c r="K31" s="9"/>
      <c r="L31" s="9"/>
      <c r="M31" s="9"/>
      <c r="N31" s="9"/>
      <c r="O31" s="8"/>
    </row>
    <row r="32" spans="1:15" x14ac:dyDescent="0.3">
      <c r="A32" s="6"/>
      <c r="B32" s="9"/>
      <c r="C32" s="9"/>
      <c r="D32" s="9"/>
      <c r="E32" s="9"/>
      <c r="F32" s="9"/>
      <c r="G32" s="9"/>
      <c r="H32" s="9"/>
      <c r="I32" s="9"/>
      <c r="J32" s="9"/>
      <c r="K32" s="9"/>
      <c r="L32" s="9"/>
      <c r="M32" s="9"/>
      <c r="N32" s="9"/>
      <c r="O32" s="8"/>
    </row>
    <row r="33" spans="1:15" x14ac:dyDescent="0.3">
      <c r="A33" s="6"/>
      <c r="B33" s="9"/>
      <c r="C33" s="9"/>
      <c r="D33" s="9"/>
      <c r="E33" s="9"/>
      <c r="F33" s="9"/>
      <c r="G33" s="9"/>
      <c r="H33" s="9"/>
      <c r="I33" s="9"/>
      <c r="J33" s="9"/>
      <c r="K33" s="9"/>
      <c r="L33" s="9"/>
      <c r="M33" s="9"/>
      <c r="N33" s="9"/>
      <c r="O33" s="8"/>
    </row>
    <row r="34" spans="1:15" x14ac:dyDescent="0.3">
      <c r="A34" s="6"/>
      <c r="B34" s="9"/>
      <c r="C34" s="9"/>
      <c r="D34" s="9"/>
      <c r="E34" s="9"/>
      <c r="F34" s="9"/>
      <c r="G34" s="9"/>
      <c r="H34" s="9"/>
      <c r="I34" s="9"/>
      <c r="J34" s="9"/>
      <c r="K34" s="9"/>
      <c r="L34" s="9"/>
      <c r="M34" s="9"/>
      <c r="N34" s="9"/>
      <c r="O34" s="8"/>
    </row>
    <row r="35" spans="1:15" x14ac:dyDescent="0.3">
      <c r="A35" s="6"/>
      <c r="B35" s="9"/>
      <c r="C35" s="9"/>
      <c r="D35" s="9"/>
      <c r="E35" s="9"/>
      <c r="F35" s="9"/>
      <c r="G35" s="9"/>
      <c r="H35" s="9"/>
      <c r="I35" s="9"/>
      <c r="J35" s="9"/>
      <c r="K35" s="9"/>
      <c r="L35" s="9"/>
      <c r="M35" s="9"/>
      <c r="N35" s="9"/>
      <c r="O35" s="8"/>
    </row>
    <row r="36" spans="1:15" x14ac:dyDescent="0.3">
      <c r="A36" s="6"/>
      <c r="B36" s="9"/>
      <c r="C36" s="9"/>
      <c r="D36" s="9"/>
      <c r="E36" s="9"/>
      <c r="F36" s="9"/>
      <c r="G36" s="9"/>
      <c r="H36" s="9"/>
      <c r="I36" s="9"/>
      <c r="J36" s="9"/>
      <c r="K36" s="9"/>
      <c r="L36" s="9"/>
      <c r="M36" s="9"/>
      <c r="N36" s="9"/>
      <c r="O36" s="8"/>
    </row>
    <row r="37" spans="1:15" x14ac:dyDescent="0.3">
      <c r="A37" s="6"/>
      <c r="B37" s="9"/>
      <c r="C37" s="9"/>
      <c r="D37" s="9"/>
      <c r="E37" s="9"/>
      <c r="F37" s="9"/>
      <c r="G37" s="9"/>
      <c r="H37" s="9"/>
      <c r="I37" s="9"/>
      <c r="J37" s="9"/>
      <c r="K37" s="9"/>
      <c r="L37" s="9"/>
      <c r="M37" s="9"/>
      <c r="N37" s="9"/>
      <c r="O37" s="8"/>
    </row>
    <row r="38" spans="1:15" x14ac:dyDescent="0.3">
      <c r="A38" s="6"/>
      <c r="B38" s="9"/>
      <c r="C38" s="9"/>
      <c r="D38" s="9"/>
      <c r="E38" s="9"/>
      <c r="F38" s="9"/>
      <c r="G38" s="9"/>
      <c r="H38" s="9"/>
      <c r="I38" s="9"/>
      <c r="J38" s="9"/>
      <c r="K38" s="9"/>
      <c r="L38" s="9"/>
      <c r="M38" s="9"/>
      <c r="N38" s="9"/>
      <c r="O38" s="8"/>
    </row>
    <row r="39" spans="1:15" x14ac:dyDescent="0.3">
      <c r="A39" s="6"/>
      <c r="B39" s="9"/>
      <c r="C39" s="9"/>
      <c r="D39" s="9"/>
      <c r="E39" s="9"/>
      <c r="F39" s="9"/>
      <c r="G39" s="9"/>
      <c r="H39" s="9"/>
      <c r="I39" s="9"/>
      <c r="J39" s="9"/>
      <c r="K39" s="9"/>
      <c r="L39" s="9"/>
      <c r="M39" s="9"/>
      <c r="N39" s="9"/>
      <c r="O39" s="8"/>
    </row>
    <row r="40" spans="1:15" x14ac:dyDescent="0.3">
      <c r="A40" s="6"/>
      <c r="B40" s="107"/>
      <c r="C40" s="107"/>
      <c r="D40" s="107"/>
      <c r="E40" s="107"/>
      <c r="F40" s="107"/>
      <c r="G40" s="107"/>
      <c r="H40" s="107"/>
      <c r="I40" s="107"/>
      <c r="J40" s="107"/>
      <c r="K40" s="107"/>
      <c r="L40" s="107"/>
      <c r="M40" s="107"/>
      <c r="N40" s="107"/>
      <c r="O40" s="8"/>
    </row>
    <row r="41" spans="1:15" x14ac:dyDescent="0.3">
      <c r="A41" s="6"/>
      <c r="B41" s="9"/>
      <c r="C41" s="9"/>
      <c r="D41" s="9"/>
      <c r="E41" s="9"/>
      <c r="F41" s="9"/>
      <c r="G41" s="9"/>
      <c r="H41" s="9"/>
      <c r="I41" s="9"/>
      <c r="J41" s="9"/>
      <c r="K41" s="9"/>
      <c r="L41" s="9"/>
      <c r="M41" s="9"/>
      <c r="N41" s="9"/>
      <c r="O41" s="8"/>
    </row>
    <row r="42" spans="1:15" x14ac:dyDescent="0.3">
      <c r="A42" s="6"/>
      <c r="B42" s="9"/>
      <c r="C42" s="9"/>
      <c r="D42" s="9"/>
      <c r="E42" s="9"/>
      <c r="F42" s="9"/>
      <c r="G42" s="9"/>
      <c r="H42" s="9"/>
      <c r="I42" s="9"/>
      <c r="J42" s="9"/>
      <c r="K42" s="9"/>
      <c r="L42" s="9"/>
      <c r="M42" s="9"/>
      <c r="N42" s="9"/>
      <c r="O42" s="8"/>
    </row>
    <row r="43" spans="1:15" ht="18" x14ac:dyDescent="0.35">
      <c r="A43" s="6"/>
      <c r="B43" s="105" t="s">
        <v>148</v>
      </c>
      <c r="C43" s="9"/>
      <c r="D43" s="9"/>
      <c r="E43" s="9"/>
      <c r="F43" s="9"/>
      <c r="G43" s="9"/>
      <c r="H43" s="9"/>
      <c r="I43" s="9"/>
      <c r="J43" s="9"/>
      <c r="K43" s="9"/>
      <c r="L43" s="9"/>
      <c r="M43" s="9"/>
      <c r="N43" s="9"/>
      <c r="O43" s="8"/>
    </row>
    <row r="44" spans="1:15" x14ac:dyDescent="0.3">
      <c r="A44" s="6"/>
      <c r="B44" s="9"/>
      <c r="C44" s="9"/>
      <c r="D44" s="9"/>
      <c r="E44" s="9"/>
      <c r="F44" s="9"/>
      <c r="G44" s="9"/>
      <c r="H44" s="9"/>
      <c r="I44" s="9"/>
      <c r="J44" s="9"/>
      <c r="K44" s="9"/>
      <c r="L44" s="9"/>
      <c r="M44" s="9"/>
      <c r="N44" s="9"/>
      <c r="O44" s="8"/>
    </row>
    <row r="45" spans="1:15" x14ac:dyDescent="0.3">
      <c r="A45" s="6"/>
      <c r="B45" s="103" t="s">
        <v>144</v>
      </c>
      <c r="C45" s="104" t="str" cm="1">
        <f t="array" ref="C45">IF(ENABLED,_xll.U.TWO_WAY_DATA(C47,C48,(B57:D61,G45),B51:C55,(F57:F60,G46)),"Not enabled")</f>
        <v>Not enabled</v>
      </c>
      <c r="D45" s="9"/>
      <c r="E45" s="9"/>
      <c r="F45" s="103" t="s">
        <v>179</v>
      </c>
      <c r="G45" s="62" t="str" cm="1">
        <f t="array" ref="G45">_xll.U.RANGE_REF(R57:T61)</f>
        <v>[REF]{{36844#1722745131040!R57C18:R61C20}}</v>
      </c>
      <c r="H45" s="9"/>
      <c r="I45" s="9"/>
      <c r="J45" s="9"/>
      <c r="K45" s="9"/>
      <c r="L45" s="9"/>
      <c r="M45" s="9"/>
      <c r="N45" s="9"/>
      <c r="O45" s="8"/>
    </row>
    <row r="46" spans="1:15" x14ac:dyDescent="0.3">
      <c r="A46" s="6"/>
      <c r="B46" s="9"/>
      <c r="C46" s="9"/>
      <c r="D46" s="9"/>
      <c r="E46" s="9"/>
      <c r="F46" s="103" t="s">
        <v>180</v>
      </c>
      <c r="G46" s="62" t="str" cm="1">
        <f t="array" ref="G46">_xll.U.RANGE_REF(V57:V60)</f>
        <v>[REF]{{36844#1722745131040!R57C22:R60C22}}</v>
      </c>
      <c r="H46" s="9"/>
      <c r="I46" s="9"/>
      <c r="J46" s="9"/>
      <c r="K46" s="9"/>
      <c r="L46" s="9"/>
      <c r="M46" s="9"/>
      <c r="N46" s="9"/>
      <c r="O46" s="8"/>
    </row>
    <row r="47" spans="1:15" x14ac:dyDescent="0.3">
      <c r="A47" s="6"/>
      <c r="B47" s="103" t="s">
        <v>140</v>
      </c>
      <c r="C47" s="89" t="s">
        <v>141</v>
      </c>
      <c r="D47" s="9"/>
      <c r="E47" s="9"/>
      <c r="F47" s="9"/>
      <c r="G47" s="9"/>
      <c r="H47" s="9"/>
      <c r="I47" s="9"/>
      <c r="J47" s="9"/>
      <c r="K47" s="9"/>
      <c r="L47" s="9"/>
      <c r="M47" s="9"/>
      <c r="N47" s="9"/>
      <c r="O47" s="8"/>
    </row>
    <row r="48" spans="1:15" x14ac:dyDescent="0.3">
      <c r="A48" s="6"/>
      <c r="B48" s="103" t="s">
        <v>142</v>
      </c>
      <c r="C48" s="89" t="s">
        <v>149</v>
      </c>
      <c r="D48" s="9"/>
      <c r="E48" s="9"/>
      <c r="F48" s="103" t="s">
        <v>155</v>
      </c>
      <c r="G48" s="62" t="str">
        <f>C48&amp;".IS_MID_EDIT"</f>
        <v>Debt_Counter.IS_MID_EDIT</v>
      </c>
      <c r="H48" s="9"/>
      <c r="I48" s="9"/>
      <c r="J48" s="9"/>
      <c r="K48" s="9"/>
      <c r="L48" s="9"/>
      <c r="M48" s="9"/>
      <c r="N48" s="9"/>
      <c r="O48" s="8"/>
    </row>
    <row r="49" spans="1:25" x14ac:dyDescent="0.3">
      <c r="A49" s="6"/>
      <c r="B49" s="9"/>
      <c r="C49" s="9"/>
      <c r="D49" s="9"/>
      <c r="E49" s="9"/>
      <c r="F49" s="103" t="s">
        <v>154</v>
      </c>
      <c r="G49" s="62" t="b" cm="1">
        <f t="array" ref="G49">IFERROR(_xll.U.GET(_xll.U.SUBSCRIBE(C47,G48)),FALSE)</f>
        <v>0</v>
      </c>
      <c r="H49" s="9"/>
      <c r="I49" s="9"/>
      <c r="J49" s="9"/>
      <c r="K49" s="9"/>
      <c r="L49" s="9"/>
      <c r="M49" s="9"/>
      <c r="N49" s="9"/>
      <c r="O49" s="8"/>
    </row>
    <row r="50" spans="1:25" x14ac:dyDescent="0.3">
      <c r="A50" s="6"/>
      <c r="B50" s="211" t="s">
        <v>169</v>
      </c>
      <c r="C50" s="212"/>
      <c r="D50" s="9"/>
      <c r="E50" s="9"/>
      <c r="F50" s="9"/>
      <c r="G50" s="9"/>
      <c r="H50" s="9"/>
      <c r="I50" s="9"/>
      <c r="J50" s="9"/>
      <c r="K50" s="9"/>
      <c r="L50" s="9"/>
      <c r="M50" s="9"/>
      <c r="N50" s="9"/>
      <c r="O50" s="8"/>
    </row>
    <row r="51" spans="1:25" x14ac:dyDescent="0.3">
      <c r="A51" s="6"/>
      <c r="B51" s="1" t="str">
        <f t="array" ref="B51:C51">_xll.U.HAS_WEB_CONTROLS(TRUE)</f>
        <v>U.HAS_WEB_CONTROLS</v>
      </c>
      <c r="C51" s="1" t="str">
        <v>r</v>
      </c>
      <c r="D51" s="9"/>
      <c r="E51" s="9"/>
      <c r="F51" s="103" t="s">
        <v>153</v>
      </c>
      <c r="G51" s="111">
        <v>22617940000000</v>
      </c>
      <c r="H51" s="9"/>
      <c r="I51" s="9"/>
      <c r="J51" s="9"/>
      <c r="K51" s="9"/>
      <c r="L51" s="9"/>
      <c r="M51" s="9"/>
      <c r="N51" s="9"/>
      <c r="O51" s="8"/>
      <c r="V51" s="103" t="s">
        <v>152</v>
      </c>
      <c r="W51" s="111">
        <v>38005225000000</v>
      </c>
    </row>
    <row r="52" spans="1:25" x14ac:dyDescent="0.3">
      <c r="A52" s="6"/>
      <c r="B52" s="1" t="str">
        <f t="array" ref="B52:C52">_xll.U.ALLOW_PUBLISH(TRUE)</f>
        <v>U.ALLOW_FAST_RESPONSE</v>
      </c>
      <c r="C52" s="1" t="b">
        <v>1</v>
      </c>
      <c r="D52" s="9"/>
      <c r="E52" s="9"/>
      <c r="F52" s="103" t="s">
        <v>150</v>
      </c>
      <c r="G52" s="112">
        <v>43731</v>
      </c>
      <c r="H52" s="9"/>
      <c r="I52" s="9"/>
      <c r="J52" s="9"/>
      <c r="K52" s="9"/>
      <c r="L52" s="9"/>
      <c r="M52" s="9"/>
      <c r="N52" s="9"/>
      <c r="O52" s="8"/>
      <c r="V52" s="103" t="s">
        <v>150</v>
      </c>
      <c r="W52" s="112">
        <v>43731</v>
      </c>
    </row>
    <row r="53" spans="1:25" x14ac:dyDescent="0.3">
      <c r="A53" s="6"/>
      <c r="B53" s="1" t="str">
        <f t="array" ref="B53:C53">_xll.U.INCLUDE_HTML()</f>
        <v>U.HTML_INCLUDED</v>
      </c>
      <c r="C53" s="1">
        <v>0.35</v>
      </c>
      <c r="D53" s="9"/>
      <c r="E53" s="9"/>
      <c r="F53" s="103" t="s">
        <v>151</v>
      </c>
      <c r="G53" s="111">
        <v>3030000000</v>
      </c>
      <c r="H53" s="9"/>
      <c r="I53" s="9"/>
      <c r="J53" s="9"/>
      <c r="K53" s="9"/>
      <c r="L53" s="9"/>
      <c r="M53" s="9"/>
      <c r="N53" s="9"/>
      <c r="O53" s="8"/>
      <c r="V53" s="103" t="s">
        <v>151</v>
      </c>
      <c r="W53" s="111">
        <v>121432812844.68956</v>
      </c>
    </row>
    <row r="54" spans="1:25" x14ac:dyDescent="0.3">
      <c r="A54" s="6"/>
      <c r="B54" s="1" t="str">
        <f t="array" ref="B54:C55">_xll.U.PAGE_NAMES("USA,China")</f>
        <v>U.PAGE_1_NAME</v>
      </c>
      <c r="C54" s="1" t="str">
        <v>USA</v>
      </c>
      <c r="D54" s="9"/>
      <c r="E54" s="9"/>
      <c r="F54" s="9"/>
      <c r="G54" s="9"/>
      <c r="H54" s="9"/>
      <c r="I54" s="9"/>
      <c r="J54" s="9"/>
      <c r="K54" s="9"/>
      <c r="L54" s="9"/>
      <c r="M54" s="9"/>
      <c r="N54" s="9"/>
      <c r="O54" s="8"/>
    </row>
    <row r="55" spans="1:25" x14ac:dyDescent="0.3">
      <c r="A55" s="6"/>
      <c r="B55" s="1" t="str">
        <v>U.PAGE_2_NAME</v>
      </c>
      <c r="C55" s="1" t="str">
        <v>China</v>
      </c>
      <c r="D55" s="9"/>
      <c r="E55" s="9"/>
      <c r="F55" s="9"/>
      <c r="G55" s="9"/>
      <c r="H55" s="9"/>
      <c r="I55" s="9"/>
      <c r="J55" s="9"/>
      <c r="K55" s="9"/>
      <c r="L55" s="9"/>
      <c r="M55" s="9"/>
      <c r="N55" s="9"/>
      <c r="O55" s="8"/>
    </row>
    <row r="56" spans="1:25" x14ac:dyDescent="0.3">
      <c r="A56" s="6"/>
      <c r="B56" s="9"/>
      <c r="C56" s="9"/>
      <c r="D56" s="9"/>
      <c r="E56" s="9"/>
      <c r="F56" s="9"/>
      <c r="G56" s="9"/>
      <c r="H56" s="9"/>
      <c r="I56" s="9"/>
      <c r="J56" s="9"/>
      <c r="K56" s="9"/>
      <c r="L56" s="9"/>
      <c r="M56" s="9"/>
      <c r="N56" s="9"/>
      <c r="O56" s="8"/>
    </row>
    <row r="57" spans="1:25" x14ac:dyDescent="0.3">
      <c r="A57" s="6"/>
      <c r="B57" s="110" t="s">
        <v>159</v>
      </c>
      <c r="C57" s="114" cm="1">
        <f t="array" ref="C57">IF(ENABLED,ROUND(IF(G49,_xll.U.CURRENT_VALS(),G51+(_xll.U.NOW(1)-G52)*G53),0),G51)</f>
        <v>22617940000000</v>
      </c>
      <c r="D57" s="9"/>
      <c r="E57" s="9" t="str" cm="1">
        <f t="array" ref="E57">_xll.U.WEB_CONTROL_LOCATION($B$57:$C$61,C59)</f>
        <v>[R3C2]</v>
      </c>
      <c r="F57" s="9" t="str" cm="1">
        <f t="array" ref="F57">_xll.U.WEB_CONTROL.DATEPICKER(C59,,E57)</f>
        <v>[HTML::DATEPICKER ID=IFAB][VAL=d|][R3C2]</v>
      </c>
      <c r="G57" s="9"/>
      <c r="H57" s="9"/>
      <c r="I57" s="9"/>
      <c r="J57" s="9"/>
      <c r="K57" s="9"/>
      <c r="L57" s="9"/>
      <c r="M57" s="9"/>
      <c r="N57" s="9"/>
      <c r="O57" s="8"/>
      <c r="R57" s="110" t="s">
        <v>160</v>
      </c>
      <c r="S57" s="114" cm="1">
        <f t="array" ref="S57">IF(ENABLED,ROUND(IF(G49,_xll.U.CURRENT_VALS(),W51+(_xll.U.NOW(1)-W52)*W53),0),W51)</f>
        <v>38005225000000</v>
      </c>
      <c r="T57" s="9"/>
      <c r="U57" s="9" t="str" cm="1">
        <f t="array" ref="U57">_xll.U.WEB_CONTROL_LOCATION($R$57:$S$61,S59)</f>
        <v>[R3C2]</v>
      </c>
      <c r="V57" s="9" t="str" cm="1">
        <f t="array" ref="V57">_xll.U.WEB_CONTROL.DATEPICKER(S59,,U57)</f>
        <v>[HTML::DATEPICKER ID=GCHL][VAL=d|][R3C2]</v>
      </c>
      <c r="W57" s="9"/>
      <c r="X57" s="9"/>
      <c r="Y57" s="9"/>
    </row>
    <row r="58" spans="1:25" x14ac:dyDescent="0.3">
      <c r="A58" s="6"/>
      <c r="B58" s="110"/>
      <c r="C58" s="109"/>
      <c r="D58" s="9"/>
      <c r="E58" s="9" t="str" cm="1">
        <f t="array" ref="E58">_xll.U.WEB_CONTROL_LOCATION($B$57:$C$61,C59)</f>
        <v>[R3C2]</v>
      </c>
      <c r="F58" s="9" t="str" cm="1">
        <f t="array" ref="F58">_xll.U.TWO_WAY_DATA(,,,,E58)</f>
        <v>[UPDATE_SUBRANGE][R3C2]</v>
      </c>
      <c r="G58" s="9"/>
      <c r="H58" s="9"/>
      <c r="I58" s="9"/>
      <c r="J58" s="9"/>
      <c r="K58" s="9"/>
      <c r="L58" s="9"/>
      <c r="M58" s="9"/>
      <c r="N58" s="9"/>
      <c r="O58" s="8"/>
      <c r="R58" s="110"/>
      <c r="S58" s="109" t="s">
        <v>5</v>
      </c>
      <c r="T58" s="9"/>
      <c r="U58" s="9" t="str" cm="1">
        <f t="array" ref="U58">_xll.U.WEB_CONTROL_LOCATION($R$57:$S$61,S59)</f>
        <v>[R3C2]</v>
      </c>
      <c r="V58" s="9" t="str" cm="1">
        <f t="array" ref="V58">_xll.U.TWO_WAY_DATA(,,,,U58)</f>
        <v>[UPDATE_SUBRANGE][R3C2]</v>
      </c>
      <c r="W58" s="9"/>
      <c r="X58" s="9"/>
      <c r="Y58" s="9"/>
    </row>
    <row r="59" spans="1:25" ht="15" thickBot="1" x14ac:dyDescent="0.35">
      <c r="A59" s="6"/>
      <c r="B59" s="110" t="s">
        <v>156</v>
      </c>
      <c r="C59" s="139" t="s">
        <v>266</v>
      </c>
      <c r="D59" s="9"/>
      <c r="E59" s="9" t="str" cm="1">
        <f t="array" ref="E59">_xll.U.WEB_CONTROL_LOCATION($B$57:$C$61,B61)</f>
        <v>[R5C1]</v>
      </c>
      <c r="F59" s="9" t="str" cm="1">
        <f t="array" ref="F59">_xll.U.WEB_CONTROL.BUTTON("",{"type","submit";"size","sm"},E59)</f>
        <v>[HTML::BUTTON ID=QMQV TYPE=SUBMIT SIZE=S][VAL=u|][R5C1]</v>
      </c>
      <c r="G59" s="9"/>
      <c r="H59" s="9"/>
      <c r="I59" s="9"/>
      <c r="J59" s="9"/>
      <c r="K59" s="9"/>
      <c r="L59" s="9"/>
      <c r="M59" s="9"/>
      <c r="N59" s="9"/>
      <c r="O59" s="8"/>
      <c r="R59" s="110" t="s">
        <v>156</v>
      </c>
      <c r="S59" s="139" t="s">
        <v>267</v>
      </c>
      <c r="T59" s="9"/>
      <c r="U59" s="9" t="str" cm="1">
        <f t="array" ref="U59">_xll.U.WEB_CONTROL_LOCATION($R$57:$S$61,R61)</f>
        <v>[R5C1]</v>
      </c>
      <c r="V59" s="9" t="str" cm="1">
        <f t="array" ref="V59">_xll.U.WEB_CONTROL.BUTTON("",{"type","submit";"size","sm"},U59)</f>
        <v>[HTML::BUTTON ID=WCDU TYPE=SUBMIT SIZE=S][VAL=u|][R5C1]</v>
      </c>
      <c r="W59" s="9"/>
      <c r="X59" s="9"/>
      <c r="Y59" s="9"/>
    </row>
    <row r="60" spans="1:25" ht="15" thickBot="1" x14ac:dyDescent="0.35">
      <c r="A60" s="6"/>
      <c r="B60" s="110" t="s">
        <v>162</v>
      </c>
      <c r="C60" s="113">
        <f>ROUND(G51+(C59-G52)*G53,0)</f>
        <v>22584610000000</v>
      </c>
      <c r="D60" s="9"/>
      <c r="E60" t="str" cm="1">
        <f t="array" ref="E60">_xll.U.WEB_CONTROL_LOCATION($B$57:$C$61,C61)</f>
        <v>[R5C2]</v>
      </c>
      <c r="F60" s="9" t="str" cm="1">
        <f t="array" ref="F60">_xll.U.WEB_CONTROL.BUTTON("",{"type","cancel";"size","sm"},E60)</f>
        <v>[HTML::BUTTON ID=IUXY TYPE=CANCEL SIZE=S][VAL=u|][R5C2]</v>
      </c>
      <c r="G60" s="9"/>
      <c r="H60" s="9"/>
      <c r="I60" s="9"/>
      <c r="J60" s="9"/>
      <c r="K60" s="9"/>
      <c r="L60" s="9"/>
      <c r="M60" s="9"/>
      <c r="N60" s="9"/>
      <c r="O60" s="8"/>
      <c r="R60" s="110" t="s">
        <v>161</v>
      </c>
      <c r="S60" s="113">
        <f>ROUND(W51+(S59-W52)*W53,0)</f>
        <v>38248090625689</v>
      </c>
      <c r="T60" s="9"/>
      <c r="U60" t="str" cm="1">
        <f t="array" ref="U60">_xll.U.WEB_CONTROL_LOCATION($R$57:$S$61,S61)</f>
        <v>[R5C2]</v>
      </c>
      <c r="V60" s="9" t="str" cm="1">
        <f t="array" ref="V60">_xll.U.WEB_CONTROL.BUTTON("",{"type","cancel";"size","sm"},U60)</f>
        <v>[HTML::BUTTON ID=RNWO TYPE=CANCEL SIZE=S][VAL=u|][R5C2]</v>
      </c>
      <c r="W60" s="9"/>
      <c r="X60" s="9"/>
      <c r="Y60" s="9"/>
    </row>
    <row r="61" spans="1:25" ht="35.25" customHeight="1" x14ac:dyDescent="0.3">
      <c r="A61" s="6"/>
      <c r="B61" s="108"/>
      <c r="C61" s="108"/>
      <c r="D61" s="9"/>
      <c r="E61" s="9"/>
      <c r="F61" s="9"/>
      <c r="G61" s="9"/>
      <c r="H61" s="9"/>
      <c r="I61" s="9"/>
      <c r="J61" s="9"/>
      <c r="K61" s="9"/>
      <c r="L61" s="9"/>
      <c r="M61" s="9"/>
      <c r="N61" s="9"/>
      <c r="O61" s="8"/>
      <c r="R61" s="108"/>
      <c r="S61" s="108"/>
      <c r="T61" s="9"/>
      <c r="U61" s="9"/>
      <c r="V61" s="9"/>
      <c r="W61" s="9"/>
      <c r="X61" s="9"/>
      <c r="Y61" s="9"/>
    </row>
    <row r="62" spans="1:25" x14ac:dyDescent="0.3">
      <c r="A62" s="6"/>
      <c r="B62" s="9"/>
      <c r="C62" s="9"/>
      <c r="D62" s="9"/>
      <c r="E62" s="9"/>
      <c r="F62" s="9"/>
      <c r="G62" s="9"/>
      <c r="H62" s="9"/>
      <c r="I62" s="9"/>
      <c r="J62" s="9"/>
      <c r="K62" s="9"/>
      <c r="L62" s="9"/>
      <c r="M62" s="9"/>
      <c r="N62" s="9"/>
      <c r="O62" s="8"/>
      <c r="R62" s="9"/>
      <c r="S62" s="9"/>
      <c r="T62" s="9"/>
      <c r="U62" s="9"/>
      <c r="V62" s="9"/>
      <c r="W62" s="9"/>
      <c r="X62" s="9"/>
      <c r="Y62" s="9"/>
    </row>
    <row r="63" spans="1:25" x14ac:dyDescent="0.3">
      <c r="A63" s="6"/>
      <c r="B63" s="9"/>
      <c r="C63" s="9"/>
      <c r="D63" s="9"/>
      <c r="E63" s="9"/>
      <c r="F63" s="9"/>
      <c r="G63" s="9"/>
      <c r="H63" s="9"/>
      <c r="I63" s="9"/>
      <c r="J63" s="9"/>
      <c r="K63" s="9"/>
      <c r="L63" s="9"/>
      <c r="M63" s="9"/>
      <c r="N63" s="9"/>
      <c r="O63" s="8"/>
      <c r="R63" s="9"/>
      <c r="S63" s="9"/>
      <c r="T63" s="9"/>
      <c r="U63" s="9"/>
      <c r="V63" s="9"/>
      <c r="X63" s="9"/>
      <c r="Y63" s="9"/>
    </row>
    <row r="64" spans="1:25" x14ac:dyDescent="0.3">
      <c r="A64" s="6"/>
      <c r="B64" s="9"/>
      <c r="C64" s="9"/>
      <c r="D64" s="9"/>
      <c r="E64" s="9"/>
      <c r="F64" s="9"/>
      <c r="G64" s="9"/>
      <c r="H64" s="9"/>
      <c r="I64" s="9"/>
      <c r="J64" s="9"/>
      <c r="K64" s="9"/>
      <c r="L64" s="9"/>
      <c r="M64" s="9"/>
      <c r="N64" s="9"/>
      <c r="O64" s="8"/>
      <c r="R64" s="9"/>
      <c r="S64" s="9"/>
      <c r="T64" s="9"/>
      <c r="U64" s="9"/>
      <c r="V64" s="9"/>
      <c r="W64" s="9"/>
      <c r="X64" s="9"/>
      <c r="Y64" s="9"/>
    </row>
    <row r="65" spans="1:25" x14ac:dyDescent="0.3">
      <c r="A65" s="6"/>
      <c r="B65" s="9"/>
      <c r="C65" s="9"/>
      <c r="D65" s="9"/>
      <c r="E65" s="9"/>
      <c r="F65" s="9"/>
      <c r="G65" s="9"/>
      <c r="H65" s="9"/>
      <c r="I65" s="9"/>
      <c r="J65" s="9"/>
      <c r="K65" s="9"/>
      <c r="L65" s="9"/>
      <c r="M65" s="9"/>
      <c r="N65" s="9"/>
      <c r="O65" s="8"/>
      <c r="R65" s="9"/>
      <c r="S65" s="9"/>
      <c r="T65" s="9"/>
      <c r="U65" s="9"/>
      <c r="V65" s="9"/>
      <c r="W65" s="9"/>
      <c r="X65" s="9"/>
      <c r="Y65" s="9"/>
    </row>
    <row r="66" spans="1:25" x14ac:dyDescent="0.3">
      <c r="A66" s="6"/>
      <c r="B66" s="9"/>
      <c r="C66" s="9"/>
      <c r="D66" s="9"/>
      <c r="E66" s="9"/>
      <c r="F66" s="9"/>
      <c r="G66" s="9"/>
      <c r="H66" s="9"/>
      <c r="I66" s="9"/>
      <c r="J66" s="9"/>
      <c r="K66" s="9"/>
      <c r="L66" s="9"/>
      <c r="M66" s="9"/>
      <c r="N66" s="9"/>
      <c r="O66" s="8"/>
    </row>
    <row r="67" spans="1:25" x14ac:dyDescent="0.3">
      <c r="A67" s="6"/>
      <c r="B67" s="9"/>
      <c r="C67" s="9"/>
      <c r="D67" s="9"/>
      <c r="E67" s="9"/>
      <c r="F67" s="9"/>
      <c r="G67" s="9"/>
      <c r="H67" s="9"/>
      <c r="I67" s="9"/>
      <c r="J67" s="9"/>
      <c r="K67" s="9"/>
      <c r="L67" s="9"/>
      <c r="M67" s="9"/>
      <c r="N67" s="9"/>
      <c r="O67" s="8"/>
    </row>
    <row r="68" spans="1:25" x14ac:dyDescent="0.3">
      <c r="A68" s="6"/>
      <c r="B68" s="103" t="s">
        <v>256</v>
      </c>
      <c r="C68" s="89" t="b">
        <v>0</v>
      </c>
      <c r="D68" s="9"/>
      <c r="E68" s="9"/>
      <c r="F68" s="9"/>
      <c r="G68" s="9"/>
      <c r="H68" s="9"/>
      <c r="I68" s="9"/>
      <c r="J68" s="9"/>
      <c r="K68" s="9"/>
      <c r="L68" s="9"/>
      <c r="M68" s="9"/>
      <c r="N68" s="9"/>
      <c r="O68" s="8"/>
    </row>
    <row r="69" spans="1:25" x14ac:dyDescent="0.3">
      <c r="A69" s="6"/>
      <c r="B69" s="9"/>
      <c r="C69" s="9"/>
      <c r="D69" s="9"/>
      <c r="E69" s="9"/>
      <c r="F69" s="9"/>
      <c r="G69" s="9"/>
      <c r="H69" s="9"/>
      <c r="I69" s="9"/>
      <c r="J69" s="9"/>
      <c r="K69" s="9"/>
      <c r="L69" s="9"/>
      <c r="M69" s="9"/>
      <c r="N69" s="9"/>
      <c r="O69" s="8"/>
    </row>
    <row r="70" spans="1:25" x14ac:dyDescent="0.3">
      <c r="A70" s="6"/>
      <c r="B70" s="9"/>
      <c r="C70" s="9"/>
      <c r="D70" s="9"/>
      <c r="E70" s="9"/>
      <c r="F70" s="9"/>
      <c r="G70" s="9"/>
      <c r="H70" s="9"/>
      <c r="I70" s="9"/>
      <c r="J70" s="9"/>
      <c r="K70" s="9"/>
      <c r="L70" s="9"/>
      <c r="M70" s="9"/>
      <c r="N70" s="9"/>
      <c r="O70" s="8"/>
    </row>
    <row r="71" spans="1:25" x14ac:dyDescent="0.3">
      <c r="A71" s="6"/>
      <c r="B71" s="9"/>
      <c r="C71" s="9"/>
      <c r="D71" s="9"/>
      <c r="E71" s="9"/>
      <c r="F71" s="9"/>
      <c r="G71" s="9"/>
      <c r="H71" s="9"/>
      <c r="I71" s="9"/>
      <c r="J71" s="9"/>
      <c r="K71" s="9"/>
      <c r="L71" s="9"/>
      <c r="M71" s="9"/>
      <c r="N71" s="9"/>
      <c r="O71" s="8"/>
    </row>
    <row r="72" spans="1:25" x14ac:dyDescent="0.3">
      <c r="A72" s="6"/>
      <c r="B72" s="9"/>
      <c r="C72" s="9"/>
      <c r="D72" s="9"/>
      <c r="E72" s="9"/>
      <c r="F72" s="9"/>
      <c r="G72" s="9"/>
      <c r="H72" s="9"/>
      <c r="I72" s="9"/>
      <c r="J72" s="9"/>
      <c r="K72" s="9"/>
      <c r="L72" s="9"/>
      <c r="M72" s="9"/>
      <c r="N72" s="9"/>
      <c r="O72" s="8"/>
    </row>
    <row r="73" spans="1:25" x14ac:dyDescent="0.3">
      <c r="A73" s="6"/>
      <c r="B73" s="107"/>
      <c r="C73" s="107"/>
      <c r="D73" s="107"/>
      <c r="E73" s="107"/>
      <c r="F73" s="107"/>
      <c r="G73" s="107"/>
      <c r="H73" s="107"/>
      <c r="I73" s="107"/>
      <c r="J73" s="107"/>
      <c r="K73" s="107"/>
      <c r="L73" s="107"/>
      <c r="M73" s="107"/>
      <c r="N73" s="107"/>
      <c r="O73" s="8"/>
    </row>
    <row r="74" spans="1:25" x14ac:dyDescent="0.3">
      <c r="A74" s="6"/>
      <c r="B74" s="9"/>
      <c r="C74" s="9"/>
      <c r="D74" s="9"/>
      <c r="E74" s="9"/>
      <c r="F74" s="9"/>
      <c r="G74" s="9"/>
      <c r="H74" s="9"/>
      <c r="I74" s="9"/>
      <c r="J74" s="9"/>
      <c r="K74" s="9"/>
      <c r="L74" s="9"/>
      <c r="M74" s="9"/>
      <c r="N74" s="9"/>
      <c r="O74" s="8"/>
    </row>
    <row r="75" spans="1:25" x14ac:dyDescent="0.3">
      <c r="A75" s="6"/>
      <c r="B75" s="9"/>
      <c r="C75" s="9"/>
      <c r="D75" s="9"/>
      <c r="E75" s="9"/>
      <c r="F75" s="9"/>
      <c r="G75" s="9"/>
      <c r="H75" s="9"/>
      <c r="I75" s="9"/>
      <c r="J75" s="9"/>
      <c r="K75" s="9"/>
      <c r="L75" s="9"/>
      <c r="M75" s="9"/>
      <c r="N75" s="9"/>
      <c r="O75" s="8"/>
    </row>
    <row r="76" spans="1:25" ht="18" x14ac:dyDescent="0.35">
      <c r="A76" s="6"/>
      <c r="B76" s="105" t="s">
        <v>158</v>
      </c>
      <c r="C76" s="9"/>
      <c r="D76" s="9"/>
      <c r="E76" s="9"/>
      <c r="F76" s="9"/>
      <c r="G76" s="9"/>
      <c r="H76" s="9"/>
      <c r="I76" s="9"/>
      <c r="J76" s="9"/>
      <c r="K76" s="9"/>
      <c r="L76" s="9"/>
      <c r="M76" s="9"/>
      <c r="N76" s="9"/>
      <c r="O76" s="8"/>
    </row>
    <row r="77" spans="1:25" x14ac:dyDescent="0.3">
      <c r="A77" s="6"/>
      <c r="B77" s="9"/>
      <c r="C77" s="9"/>
      <c r="D77" s="9"/>
      <c r="E77" s="9"/>
      <c r="F77" s="9"/>
      <c r="G77" s="9"/>
      <c r="H77" s="9"/>
      <c r="I77" s="9"/>
      <c r="J77" s="9"/>
      <c r="K77" s="9"/>
      <c r="L77" s="9"/>
      <c r="M77" s="9"/>
      <c r="N77" s="9"/>
      <c r="O77" s="8"/>
    </row>
    <row r="78" spans="1:25" x14ac:dyDescent="0.3">
      <c r="A78" s="6"/>
      <c r="B78" s="103" t="s">
        <v>144</v>
      </c>
      <c r="C78" s="104" t="str" cm="1">
        <f t="array" ref="C78">IF(ENABLED,_xll.U.TWO_WAY_DATA(C80,C81,B89:C97,B84:C86,F90:F97),"Not enabled")</f>
        <v>Not enabled</v>
      </c>
      <c r="D78" s="9"/>
      <c r="E78" s="9"/>
      <c r="F78" s="9"/>
      <c r="G78" s="9"/>
      <c r="H78" s="9"/>
      <c r="I78" s="9"/>
      <c r="J78" s="9"/>
      <c r="K78" s="9"/>
      <c r="L78" s="9"/>
      <c r="M78" s="9"/>
      <c r="N78" s="9"/>
      <c r="O78" s="8"/>
    </row>
    <row r="79" spans="1:25" x14ac:dyDescent="0.3">
      <c r="A79" s="6"/>
      <c r="B79" s="9"/>
      <c r="C79" s="9"/>
      <c r="D79" s="9"/>
      <c r="E79" s="9"/>
      <c r="F79" s="9"/>
      <c r="G79" s="9"/>
      <c r="H79" s="9"/>
      <c r="I79" s="9"/>
      <c r="J79" s="9"/>
      <c r="K79" s="9"/>
      <c r="L79" s="9"/>
      <c r="M79" s="9"/>
      <c r="N79" s="9"/>
      <c r="O79" s="8"/>
    </row>
    <row r="80" spans="1:25" x14ac:dyDescent="0.3">
      <c r="A80" s="6"/>
      <c r="B80" s="103" t="s">
        <v>140</v>
      </c>
      <c r="C80" s="89" t="s">
        <v>141</v>
      </c>
      <c r="D80" s="9"/>
      <c r="E80" s="9"/>
      <c r="F80" s="9"/>
      <c r="G80" s="9"/>
      <c r="H80" s="9"/>
      <c r="I80" s="9"/>
      <c r="J80" s="9"/>
      <c r="K80" s="9"/>
      <c r="L80" s="9"/>
      <c r="M80" s="9"/>
      <c r="N80" s="9"/>
      <c r="O80" s="8"/>
    </row>
    <row r="81" spans="1:15" x14ac:dyDescent="0.3">
      <c r="A81" s="6"/>
      <c r="B81" s="103" t="s">
        <v>142</v>
      </c>
      <c r="C81" s="89" t="s">
        <v>157</v>
      </c>
      <c r="D81" s="9"/>
      <c r="E81" s="9"/>
      <c r="F81" s="9"/>
      <c r="G81" s="9"/>
      <c r="H81" s="9"/>
      <c r="I81" s="9"/>
      <c r="J81" s="9"/>
      <c r="K81" s="9"/>
      <c r="L81" s="9"/>
      <c r="M81" s="9"/>
      <c r="N81" s="9"/>
      <c r="O81" s="8"/>
    </row>
    <row r="82" spans="1:15" x14ac:dyDescent="0.3">
      <c r="A82" s="6"/>
      <c r="B82" s="9"/>
      <c r="C82" s="9"/>
      <c r="D82" s="9"/>
      <c r="E82" s="9"/>
      <c r="F82" s="9"/>
      <c r="G82" s="9"/>
      <c r="H82" s="9"/>
      <c r="I82" s="9"/>
      <c r="J82" s="9"/>
      <c r="K82" s="9"/>
      <c r="L82" s="9"/>
      <c r="M82" s="9"/>
      <c r="N82" s="9"/>
      <c r="O82" s="8"/>
    </row>
    <row r="83" spans="1:15" x14ac:dyDescent="0.3">
      <c r="A83" s="6"/>
      <c r="B83" s="211" t="s">
        <v>169</v>
      </c>
      <c r="C83" s="212"/>
      <c r="D83" s="9"/>
      <c r="E83" s="9"/>
      <c r="F83" s="9"/>
      <c r="G83" s="9"/>
      <c r="H83" s="9"/>
      <c r="I83" s="9"/>
      <c r="J83" s="9"/>
      <c r="K83" s="9"/>
      <c r="L83" s="9"/>
      <c r="M83" s="9"/>
      <c r="N83" s="9"/>
      <c r="O83" s="8"/>
    </row>
    <row r="84" spans="1:15" x14ac:dyDescent="0.3">
      <c r="A84" s="6"/>
      <c r="B84" s="1" t="str">
        <f t="array" ref="B84:C84">_xll.U.HAS_WEB_CONTROLS(TRUE)</f>
        <v>U.HAS_WEB_CONTROLS</v>
      </c>
      <c r="C84" s="1" t="str">
        <v>r</v>
      </c>
      <c r="D84" s="9"/>
      <c r="E84" s="9"/>
      <c r="F84" s="9"/>
      <c r="G84" s="9"/>
      <c r="H84" s="9"/>
      <c r="I84" s="9"/>
      <c r="J84" s="9"/>
      <c r="K84" s="9"/>
      <c r="L84" s="9"/>
      <c r="M84" s="9"/>
      <c r="N84" s="9"/>
      <c r="O84" s="8"/>
    </row>
    <row r="85" spans="1:15" x14ac:dyDescent="0.3">
      <c r="A85" s="6"/>
      <c r="B85" s="1" t="str">
        <f t="array" ref="B85:C85">_xll.U.INCLUDE_HTML()</f>
        <v>U.HTML_INCLUDED</v>
      </c>
      <c r="C85" s="1">
        <v>0.35</v>
      </c>
      <c r="D85" s="9"/>
      <c r="E85" s="9"/>
      <c r="F85" s="9"/>
      <c r="G85" s="9"/>
      <c r="H85" s="9"/>
      <c r="I85" s="9"/>
      <c r="J85" s="9"/>
      <c r="K85" s="9"/>
      <c r="L85" s="9"/>
      <c r="M85" s="9"/>
      <c r="N85" s="9"/>
      <c r="O85" s="8"/>
    </row>
    <row r="86" spans="1:15" x14ac:dyDescent="0.3">
      <c r="A86" s="6"/>
      <c r="B86" s="1" t="str">
        <f t="array" ref="B86:C86">_xll.U.PAGE_NAMES("Payment Calculator")</f>
        <v>U.PAGE_1_NAME</v>
      </c>
      <c r="C86" s="1" t="str">
        <v>Payment Calculator</v>
      </c>
      <c r="D86" s="9"/>
      <c r="E86" s="9"/>
      <c r="F86" s="9"/>
      <c r="G86" s="9"/>
      <c r="H86" s="9"/>
      <c r="I86" s="9"/>
      <c r="J86" s="9"/>
      <c r="K86" s="9"/>
      <c r="L86" s="9"/>
      <c r="M86" s="9"/>
      <c r="N86" s="9"/>
      <c r="O86" s="8"/>
    </row>
    <row r="87" spans="1:15" x14ac:dyDescent="0.3">
      <c r="A87" s="6"/>
      <c r="B87" s="9"/>
      <c r="C87" s="9"/>
      <c r="D87" s="9"/>
      <c r="E87" s="9"/>
      <c r="F87" s="9"/>
      <c r="G87" s="9"/>
      <c r="H87" s="9"/>
      <c r="I87" s="9"/>
      <c r="J87" s="9"/>
      <c r="K87" s="9"/>
      <c r="L87" s="9"/>
      <c r="M87" s="9"/>
      <c r="N87" s="9"/>
      <c r="O87" s="8"/>
    </row>
    <row r="88" spans="1:15" x14ac:dyDescent="0.3">
      <c r="A88" s="6"/>
      <c r="B88" s="9"/>
      <c r="C88" s="9"/>
      <c r="D88" s="9"/>
      <c r="E88" s="9"/>
      <c r="F88" s="9"/>
      <c r="G88" s="9"/>
      <c r="H88" s="9"/>
      <c r="I88" s="9"/>
      <c r="J88" s="9"/>
      <c r="K88" s="9"/>
      <c r="L88" s="9"/>
      <c r="M88" s="9"/>
      <c r="N88" s="9"/>
      <c r="O88" s="8"/>
    </row>
    <row r="89" spans="1:15" x14ac:dyDescent="0.3">
      <c r="A89" s="6"/>
      <c r="B89" s="96" t="s">
        <v>131</v>
      </c>
      <c r="C89" s="99" t="s">
        <v>126</v>
      </c>
      <c r="D89" s="9"/>
      <c r="E89" s="101" t="s">
        <v>138</v>
      </c>
      <c r="F89" s="101" t="s">
        <v>139</v>
      </c>
      <c r="G89" s="9"/>
      <c r="H89" s="9"/>
      <c r="I89" s="9"/>
      <c r="J89" s="9"/>
      <c r="K89" s="9"/>
      <c r="L89" s="103" t="s">
        <v>178</v>
      </c>
      <c r="M89" s="9"/>
      <c r="N89" s="9"/>
      <c r="O89" s="8"/>
    </row>
    <row r="90" spans="1:15" x14ac:dyDescent="0.3">
      <c r="A90" s="6"/>
      <c r="B90" s="97" t="s">
        <v>134</v>
      </c>
      <c r="C90" s="106">
        <v>10000</v>
      </c>
      <c r="D90" s="9"/>
      <c r="E90" s="9" t="str" cm="1">
        <f t="array" ref="E90">_xll.U.WEB_CONTROL_LOCATION($B$89:$C$97,C90)</f>
        <v>[R2C2]</v>
      </c>
      <c r="F90" s="9" t="str" cm="1">
        <f t="array" ref="F90">_xll.U.WEB_CONTROL.TEXTAREA(C90,{"tag","amount"},E90)</f>
        <v>[HTML::TEXTAREA ID=JKKJ TAG=AMOUNT][VAL=n|10000][R2C2]</v>
      </c>
      <c r="G90" s="9"/>
      <c r="H90" s="9"/>
      <c r="I90" s="9"/>
      <c r="J90" s="9"/>
      <c r="K90" s="9"/>
      <c r="L90" s="120">
        <v>1</v>
      </c>
      <c r="M90" s="9"/>
      <c r="N90" s="9"/>
      <c r="O90" s="8"/>
    </row>
    <row r="91" spans="1:15" x14ac:dyDescent="0.3">
      <c r="A91" s="6"/>
      <c r="B91" s="97" t="s">
        <v>135</v>
      </c>
      <c r="C91" s="95" t="s">
        <v>263</v>
      </c>
      <c r="D91" s="9"/>
      <c r="E91" s="9" t="str" cm="1">
        <f t="array" ref="E91">_xll.U.WEB_CONTROL_LOCATION($B$89:$C$97,C91)</f>
        <v>[R3C2]</v>
      </c>
      <c r="F91" s="9" t="str" cm="1">
        <f t="array" ref="F91">_xll.U.WEB_CONTROL.DATEPICKER(C91,{"tag","close_date"},E91)</f>
        <v>[HTML::DATEPICKER ID=YIFF TAG=CLOSE_DATE][VAL=d|][R3C2]</v>
      </c>
      <c r="G91" s="9"/>
      <c r="H91" s="9"/>
      <c r="I91" s="9"/>
      <c r="J91" s="9"/>
      <c r="K91" s="9"/>
      <c r="L91" s="120">
        <v>2</v>
      </c>
      <c r="M91" s="9"/>
      <c r="N91" s="9"/>
      <c r="O91" s="8"/>
    </row>
    <row r="92" spans="1:15" x14ac:dyDescent="0.3">
      <c r="A92" s="6"/>
      <c r="B92" s="97" t="s">
        <v>136</v>
      </c>
      <c r="C92" s="95" t="s">
        <v>265</v>
      </c>
      <c r="D92" s="9"/>
      <c r="E92" s="9" t="str" cm="1">
        <f t="array" ref="E92">_xll.U.WEB_CONTROL_LOCATION($B$89:$C$97,C92)</f>
        <v>[R4C2]</v>
      </c>
      <c r="F92" s="9" t="str" cm="1">
        <f t="array" ref="F92">_xll.U.WEB_CONTROL.DATEPICKER(C92,{"tag","last_pmt_date"},E92)</f>
        <v>[HTML::DATEPICKER ID=NTSL TAG=LAST_PMT_DATE][VAL=d|][R4C2]</v>
      </c>
      <c r="G92" s="9"/>
      <c r="H92" s="9"/>
      <c r="I92" s="9"/>
      <c r="J92" s="9"/>
      <c r="K92" s="9"/>
      <c r="L92" s="120">
        <v>4</v>
      </c>
      <c r="M92" s="9"/>
      <c r="N92" s="9"/>
      <c r="O92" s="8"/>
    </row>
    <row r="93" spans="1:15" x14ac:dyDescent="0.3">
      <c r="A93" s="6"/>
      <c r="B93" s="97" t="s">
        <v>133</v>
      </c>
      <c r="C93" s="100">
        <v>0.05</v>
      </c>
      <c r="D93" s="9"/>
      <c r="E93" s="9" t="str" cm="1">
        <f t="array" ref="E93">_xll.U.WEB_CONTROL_LOCATION($B$89:$C$97,C93)</f>
        <v>[R5C2]</v>
      </c>
      <c r="F93" s="9" t="str" cm="1">
        <f t="array" ref="F93">_xll.U.WEB_CONTROL.TEXTAREA(C93,{"tag","rate"},E93)</f>
        <v>[HTML::TEXTAREA ID=IRSC TAG=RATE][VAL=n|0.05][R5C2]</v>
      </c>
      <c r="G93" s="9"/>
      <c r="H93" s="9"/>
      <c r="I93" s="9"/>
      <c r="J93" s="9"/>
      <c r="K93" s="9"/>
      <c r="L93" s="120">
        <v>6</v>
      </c>
      <c r="M93" s="9"/>
      <c r="N93" s="9"/>
      <c r="O93" s="8"/>
    </row>
    <row r="94" spans="1:15" x14ac:dyDescent="0.3">
      <c r="A94" s="6"/>
      <c r="B94" s="97" t="s">
        <v>132</v>
      </c>
      <c r="C94" s="98">
        <v>12</v>
      </c>
      <c r="D94" s="9"/>
      <c r="E94" s="9" t="str" cm="1">
        <f t="array" ref="E94">_xll.U.WEB_CONTROL_LOCATION($B$89:$C$97,C94)</f>
        <v>[R6C2]</v>
      </c>
      <c r="F94" s="9" t="str" cm="1">
        <f t="array" ref="F94">_xll.U.WEB_CONTROL.DROPDOWN(L90:L95,C94,{"tag","pmts_per_year"},E94)</f>
        <v>[HTML::DROPDOWN ID=LPIQ TAG=PMTS_PER_YEAR OPTIONS=1,2,4,6,12,24][VAL=n|12][R6C2]</v>
      </c>
      <c r="G94" s="9"/>
      <c r="H94" s="9"/>
      <c r="I94" s="9"/>
      <c r="J94" s="9"/>
      <c r="K94" s="9"/>
      <c r="L94" s="120">
        <v>12</v>
      </c>
      <c r="M94" s="9"/>
      <c r="N94" s="9"/>
      <c r="O94" s="8"/>
    </row>
    <row r="95" spans="1:15" x14ac:dyDescent="0.3">
      <c r="A95" s="6"/>
      <c r="B95" s="9" t="s">
        <v>5</v>
      </c>
      <c r="C95" s="9" t="s">
        <v>5</v>
      </c>
      <c r="D95" s="9"/>
      <c r="E95" s="9" t="str" cm="1">
        <f t="array" ref="E95">_xll.U.WEB_CONTROL_LOCATION($B$89:$C$97,C96)</f>
        <v>[R8C2]</v>
      </c>
      <c r="F95" s="9" t="str" cm="1">
        <f t="array" ref="F95">_xll.U.WEB_CONTROL.TEXTAREA(C96,{"tag","payment";"output","true"},E95)</f>
        <v>[HTML::TEXTAREA ID=OJJN TAG=PAYMENT DISABLED=TRUE OUTPUT=TRUE][VAL=n|104.71][R8C2]</v>
      </c>
      <c r="G95" s="9"/>
      <c r="H95" s="9"/>
      <c r="I95" s="9"/>
      <c r="J95" s="9"/>
      <c r="K95" s="9"/>
      <c r="L95" s="120">
        <v>24</v>
      </c>
      <c r="M95" s="9"/>
      <c r="N95" s="9"/>
      <c r="O95" s="8"/>
    </row>
    <row r="96" spans="1:15" x14ac:dyDescent="0.3">
      <c r="A96" s="6"/>
      <c r="B96" s="102" t="s">
        <v>137</v>
      </c>
      <c r="C96" s="117">
        <f>ROUND(-PMT(C93/C94,C94*(C92-C91)/365.25,C90),2)</f>
        <v>104.71</v>
      </c>
      <c r="D96" s="9"/>
      <c r="E96" s="9" t="str" cm="1">
        <f t="array" ref="E96">_xll.U.WEB_CONTROL_LOCATION($B$89:$C$97,C97)</f>
        <v>[R9C2]</v>
      </c>
      <c r="F96" s="9" t="str" cm="1">
        <f t="array" ref="F96">_xll.U.WEB_CONTROL.TEXTAREA(C97,{"tag","avg_month_pmt";"output","true"},E96)</f>
        <v>[HTML::TEXTAREA ID=ARVB TAG=AVG_MONTH_PMT DISABLED=TRUE OUTPUT=TRUE][VAL=n|104.71][R9C2]</v>
      </c>
      <c r="G96" s="9"/>
      <c r="H96" s="9"/>
      <c r="I96" s="9"/>
      <c r="J96" s="9"/>
      <c r="K96" s="9"/>
      <c r="L96" s="9"/>
      <c r="M96" s="9"/>
      <c r="N96" s="9"/>
      <c r="O96" s="8"/>
    </row>
    <row r="97" spans="1:15" x14ac:dyDescent="0.3">
      <c r="A97" s="6"/>
      <c r="B97" s="102" t="s">
        <v>145</v>
      </c>
      <c r="C97" s="117">
        <f>ROUND(C96*C94/12,2)</f>
        <v>104.71</v>
      </c>
      <c r="D97" s="9"/>
      <c r="E97" s="9" t="str" cm="1">
        <f t="array" ref="E97">_xll.U.WEB_CONTROL_LOCATION($B$89:$C$97,C90:C94)</f>
        <v>[R2C2:R6C2]</v>
      </c>
      <c r="F97" s="9" t="str" cm="1">
        <f t="array" ref="F97">_xll.U.TWO_WAY_DATA(,,,,E97)</f>
        <v>[UPDATE_SUBRANGE][R2C2:R6C2]</v>
      </c>
      <c r="G97" s="9"/>
      <c r="H97" s="9"/>
      <c r="I97" s="9"/>
      <c r="J97" s="9"/>
      <c r="K97" s="9"/>
      <c r="L97" s="9"/>
      <c r="M97" s="9"/>
      <c r="N97" s="9"/>
      <c r="O97" s="8"/>
    </row>
    <row r="98" spans="1:15" x14ac:dyDescent="0.3">
      <c r="A98" s="6"/>
      <c r="B98" s="9"/>
      <c r="C98" s="9"/>
      <c r="D98" s="9"/>
      <c r="E98" s="9"/>
      <c r="F98" s="9"/>
      <c r="G98" s="9"/>
      <c r="H98" s="9"/>
      <c r="I98" s="9"/>
      <c r="J98" s="9"/>
      <c r="K98" s="9"/>
      <c r="L98" s="9"/>
      <c r="M98" s="9"/>
      <c r="N98" s="9"/>
      <c r="O98" s="8"/>
    </row>
    <row r="99" spans="1:15" x14ac:dyDescent="0.3">
      <c r="A99" s="6"/>
      <c r="B99" s="9"/>
      <c r="C99" s="9"/>
      <c r="D99" s="9"/>
      <c r="E99" s="9"/>
      <c r="F99" s="9"/>
      <c r="G99" s="9"/>
      <c r="H99" s="9"/>
      <c r="I99" s="9"/>
      <c r="J99" s="9"/>
      <c r="K99" s="9"/>
      <c r="L99" s="9"/>
      <c r="M99" s="9"/>
      <c r="N99" s="9"/>
      <c r="O99" s="8"/>
    </row>
    <row r="100" spans="1:15" x14ac:dyDescent="0.3">
      <c r="A100" s="6"/>
      <c r="B100" s="9"/>
      <c r="C100" s="9"/>
      <c r="D100" s="9"/>
      <c r="E100" s="9"/>
      <c r="F100" s="9"/>
      <c r="G100" s="9"/>
      <c r="H100" s="9"/>
      <c r="I100" s="9"/>
      <c r="J100" s="9"/>
      <c r="K100" s="9"/>
      <c r="L100" s="9"/>
      <c r="M100" s="9"/>
      <c r="N100" s="9"/>
      <c r="O100" s="8"/>
    </row>
    <row r="101" spans="1:15" x14ac:dyDescent="0.3">
      <c r="A101" s="6"/>
      <c r="B101" s="9"/>
      <c r="C101" s="9"/>
      <c r="D101" s="9"/>
      <c r="E101" s="9"/>
      <c r="F101" s="9"/>
      <c r="G101" s="9"/>
      <c r="H101" s="9"/>
      <c r="I101" s="9"/>
      <c r="J101" s="9"/>
      <c r="K101" s="9"/>
      <c r="L101" s="9"/>
      <c r="M101" s="9"/>
      <c r="N101" s="9"/>
      <c r="O101" s="8"/>
    </row>
    <row r="102" spans="1:15" x14ac:dyDescent="0.3">
      <c r="A102" s="6"/>
      <c r="B102" s="9"/>
      <c r="C102" s="9"/>
      <c r="D102" s="9"/>
      <c r="E102" s="9"/>
      <c r="F102" s="9"/>
      <c r="G102" s="9"/>
      <c r="H102" s="9"/>
      <c r="I102" s="9"/>
      <c r="J102" s="9"/>
      <c r="K102" s="9"/>
      <c r="L102" s="9"/>
      <c r="M102" s="9"/>
      <c r="N102" s="9"/>
      <c r="O102" s="8"/>
    </row>
    <row r="103" spans="1:15" x14ac:dyDescent="0.3">
      <c r="A103" s="6"/>
      <c r="B103" s="9"/>
      <c r="C103" s="9"/>
      <c r="D103" s="9"/>
      <c r="E103" s="9"/>
      <c r="F103" s="9"/>
      <c r="G103" s="9"/>
      <c r="H103" s="9"/>
      <c r="I103" s="9"/>
      <c r="J103" s="9"/>
      <c r="K103" s="9"/>
      <c r="L103" s="9"/>
      <c r="M103" s="9"/>
      <c r="N103" s="9"/>
      <c r="O103" s="8"/>
    </row>
    <row r="104" spans="1:15" x14ac:dyDescent="0.3">
      <c r="A104" s="6"/>
      <c r="B104" s="109"/>
      <c r="C104" s="109"/>
      <c r="D104" s="109"/>
      <c r="E104" s="109"/>
      <c r="F104" s="109"/>
      <c r="G104" s="109"/>
      <c r="H104" s="109"/>
      <c r="I104" s="9"/>
      <c r="J104" s="9"/>
      <c r="K104" s="9"/>
      <c r="L104" s="9"/>
      <c r="M104" s="9"/>
      <c r="N104" s="9"/>
      <c r="O104" s="8"/>
    </row>
    <row r="105" spans="1:15" x14ac:dyDescent="0.3">
      <c r="A105" s="6"/>
      <c r="B105" s="109"/>
      <c r="C105" s="109"/>
      <c r="D105" s="109"/>
      <c r="E105" s="109"/>
      <c r="F105" s="109"/>
      <c r="G105" s="109"/>
      <c r="H105" s="109"/>
      <c r="I105" s="9"/>
      <c r="J105" s="9"/>
      <c r="K105" s="9"/>
      <c r="L105" s="9"/>
      <c r="M105" s="9"/>
      <c r="N105" s="9"/>
      <c r="O105" s="8"/>
    </row>
    <row r="106" spans="1:15" x14ac:dyDescent="0.3">
      <c r="A106" s="6"/>
      <c r="B106" s="109"/>
      <c r="C106" s="109"/>
      <c r="D106" s="109"/>
      <c r="E106" s="109"/>
      <c r="F106" s="109"/>
      <c r="G106" s="109"/>
      <c r="H106" s="109"/>
      <c r="I106" s="9"/>
      <c r="J106" s="9"/>
      <c r="K106" s="9"/>
      <c r="L106" s="9"/>
      <c r="M106" s="9"/>
      <c r="N106" s="9"/>
      <c r="O106" s="8"/>
    </row>
    <row r="107" spans="1:15" x14ac:dyDescent="0.3">
      <c r="A107" s="6"/>
      <c r="B107" s="9"/>
      <c r="C107" s="9"/>
      <c r="D107" s="9"/>
      <c r="E107" s="9"/>
      <c r="F107" s="9"/>
      <c r="G107" s="9"/>
      <c r="H107" s="9"/>
      <c r="I107" s="9"/>
      <c r="J107" s="9"/>
      <c r="K107" s="9"/>
      <c r="L107" s="9"/>
      <c r="M107" s="9"/>
      <c r="N107" s="9"/>
      <c r="O107" s="8"/>
    </row>
    <row r="108" spans="1:15" x14ac:dyDescent="0.3">
      <c r="A108" s="6"/>
      <c r="B108" s="103" t="s">
        <v>140</v>
      </c>
      <c r="C108" s="89" t="s">
        <v>141</v>
      </c>
      <c r="D108" s="9"/>
      <c r="E108" s="9"/>
      <c r="F108" s="9"/>
      <c r="G108" s="9"/>
      <c r="H108" s="9"/>
      <c r="I108" s="9"/>
      <c r="J108" s="9"/>
      <c r="K108" s="9"/>
      <c r="L108" s="9"/>
      <c r="M108" s="9"/>
      <c r="N108" s="9"/>
      <c r="O108" s="8"/>
    </row>
    <row r="109" spans="1:15" x14ac:dyDescent="0.3">
      <c r="A109" s="6"/>
      <c r="B109" s="103" t="s">
        <v>163</v>
      </c>
      <c r="C109" s="89" t="str">
        <f>C81&amp;".INPUT_CONTROL_VALS"</f>
        <v>Server_Loan_Calculator.INPUT_CONTROL_VALS</v>
      </c>
      <c r="D109" s="9"/>
      <c r="E109" s="9"/>
      <c r="F109" s="9"/>
      <c r="G109" s="9"/>
      <c r="H109" s="9"/>
      <c r="I109" s="9"/>
      <c r="J109" s="9"/>
      <c r="K109" s="9"/>
      <c r="L109" s="9"/>
      <c r="M109" s="9"/>
      <c r="N109" s="9"/>
      <c r="O109" s="8"/>
    </row>
    <row r="110" spans="1:15" x14ac:dyDescent="0.3">
      <c r="A110" s="6"/>
      <c r="B110" s="103" t="s">
        <v>10</v>
      </c>
      <c r="C110" s="1" t="str" cm="1">
        <f t="array" ref="C110">_xll.U.SUBSCRIBE(C108,C109)</f>
        <v>UPTICK/EXAMPLES/SERVER_LOAN_CALCULATOR.INPUT_CONTROL_VALS</v>
      </c>
      <c r="D110" s="9"/>
      <c r="E110" s="9"/>
      <c r="F110" s="9"/>
      <c r="G110" s="9"/>
      <c r="H110" s="9"/>
      <c r="I110" s="9"/>
      <c r="J110" s="9"/>
      <c r="K110" s="9"/>
      <c r="L110" s="9"/>
      <c r="M110" s="9"/>
      <c r="N110" s="9"/>
      <c r="O110" s="8"/>
    </row>
    <row r="111" spans="1:15" x14ac:dyDescent="0.3">
      <c r="A111" s="6"/>
      <c r="B111" s="9"/>
      <c r="C111" s="9"/>
      <c r="D111" s="9"/>
      <c r="E111" s="9"/>
      <c r="F111" s="9"/>
      <c r="G111" s="9"/>
      <c r="H111" s="9"/>
      <c r="I111" s="9"/>
      <c r="J111" s="9"/>
      <c r="K111" s="9"/>
      <c r="L111" s="9"/>
      <c r="M111" s="9"/>
      <c r="N111" s="9"/>
      <c r="O111" s="8"/>
    </row>
    <row r="112" spans="1:15" x14ac:dyDescent="0.3">
      <c r="A112" s="6"/>
      <c r="B112" s="213" t="s">
        <v>170</v>
      </c>
      <c r="C112" s="213"/>
      <c r="D112" s="9"/>
      <c r="E112" s="213" t="s">
        <v>168</v>
      </c>
      <c r="F112" s="213"/>
      <c r="G112" s="9"/>
      <c r="H112" s="9"/>
      <c r="I112" s="9"/>
      <c r="J112" s="9"/>
      <c r="K112" s="9"/>
      <c r="L112" s="9"/>
      <c r="M112" s="9"/>
      <c r="N112" s="9"/>
      <c r="O112" s="8"/>
    </row>
    <row r="113" spans="1:15" x14ac:dyDescent="0.3">
      <c r="A113" s="6"/>
      <c r="B113" s="103" t="str">
        <f t="array" ref="B113:C121">_xll.U.PAD(C110)</f>
        <v>UPTICK/EXAMPLES/SERVER_LOAN_CALCULATOR.INPUT_CONTROL_VALS</v>
      </c>
      <c r="C113" s="103" t="str">
        <v/>
      </c>
      <c r="D113" s="9"/>
      <c r="E113" s="103" t="s">
        <v>165</v>
      </c>
      <c r="F113" s="103" t="s">
        <v>126</v>
      </c>
      <c r="G113" s="9"/>
      <c r="H113" s="9"/>
      <c r="I113" s="9"/>
      <c r="J113" s="9"/>
      <c r="K113" s="9"/>
      <c r="L113" s="9"/>
      <c r="M113" s="9"/>
      <c r="N113" s="9"/>
      <c r="O113" s="8"/>
    </row>
    <row r="114" spans="1:15" x14ac:dyDescent="0.3">
      <c r="A114" s="6"/>
      <c r="B114" s="62" t="str">
        <v/>
      </c>
      <c r="C114" s="62" t="str">
        <v/>
      </c>
      <c r="D114" s="9"/>
      <c r="E114" s="1" t="s">
        <v>166</v>
      </c>
      <c r="F114" s="118" t="e">
        <f>ROUND(-PMT(F121/F120,F120*(F119-F118)/365.25,F117),2)</f>
        <v>#N/A</v>
      </c>
      <c r="G114" s="9"/>
      <c r="H114" s="9"/>
      <c r="I114" s="9"/>
      <c r="J114" s="9"/>
      <c r="K114" s="9"/>
      <c r="L114" s="9"/>
      <c r="M114" s="9"/>
      <c r="N114" s="9"/>
      <c r="O114" s="8"/>
    </row>
    <row r="115" spans="1:15" x14ac:dyDescent="0.3">
      <c r="A115" s="6"/>
      <c r="B115" s="62" t="str">
        <v/>
      </c>
      <c r="C115" s="62" t="str">
        <v/>
      </c>
      <c r="D115" s="9"/>
      <c r="E115" s="1" t="s">
        <v>167</v>
      </c>
      <c r="F115" s="118" t="e">
        <f>ROUND(F114*F120/12,2)</f>
        <v>#N/A</v>
      </c>
      <c r="G115" s="116"/>
      <c r="H115" s="9"/>
      <c r="I115" s="9"/>
      <c r="J115" s="9"/>
      <c r="K115" s="9"/>
      <c r="L115" s="9"/>
      <c r="M115" s="9"/>
      <c r="N115" s="9"/>
      <c r="O115" s="8"/>
    </row>
    <row r="116" spans="1:15" x14ac:dyDescent="0.3">
      <c r="A116" s="6"/>
      <c r="B116" s="62" t="str">
        <v/>
      </c>
      <c r="C116" s="62" t="str">
        <v/>
      </c>
      <c r="D116" s="9"/>
      <c r="E116" s="9"/>
      <c r="F116" s="9"/>
      <c r="G116" s="9"/>
      <c r="H116" s="9"/>
      <c r="I116" s="9"/>
      <c r="J116" s="9"/>
      <c r="K116" s="9"/>
      <c r="L116" s="9"/>
      <c r="M116" s="9"/>
      <c r="N116" s="9"/>
      <c r="O116" s="8"/>
    </row>
    <row r="117" spans="1:15" x14ac:dyDescent="0.3">
      <c r="A117" s="6"/>
      <c r="B117" s="62" t="str">
        <v/>
      </c>
      <c r="C117" s="62" t="str">
        <v/>
      </c>
      <c r="D117" s="9"/>
      <c r="E117" s="119" t="s">
        <v>171</v>
      </c>
      <c r="F117" s="119" t="e">
        <f>VLOOKUP(E117,$B$114:$C$121,2,FALSE)</f>
        <v>#N/A</v>
      </c>
      <c r="G117" s="9"/>
      <c r="H117" s="9"/>
      <c r="I117" s="9"/>
      <c r="J117" s="9"/>
      <c r="K117" s="9"/>
      <c r="L117" s="9"/>
      <c r="M117" s="9"/>
      <c r="N117" s="9"/>
      <c r="O117" s="8"/>
    </row>
    <row r="118" spans="1:15" x14ac:dyDescent="0.3">
      <c r="A118" s="6"/>
      <c r="B118" s="62" t="str">
        <v/>
      </c>
      <c r="C118" s="62" t="str">
        <v/>
      </c>
      <c r="D118" s="9"/>
      <c r="E118" s="119" t="s">
        <v>172</v>
      </c>
      <c r="F118" s="119" t="e">
        <f t="shared" ref="F118:F121" si="0">VLOOKUP(E118,$B$114:$C$121,2,FALSE)</f>
        <v>#N/A</v>
      </c>
      <c r="G118" s="9"/>
      <c r="H118" s="9"/>
      <c r="I118" s="9"/>
      <c r="J118" s="9"/>
      <c r="K118" s="9"/>
      <c r="L118" s="9"/>
      <c r="M118" s="9"/>
      <c r="N118" s="9"/>
      <c r="O118" s="8"/>
    </row>
    <row r="119" spans="1:15" x14ac:dyDescent="0.3">
      <c r="A119" s="6"/>
      <c r="B119" s="62" t="str">
        <v/>
      </c>
      <c r="C119" s="62" t="str">
        <v/>
      </c>
      <c r="D119" s="9"/>
      <c r="E119" s="119" t="s">
        <v>173</v>
      </c>
      <c r="F119" s="119" t="e">
        <f t="shared" si="0"/>
        <v>#N/A</v>
      </c>
      <c r="G119" s="9"/>
      <c r="H119" s="9"/>
      <c r="I119" s="9"/>
      <c r="J119" s="9"/>
      <c r="K119" s="9"/>
      <c r="L119" s="9"/>
      <c r="M119" s="9"/>
      <c r="N119" s="9"/>
      <c r="O119" s="8"/>
    </row>
    <row r="120" spans="1:15" x14ac:dyDescent="0.3">
      <c r="A120" s="6"/>
      <c r="B120" s="62" t="str">
        <v/>
      </c>
      <c r="C120" s="62" t="str">
        <v/>
      </c>
      <c r="D120" s="9"/>
      <c r="E120" s="119" t="s">
        <v>174</v>
      </c>
      <c r="F120" s="119" t="e">
        <f t="shared" si="0"/>
        <v>#N/A</v>
      </c>
      <c r="G120" s="9"/>
      <c r="H120" s="9"/>
      <c r="I120" s="9"/>
      <c r="J120" s="9"/>
      <c r="K120" s="9"/>
      <c r="L120" s="9"/>
      <c r="M120" s="9"/>
      <c r="N120" s="9"/>
      <c r="O120" s="8"/>
    </row>
    <row r="121" spans="1:15" x14ac:dyDescent="0.3">
      <c r="A121" s="6"/>
      <c r="B121" s="62" t="str">
        <v/>
      </c>
      <c r="C121" s="62" t="str">
        <v/>
      </c>
      <c r="D121" s="9"/>
      <c r="E121" s="119" t="s">
        <v>175</v>
      </c>
      <c r="F121" s="119" t="e">
        <f t="shared" si="0"/>
        <v>#N/A</v>
      </c>
      <c r="G121" s="9"/>
      <c r="H121" s="9"/>
      <c r="I121" s="9"/>
      <c r="J121" s="9"/>
      <c r="K121" s="9"/>
      <c r="L121" s="9"/>
      <c r="M121" s="9"/>
      <c r="N121" s="9"/>
      <c r="O121" s="8"/>
    </row>
    <row r="122" spans="1:15" x14ac:dyDescent="0.3">
      <c r="A122" s="6"/>
      <c r="B122" s="9"/>
      <c r="C122" s="9"/>
      <c r="D122" s="9"/>
      <c r="E122" s="9"/>
      <c r="F122" s="9"/>
      <c r="G122" s="9"/>
      <c r="H122" s="9"/>
      <c r="I122" s="9"/>
      <c r="J122" s="9"/>
      <c r="K122" s="9"/>
      <c r="L122" s="9"/>
      <c r="M122" s="9"/>
      <c r="N122" s="9"/>
      <c r="O122" s="8"/>
    </row>
    <row r="123" spans="1:15" x14ac:dyDescent="0.3">
      <c r="A123" s="6"/>
      <c r="B123" s="103" t="s">
        <v>164</v>
      </c>
      <c r="C123" s="89" t="str">
        <f>C81&amp;".OUTPUT_CONTROL_VALS"</f>
        <v>Server_Loan_Calculator.OUTPUT_CONTROL_VALS</v>
      </c>
      <c r="D123" s="9"/>
      <c r="E123" s="9"/>
      <c r="F123" s="9"/>
      <c r="G123" s="9"/>
      <c r="H123" s="9"/>
      <c r="I123" s="9"/>
      <c r="J123" s="9"/>
      <c r="K123" s="9"/>
      <c r="L123" s="9"/>
      <c r="M123" s="9"/>
      <c r="N123" s="9"/>
      <c r="O123" s="8"/>
    </row>
    <row r="124" spans="1:15" x14ac:dyDescent="0.3">
      <c r="A124" s="6"/>
      <c r="B124" s="103" t="s">
        <v>9</v>
      </c>
      <c r="C124" s="115" t="str" cm="1">
        <f t="array" ref="C124">IF(ENABLED,_xll.U.PUBLISH(C108,C123,E113:F115),"Not enabled")</f>
        <v>Not enabled</v>
      </c>
      <c r="D124" s="9"/>
      <c r="E124" s="9"/>
      <c r="F124" s="9"/>
      <c r="G124" s="9"/>
      <c r="H124" s="9"/>
      <c r="I124" s="9"/>
      <c r="J124" s="9"/>
      <c r="K124" s="9"/>
      <c r="L124" s="9"/>
      <c r="M124" s="9"/>
      <c r="N124" s="9"/>
      <c r="O124" s="8"/>
    </row>
    <row r="125" spans="1:15" x14ac:dyDescent="0.3">
      <c r="A125" s="6"/>
      <c r="B125" s="9"/>
      <c r="C125" s="9"/>
      <c r="D125" s="9"/>
      <c r="E125" s="9"/>
      <c r="F125" s="9"/>
      <c r="G125" s="9"/>
      <c r="H125" s="9"/>
      <c r="I125" s="9"/>
      <c r="J125" s="9"/>
      <c r="K125" s="9"/>
      <c r="L125" s="9"/>
      <c r="M125" s="9"/>
      <c r="N125" s="9"/>
      <c r="O125" s="8"/>
    </row>
    <row r="126" spans="1:15" x14ac:dyDescent="0.3">
      <c r="A126" s="6"/>
      <c r="B126" s="9"/>
      <c r="C126" s="9"/>
      <c r="D126" s="9"/>
      <c r="E126" s="9"/>
      <c r="F126" s="9"/>
      <c r="G126" s="9"/>
      <c r="H126" s="9"/>
      <c r="I126" s="9"/>
      <c r="J126" s="9"/>
      <c r="K126" s="9"/>
      <c r="L126" s="9"/>
      <c r="M126" s="9"/>
      <c r="N126" s="9"/>
      <c r="O126" s="8"/>
    </row>
    <row r="127" spans="1:15" x14ac:dyDescent="0.3">
      <c r="A127" s="6"/>
      <c r="B127" s="9"/>
      <c r="C127" s="9"/>
      <c r="D127" s="9"/>
      <c r="E127" s="9"/>
      <c r="F127" s="9"/>
      <c r="G127" s="9"/>
      <c r="H127" s="9"/>
      <c r="I127" s="9"/>
      <c r="J127" s="9"/>
      <c r="K127" s="9"/>
      <c r="L127" s="9"/>
      <c r="M127" s="9"/>
      <c r="N127" s="9"/>
      <c r="O127" s="8"/>
    </row>
    <row r="128" spans="1:15" x14ac:dyDescent="0.3">
      <c r="A128" s="6"/>
      <c r="B128" s="9"/>
      <c r="C128" s="9"/>
      <c r="D128" s="9"/>
      <c r="E128" s="9"/>
      <c r="F128" s="9"/>
      <c r="G128" s="9"/>
      <c r="H128" s="9"/>
      <c r="I128" s="9"/>
      <c r="J128" s="9"/>
      <c r="K128" s="9"/>
      <c r="L128" s="9"/>
      <c r="M128" s="9"/>
      <c r="N128" s="9"/>
      <c r="O128" s="8"/>
    </row>
    <row r="129" spans="1:15" x14ac:dyDescent="0.3">
      <c r="A129" s="6"/>
      <c r="B129" s="9"/>
      <c r="C129" s="9"/>
      <c r="D129" s="9"/>
      <c r="E129" s="9"/>
      <c r="F129" s="9"/>
      <c r="G129" s="9"/>
      <c r="H129" s="9"/>
      <c r="I129" s="9"/>
      <c r="J129" s="9"/>
      <c r="K129" s="9"/>
      <c r="L129" s="9"/>
      <c r="M129" s="9"/>
      <c r="N129" s="9"/>
      <c r="O129" s="8"/>
    </row>
    <row r="130" spans="1:15" x14ac:dyDescent="0.3">
      <c r="A130" s="6"/>
      <c r="B130" s="107"/>
      <c r="C130" s="107"/>
      <c r="D130" s="107"/>
      <c r="E130" s="107"/>
      <c r="F130" s="107"/>
      <c r="G130" s="107"/>
      <c r="H130" s="107"/>
      <c r="I130" s="107"/>
      <c r="J130" s="107"/>
      <c r="K130" s="107"/>
      <c r="L130" s="107"/>
      <c r="M130" s="107"/>
      <c r="N130" s="107"/>
      <c r="O130" s="8"/>
    </row>
    <row r="131" spans="1:15" x14ac:dyDescent="0.3">
      <c r="A131" s="6"/>
      <c r="B131" s="9"/>
      <c r="C131" s="9"/>
      <c r="D131" s="9"/>
      <c r="E131" s="9"/>
      <c r="F131" s="9"/>
      <c r="G131" s="9"/>
      <c r="H131" s="9"/>
      <c r="I131" s="9"/>
      <c r="J131" s="9"/>
      <c r="K131" s="9"/>
      <c r="L131" s="9"/>
      <c r="M131" s="9"/>
      <c r="N131" s="9"/>
      <c r="O131" s="8"/>
    </row>
    <row r="132" spans="1:15" x14ac:dyDescent="0.3">
      <c r="A132" s="6"/>
      <c r="B132" s="9"/>
      <c r="C132" s="9"/>
      <c r="D132" s="9"/>
      <c r="E132" s="9"/>
      <c r="F132" s="9"/>
      <c r="G132" s="9"/>
      <c r="H132" s="9"/>
      <c r="I132" s="9"/>
      <c r="J132" s="9"/>
      <c r="K132" s="9"/>
      <c r="L132" s="9"/>
      <c r="M132" s="9"/>
      <c r="N132" s="9"/>
      <c r="O132" s="8"/>
    </row>
    <row r="133" spans="1:15" ht="18" x14ac:dyDescent="0.35">
      <c r="A133" s="6"/>
      <c r="B133" s="105" t="s">
        <v>176</v>
      </c>
      <c r="C133" s="9"/>
      <c r="D133" s="9"/>
      <c r="E133" s="9"/>
      <c r="F133" s="9"/>
      <c r="G133" s="9"/>
      <c r="H133" s="9"/>
      <c r="I133" s="105"/>
      <c r="J133" s="105" t="s">
        <v>181</v>
      </c>
      <c r="K133" s="9"/>
      <c r="L133" s="9"/>
      <c r="M133" s="9"/>
      <c r="N133" s="9"/>
      <c r="O133" s="8"/>
    </row>
    <row r="134" spans="1:15" x14ac:dyDescent="0.3">
      <c r="A134" s="6"/>
      <c r="B134" s="9"/>
      <c r="C134" s="9"/>
      <c r="D134" s="9"/>
      <c r="E134" s="9"/>
      <c r="F134" s="9"/>
      <c r="G134" s="9"/>
      <c r="H134" s="9"/>
      <c r="I134" s="9"/>
      <c r="J134" s="9"/>
      <c r="K134" s="9"/>
      <c r="L134" s="9"/>
      <c r="M134" s="9"/>
      <c r="N134" s="9"/>
      <c r="O134" s="8"/>
    </row>
    <row r="135" spans="1:15" x14ac:dyDescent="0.3">
      <c r="A135" s="6"/>
      <c r="B135" s="103" t="s">
        <v>144</v>
      </c>
      <c r="C135" s="104" t="str" cm="1">
        <f t="array" ref="C135">IF(ENABLED,_xll.U.PUBLISH(C137,C138,B146:C154,B141:C144),"Not enabled")</f>
        <v>Not enabled</v>
      </c>
      <c r="D135" s="9"/>
      <c r="E135" s="9"/>
      <c r="F135" s="9"/>
      <c r="G135" s="9"/>
      <c r="H135" s="109"/>
      <c r="I135" s="9"/>
      <c r="J135" s="121" t="s">
        <v>182</v>
      </c>
      <c r="K135" s="9"/>
      <c r="L135" s="9"/>
      <c r="M135" s="9"/>
      <c r="N135" s="9"/>
      <c r="O135" s="8"/>
    </row>
    <row r="136" spans="1:15" x14ac:dyDescent="0.3">
      <c r="A136" s="6"/>
      <c r="B136" s="9"/>
      <c r="C136" s="9"/>
      <c r="D136" s="9"/>
      <c r="E136" s="9"/>
      <c r="F136" s="9"/>
      <c r="G136" s="9"/>
      <c r="H136" s="109"/>
      <c r="I136" s="9"/>
      <c r="J136" s="123" t="s">
        <v>532</v>
      </c>
      <c r="K136" s="9"/>
      <c r="L136" s="9"/>
      <c r="M136" s="9"/>
      <c r="N136" s="9"/>
      <c r="O136" s="8"/>
    </row>
    <row r="137" spans="1:15" x14ac:dyDescent="0.3">
      <c r="A137" s="6"/>
      <c r="B137" s="103" t="s">
        <v>140</v>
      </c>
      <c r="C137" s="89" t="s">
        <v>141</v>
      </c>
      <c r="D137" s="9"/>
      <c r="E137" s="9"/>
      <c r="F137" s="9"/>
      <c r="G137" s="9"/>
      <c r="H137" s="109"/>
      <c r="I137" s="9"/>
      <c r="J137" s="9"/>
      <c r="K137" s="9"/>
      <c r="L137" s="9"/>
      <c r="M137" s="9"/>
      <c r="N137" s="9"/>
      <c r="O137" s="8"/>
    </row>
    <row r="138" spans="1:15" x14ac:dyDescent="0.3">
      <c r="A138" s="6"/>
      <c r="B138" s="103" t="s">
        <v>142</v>
      </c>
      <c r="C138" s="89" t="s">
        <v>177</v>
      </c>
      <c r="D138" s="9"/>
      <c r="E138" s="9"/>
      <c r="F138" s="9"/>
      <c r="G138" s="9"/>
      <c r="H138" s="109"/>
      <c r="I138" s="9"/>
      <c r="J138" s="99" t="s">
        <v>126</v>
      </c>
      <c r="K138" s="9"/>
      <c r="L138" s="9"/>
      <c r="M138" s="9"/>
      <c r="N138" s="9"/>
      <c r="O138" s="8"/>
    </row>
    <row r="139" spans="1:15" x14ac:dyDescent="0.3">
      <c r="A139" s="6"/>
      <c r="B139" s="9"/>
      <c r="C139" s="9"/>
      <c r="D139" s="9"/>
      <c r="E139" s="9"/>
      <c r="F139" s="9"/>
      <c r="G139" s="9"/>
      <c r="H139" s="109"/>
      <c r="I139" s="9"/>
      <c r="J139" s="106" t="s">
        <v>5</v>
      </c>
      <c r="K139" s="9"/>
      <c r="L139" s="9"/>
      <c r="M139" s="9"/>
      <c r="N139" s="9"/>
      <c r="O139" s="8"/>
    </row>
    <row r="140" spans="1:15" x14ac:dyDescent="0.3">
      <c r="A140" s="6"/>
      <c r="B140" s="211" t="s">
        <v>169</v>
      </c>
      <c r="C140" s="212"/>
      <c r="D140" s="9"/>
      <c r="E140" s="9"/>
      <c r="F140" s="9"/>
      <c r="G140" s="9"/>
      <c r="H140" s="109"/>
      <c r="I140" s="9"/>
      <c r="J140" s="122"/>
      <c r="K140" s="9"/>
      <c r="L140" s="9"/>
      <c r="M140" s="9"/>
      <c r="N140" s="9"/>
      <c r="O140" s="8"/>
    </row>
    <row r="141" spans="1:15" x14ac:dyDescent="0.3">
      <c r="A141" s="6"/>
      <c r="B141" s="1" t="str">
        <f t="array" ref="B141:C141">_xll.U.HAS_WEB_CONTROLS()</f>
        <v>U.HAS_WEB_CONTROLS</v>
      </c>
      <c r="C141" s="1" t="str">
        <v>c</v>
      </c>
      <c r="D141" s="9"/>
      <c r="E141" s="9"/>
      <c r="F141" s="9"/>
      <c r="G141" s="9"/>
      <c r="H141" s="109"/>
      <c r="I141" s="9"/>
      <c r="J141" s="95"/>
      <c r="K141" s="9"/>
      <c r="L141" s="9"/>
      <c r="M141" s="9"/>
      <c r="N141" s="9"/>
      <c r="O141" s="8"/>
    </row>
    <row r="142" spans="1:15" x14ac:dyDescent="0.3">
      <c r="A142" s="6"/>
      <c r="B142" s="1" t="str">
        <f t="array" ref="B142:C142">_xll.U.ALLOW_PUBLISH(TRUE)</f>
        <v>U.ALLOW_FAST_RESPONSE</v>
      </c>
      <c r="C142" s="1" t="b">
        <v>1</v>
      </c>
      <c r="D142" s="9"/>
      <c r="E142" s="9"/>
      <c r="F142" s="9"/>
      <c r="G142" s="9"/>
      <c r="H142" s="109"/>
      <c r="I142" s="9"/>
      <c r="J142" s="100"/>
      <c r="K142" s="9"/>
      <c r="L142" s="9"/>
      <c r="M142" s="9"/>
      <c r="N142" s="9"/>
      <c r="O142" s="8"/>
    </row>
    <row r="143" spans="1:15" x14ac:dyDescent="0.3">
      <c r="A143" s="6"/>
      <c r="B143" s="1" t="str">
        <f t="array" ref="B143:C143">_xll.U.INCLUDE_HTML()</f>
        <v>U.HTML_INCLUDED</v>
      </c>
      <c r="C143" s="1">
        <v>0.35</v>
      </c>
      <c r="D143" s="9"/>
      <c r="E143" s="9"/>
      <c r="F143" s="9"/>
      <c r="G143" s="9"/>
      <c r="H143" s="109"/>
      <c r="I143" s="9"/>
      <c r="J143" s="98"/>
      <c r="K143" s="9"/>
      <c r="L143" s="9"/>
      <c r="M143" s="9"/>
      <c r="N143" s="9"/>
      <c r="O143" s="8"/>
    </row>
    <row r="144" spans="1:15" x14ac:dyDescent="0.3">
      <c r="A144" s="6"/>
      <c r="B144" s="1" t="str">
        <f t="array" ref="B144:C144">_xll.U.PAGE_NAMES("Payment Calculator")</f>
        <v>U.PAGE_1_NAME</v>
      </c>
      <c r="C144" s="1" t="str">
        <v>Payment Calculator</v>
      </c>
      <c r="D144" s="9"/>
      <c r="E144" s="9"/>
      <c r="F144" s="9"/>
      <c r="G144" s="9"/>
      <c r="H144" s="109"/>
      <c r="I144" s="9"/>
      <c r="J144" s="9"/>
      <c r="K144" s="9"/>
      <c r="L144" s="9"/>
      <c r="M144" s="9"/>
      <c r="N144" s="9"/>
      <c r="O144" s="8"/>
    </row>
    <row r="145" spans="1:15" x14ac:dyDescent="0.3">
      <c r="A145" s="6"/>
      <c r="B145" s="9"/>
      <c r="C145" s="9"/>
      <c r="D145" s="9"/>
      <c r="E145" s="9"/>
      <c r="F145" s="9"/>
      <c r="G145" s="9"/>
      <c r="H145" s="109"/>
      <c r="I145" s="9"/>
      <c r="J145" s="9"/>
      <c r="K145" s="9"/>
      <c r="L145" s="9"/>
      <c r="M145" s="9"/>
      <c r="N145" s="9"/>
      <c r="O145" s="8"/>
    </row>
    <row r="146" spans="1:15" x14ac:dyDescent="0.3">
      <c r="A146" s="6"/>
      <c r="B146" s="96" t="s">
        <v>131</v>
      </c>
      <c r="C146" s="99" t="s">
        <v>126</v>
      </c>
      <c r="D146" s="9"/>
      <c r="E146" s="9"/>
      <c r="F146" s="9"/>
      <c r="G146" s="9"/>
      <c r="H146" s="109"/>
      <c r="I146" s="9"/>
      <c r="J146" s="9"/>
      <c r="K146" s="9"/>
      <c r="L146" s="9"/>
      <c r="M146" s="9"/>
      <c r="N146" s="9"/>
      <c r="O146" s="8"/>
    </row>
    <row r="147" spans="1:15" x14ac:dyDescent="0.3">
      <c r="A147" s="6"/>
      <c r="B147" s="97" t="s">
        <v>134</v>
      </c>
      <c r="C147" s="106" t="str" cm="1">
        <f t="array" ref="C147">_xll.U.WEB_CONTROL.TEXTAREA("",{"format","$ {0:N2}"})</f>
        <v>|SYRK|[HTML::TEXTAREA ID=SYRK FORMAT=$ {0:N2}][VAL=u|]|SYRK|</v>
      </c>
      <c r="D147" s="9"/>
      <c r="E147" s="9"/>
      <c r="F147" s="9"/>
      <c r="G147" s="9"/>
      <c r="H147" s="109"/>
      <c r="I147" s="9"/>
      <c r="J147" s="9"/>
      <c r="K147" s="9"/>
      <c r="L147" s="9"/>
      <c r="M147" s="9"/>
      <c r="N147" s="9"/>
      <c r="O147" s="8"/>
    </row>
    <row r="148" spans="1:15" x14ac:dyDescent="0.3">
      <c r="A148" s="6"/>
      <c r="B148" s="97" t="s">
        <v>135</v>
      </c>
      <c r="C148" s="95" t="str" cm="1">
        <f t="array" ref="C148">_xll.U.WEB_CONTROL.DATEPICKER("")</f>
        <v>|CVTJ|[HTML::DATEPICKER ID=CVTJ][VAL=d|]|CVTJ|</v>
      </c>
      <c r="D148" s="9"/>
      <c r="E148" s="9"/>
      <c r="F148" s="9"/>
      <c r="G148" s="9"/>
      <c r="H148" s="109"/>
      <c r="I148" s="9"/>
      <c r="J148" s="9"/>
      <c r="K148" s="9"/>
      <c r="L148" s="9"/>
      <c r="M148" s="9"/>
      <c r="N148" s="9"/>
      <c r="O148" s="8"/>
    </row>
    <row r="149" spans="1:15" x14ac:dyDescent="0.3">
      <c r="A149" s="6"/>
      <c r="B149" s="97" t="s">
        <v>136</v>
      </c>
      <c r="C149" s="95" t="str" cm="1">
        <f t="array" ref="C149">_xll.U.WEB_CONTROL.DATEPICKER("")</f>
        <v>|NRJR|[HTML::DATEPICKER ID=NRJR][VAL=d|]|NRJR|</v>
      </c>
      <c r="D149" s="9"/>
      <c r="E149" s="9"/>
      <c r="F149" s="9"/>
      <c r="G149" s="9"/>
      <c r="H149" s="109"/>
      <c r="I149" s="9"/>
      <c r="J149" s="9"/>
      <c r="K149" s="9"/>
      <c r="L149" s="9"/>
      <c r="M149" s="9"/>
      <c r="N149" s="9"/>
      <c r="O149" s="8"/>
    </row>
    <row r="150" spans="1:15" x14ac:dyDescent="0.3">
      <c r="A150" s="6"/>
      <c r="B150" s="97" t="s">
        <v>133</v>
      </c>
      <c r="C150" s="106" t="str" cm="1">
        <f t="array" ref="C150">_xll.U.WEB_CONTROL.TEXTAREA("",{"format","{0:P}"})</f>
        <v>|AGUV|[HTML::TEXTAREA ID=AGUV FORMAT={0:P}][VAL=u|]|AGUV|</v>
      </c>
      <c r="D150" s="9"/>
      <c r="E150" s="9"/>
      <c r="F150" s="9"/>
      <c r="G150" s="9"/>
      <c r="H150" s="109"/>
      <c r="I150" s="9"/>
      <c r="J150" s="9"/>
      <c r="K150" s="9"/>
      <c r="L150" s="9"/>
      <c r="M150" s="9"/>
      <c r="N150" s="9"/>
      <c r="O150" s="8"/>
    </row>
    <row r="151" spans="1:15" x14ac:dyDescent="0.3">
      <c r="A151" s="6"/>
      <c r="B151" s="97" t="s">
        <v>132</v>
      </c>
      <c r="C151" s="106" t="str" cm="1">
        <f t="array" ref="C151">_xll.U.WEB_CONTROL.DROPDOWN("2,4,6,12,24","")</f>
        <v>|KVHT|[HTML::DROPDOWN ID=KVHT OPTIONS=2,4,6,12,24][VAL=n|]|KVHT|</v>
      </c>
      <c r="D151" s="9"/>
      <c r="E151" s="9"/>
      <c r="F151" s="9"/>
      <c r="G151" s="9"/>
      <c r="H151" s="109"/>
      <c r="I151" s="9"/>
      <c r="K151" s="9"/>
      <c r="L151" s="9"/>
      <c r="M151" s="9"/>
      <c r="N151" s="9"/>
      <c r="O151" s="8"/>
    </row>
    <row r="152" spans="1:15" x14ac:dyDescent="0.3">
      <c r="A152" s="6"/>
      <c r="B152" s="9" t="s">
        <v>5</v>
      </c>
      <c r="C152" s="116"/>
      <c r="D152" s="9"/>
      <c r="E152" s="9"/>
      <c r="F152" s="9"/>
      <c r="G152" s="9"/>
      <c r="H152" s="109"/>
      <c r="I152" s="9"/>
      <c r="J152" s="9"/>
      <c r="K152" s="9"/>
      <c r="L152" s="9"/>
      <c r="M152" s="9"/>
      <c r="N152" s="9"/>
      <c r="O152" s="8"/>
    </row>
    <row r="153" spans="1:15" x14ac:dyDescent="0.3">
      <c r="A153" s="6"/>
      <c r="B153" s="102" t="s">
        <v>137</v>
      </c>
      <c r="C153" s="117" t="str" cm="1">
        <f t="array" ref="C153">_xll.U.WEB_CONTROL.TEXTAREA("",{"tag","payment";"output","true";"format","$ {0:N2}"})</f>
        <v>|IYDG|[HTML::TEXTAREA ID=IYDG TAG=PAYMENT FORMAT=$ {0:N2} DISABLED=TRUE OUTPUT=TRUE][VAL=u|]|IYDG|</v>
      </c>
      <c r="D153" s="9"/>
      <c r="E153" s="9"/>
      <c r="F153" s="9"/>
      <c r="G153" s="9"/>
      <c r="H153" s="109"/>
      <c r="I153" s="9"/>
      <c r="J153" s="9"/>
      <c r="K153" s="9"/>
      <c r="L153" s="9"/>
      <c r="M153" s="9"/>
      <c r="N153" s="9"/>
      <c r="O153" s="8"/>
    </row>
    <row r="154" spans="1:15" x14ac:dyDescent="0.3">
      <c r="A154" s="6"/>
      <c r="B154" s="102" t="s">
        <v>145</v>
      </c>
      <c r="C154" s="117" t="str" cm="1">
        <f t="array" ref="C154">_xll.U.WEB_CONTROL.TEXTAREA("",{"tag","avg_month_pmt";"output","true";"format","$ {0:N2}"})</f>
        <v>|FTTH|[HTML::TEXTAREA ID=FTTH TAG=AVG_MONTH_PMT FORMAT=$ {0:N2} DISABLED=TRUE OUTPUT=TRUE][VAL=u|]|FTTH|</v>
      </c>
      <c r="D154" s="9"/>
      <c r="E154" s="9"/>
      <c r="F154" s="9"/>
      <c r="G154" s="9"/>
      <c r="H154" s="9"/>
      <c r="I154" s="9"/>
      <c r="J154" s="9"/>
      <c r="K154" s="9"/>
      <c r="L154" s="9"/>
      <c r="M154" s="9"/>
      <c r="N154" s="9"/>
      <c r="O154" s="8"/>
    </row>
    <row r="155" spans="1:15" x14ac:dyDescent="0.3">
      <c r="A155" s="6"/>
      <c r="B155" s="9"/>
      <c r="C155" s="9"/>
      <c r="D155" s="9"/>
      <c r="E155" s="9"/>
      <c r="F155" s="9"/>
      <c r="G155" s="9"/>
      <c r="H155" s="9"/>
      <c r="I155" s="9"/>
      <c r="J155" s="9"/>
      <c r="K155" s="9"/>
      <c r="L155" s="9"/>
      <c r="M155" s="9"/>
      <c r="N155" s="9"/>
      <c r="O155" s="8"/>
    </row>
    <row r="156" spans="1:15" x14ac:dyDescent="0.3">
      <c r="A156" s="6"/>
      <c r="B156" s="9"/>
      <c r="C156" s="9"/>
      <c r="D156" s="9"/>
      <c r="E156" s="9"/>
      <c r="F156" s="9"/>
      <c r="G156" s="9"/>
      <c r="H156" s="9"/>
      <c r="I156" s="9"/>
      <c r="J156" s="9"/>
      <c r="K156" s="9"/>
      <c r="L156" s="9"/>
      <c r="M156" s="9"/>
      <c r="N156" s="9"/>
      <c r="O156" s="8"/>
    </row>
    <row r="157" spans="1:15" x14ac:dyDescent="0.3">
      <c r="A157" s="6"/>
      <c r="B157" s="9"/>
      <c r="C157" s="9"/>
      <c r="D157" s="9"/>
      <c r="E157" s="9"/>
      <c r="F157" s="9"/>
      <c r="G157" s="9"/>
      <c r="H157" s="9"/>
      <c r="I157" s="9"/>
      <c r="J157" s="9"/>
      <c r="K157" s="9"/>
      <c r="L157" s="9"/>
      <c r="M157" s="9"/>
      <c r="N157" s="9"/>
      <c r="O157" s="8"/>
    </row>
    <row r="158" spans="1:15" x14ac:dyDescent="0.3">
      <c r="A158" s="6"/>
      <c r="B158" s="107"/>
      <c r="C158" s="107"/>
      <c r="D158" s="107"/>
      <c r="E158" s="107"/>
      <c r="F158" s="107"/>
      <c r="G158" s="107"/>
      <c r="H158" s="107"/>
      <c r="I158" s="107"/>
      <c r="J158" s="107"/>
      <c r="K158" s="107"/>
      <c r="L158" s="107"/>
      <c r="M158" s="107"/>
      <c r="N158" s="107"/>
      <c r="O158" s="8"/>
    </row>
    <row r="159" spans="1:15" x14ac:dyDescent="0.3">
      <c r="A159" s="6"/>
      <c r="B159" s="9"/>
      <c r="C159" s="9"/>
      <c r="D159" s="9"/>
      <c r="E159" s="9"/>
      <c r="F159" s="9"/>
      <c r="G159" s="9"/>
      <c r="H159" s="9"/>
      <c r="I159" s="9"/>
      <c r="J159" s="9"/>
      <c r="K159" s="9"/>
      <c r="L159" s="9"/>
      <c r="M159" s="9"/>
      <c r="N159" s="9"/>
      <c r="O159" s="8"/>
    </row>
    <row r="160" spans="1:15" x14ac:dyDescent="0.3">
      <c r="A160" s="6"/>
      <c r="B160" s="9"/>
      <c r="C160" s="9"/>
      <c r="D160" s="9"/>
      <c r="E160" s="9"/>
      <c r="F160" s="9"/>
      <c r="G160" s="9"/>
      <c r="H160" s="9"/>
      <c r="I160" s="9"/>
      <c r="J160" s="9"/>
      <c r="K160" s="9"/>
      <c r="L160" s="9"/>
      <c r="M160" s="9"/>
      <c r="N160" s="9"/>
      <c r="O160" s="8"/>
    </row>
    <row r="161" spans="1:15" ht="18" x14ac:dyDescent="0.35">
      <c r="A161" s="6"/>
      <c r="B161" s="105" t="s">
        <v>191</v>
      </c>
      <c r="C161" s="9"/>
      <c r="D161" s="9"/>
      <c r="E161" s="9"/>
      <c r="F161" s="9"/>
      <c r="G161" s="9"/>
      <c r="H161" s="9"/>
      <c r="I161" s="9"/>
      <c r="J161" s="9"/>
      <c r="K161" s="9"/>
      <c r="L161" s="9"/>
      <c r="M161" s="9"/>
      <c r="N161" s="9"/>
      <c r="O161" s="8"/>
    </row>
    <row r="162" spans="1:15" x14ac:dyDescent="0.3">
      <c r="A162" s="6"/>
      <c r="B162" s="9"/>
      <c r="C162" s="9"/>
      <c r="D162" s="9"/>
      <c r="E162" s="9"/>
      <c r="F162" s="9"/>
      <c r="G162" s="9"/>
      <c r="H162" s="9"/>
      <c r="I162" s="9"/>
      <c r="J162" s="9"/>
      <c r="K162" s="9"/>
      <c r="L162" s="9"/>
      <c r="M162" s="9"/>
      <c r="N162" s="9"/>
      <c r="O162" s="8"/>
    </row>
    <row r="163" spans="1:15" x14ac:dyDescent="0.3">
      <c r="A163" s="6"/>
      <c r="B163" s="103" t="s">
        <v>144</v>
      </c>
      <c r="C163" s="104" t="str" cm="1">
        <f t="array" ref="C163">IF(ENABLED,_xll.U.TWO_WAY_DATA(C165,C166,B176:E184,B169:C171),"Not enabled")</f>
        <v>Not enabled</v>
      </c>
      <c r="D163" s="9"/>
      <c r="E163" s="9"/>
      <c r="F163" s="9"/>
      <c r="G163" s="9"/>
      <c r="H163" s="9"/>
      <c r="I163" s="9"/>
      <c r="J163" s="9"/>
      <c r="K163" s="9"/>
      <c r="L163" s="9"/>
      <c r="M163" s="9"/>
      <c r="N163" s="9"/>
      <c r="O163" s="8"/>
    </row>
    <row r="164" spans="1:15" x14ac:dyDescent="0.3">
      <c r="A164" s="6"/>
      <c r="B164" s="9"/>
      <c r="C164" s="9"/>
      <c r="D164" s="9"/>
      <c r="E164" s="9"/>
      <c r="F164" s="9"/>
      <c r="G164" s="9"/>
      <c r="H164" s="9"/>
      <c r="I164" s="9"/>
      <c r="J164" s="9"/>
      <c r="K164" s="9"/>
      <c r="L164" s="9"/>
      <c r="M164" s="9"/>
      <c r="N164" s="9"/>
      <c r="O164" s="8"/>
    </row>
    <row r="165" spans="1:15" x14ac:dyDescent="0.3">
      <c r="A165" s="6"/>
      <c r="B165" s="103" t="s">
        <v>140</v>
      </c>
      <c r="C165" s="89" t="s">
        <v>141</v>
      </c>
      <c r="D165" s="9"/>
      <c r="E165" s="9"/>
      <c r="F165" s="9"/>
      <c r="G165" s="9"/>
      <c r="H165" s="9"/>
      <c r="I165" s="9"/>
      <c r="J165" s="9"/>
      <c r="K165" s="9"/>
      <c r="L165" s="9"/>
      <c r="M165" s="9"/>
      <c r="N165" s="9"/>
      <c r="O165" s="8"/>
    </row>
    <row r="166" spans="1:15" x14ac:dyDescent="0.3">
      <c r="A166" s="6"/>
      <c r="B166" s="103" t="s">
        <v>142</v>
      </c>
      <c r="C166" s="89" t="s">
        <v>192</v>
      </c>
      <c r="D166" s="9"/>
      <c r="E166" s="9"/>
      <c r="F166" s="9"/>
      <c r="G166" s="9"/>
      <c r="H166" s="9"/>
      <c r="I166" s="9"/>
      <c r="J166" s="9"/>
      <c r="K166" s="9"/>
      <c r="L166" s="9"/>
      <c r="M166" s="9"/>
      <c r="N166" s="9"/>
      <c r="O166" s="8"/>
    </row>
    <row r="167" spans="1:15" x14ac:dyDescent="0.3">
      <c r="A167" s="6"/>
      <c r="B167" s="9"/>
      <c r="C167" s="9"/>
      <c r="D167" s="9"/>
      <c r="E167" s="9"/>
      <c r="F167" s="9"/>
      <c r="G167" s="9"/>
      <c r="H167" s="9"/>
      <c r="I167" s="9"/>
      <c r="J167" s="9"/>
      <c r="K167" s="9"/>
      <c r="L167" s="9"/>
      <c r="M167" s="9"/>
      <c r="N167" s="9"/>
      <c r="O167" s="8"/>
    </row>
    <row r="168" spans="1:15" x14ac:dyDescent="0.3">
      <c r="A168" s="6"/>
      <c r="B168" s="211" t="s">
        <v>169</v>
      </c>
      <c r="C168" s="212"/>
      <c r="D168" s="9"/>
      <c r="E168" s="9"/>
      <c r="F168" s="9"/>
      <c r="G168" s="9"/>
      <c r="H168" s="9"/>
      <c r="I168" s="9"/>
      <c r="J168" s="9"/>
      <c r="K168" s="9"/>
      <c r="L168" s="9"/>
      <c r="M168" s="9"/>
      <c r="N168" s="9"/>
      <c r="O168" s="8"/>
    </row>
    <row r="169" spans="1:15" x14ac:dyDescent="0.3">
      <c r="A169" s="6"/>
      <c r="B169" s="1" t="str">
        <f t="array" ref="B169:C169">_xll.U.HAS_WEB_CONTROLS()</f>
        <v>U.HAS_WEB_CONTROLS</v>
      </c>
      <c r="C169" s="1" t="str">
        <v>c</v>
      </c>
      <c r="D169" s="9"/>
      <c r="E169" s="9"/>
      <c r="F169" s="9"/>
      <c r="G169" s="9"/>
      <c r="H169" s="9"/>
      <c r="I169" s="9"/>
      <c r="J169" s="9"/>
      <c r="K169" s="9"/>
      <c r="L169" s="9"/>
      <c r="M169" s="9"/>
      <c r="N169" s="9"/>
      <c r="O169" s="8"/>
    </row>
    <row r="170" spans="1:15" x14ac:dyDescent="0.3">
      <c r="A170" s="6"/>
      <c r="B170" s="1" t="str">
        <f t="array" ref="B170:C170">_xll.U.PAGE_NAMES("Chores")</f>
        <v>U.PAGE_1_NAME</v>
      </c>
      <c r="C170" s="1" t="str">
        <v>Chores</v>
      </c>
      <c r="D170" s="9"/>
      <c r="E170" s="9"/>
      <c r="F170" s="9"/>
      <c r="G170" s="9"/>
      <c r="H170" s="9"/>
      <c r="I170" s="9"/>
      <c r="J170" s="9"/>
      <c r="K170" s="9"/>
      <c r="L170" s="9"/>
      <c r="M170" s="9"/>
      <c r="N170" s="9"/>
      <c r="O170" s="8"/>
    </row>
    <row r="171" spans="1:15" x14ac:dyDescent="0.3">
      <c r="A171" s="6"/>
      <c r="B171" s="1" t="str">
        <f t="array" ref="B171:C171">_xll.U.WEB_STYLE()</f>
        <v>U.WEB_STYLE</v>
      </c>
      <c r="C171" s="1" t="str">
        <v/>
      </c>
      <c r="D171" s="9"/>
      <c r="E171" s="9"/>
      <c r="F171" s="9"/>
      <c r="G171" s="9"/>
      <c r="H171" s="9"/>
      <c r="I171" s="9"/>
      <c r="J171" s="9"/>
      <c r="K171" s="9"/>
      <c r="L171" s="9"/>
      <c r="M171" s="9"/>
      <c r="N171" s="9"/>
      <c r="O171" s="8"/>
    </row>
    <row r="172" spans="1:15" x14ac:dyDescent="0.3">
      <c r="A172" s="6"/>
      <c r="B172" s="9"/>
      <c r="C172" s="9"/>
      <c r="D172" s="9"/>
      <c r="E172" s="9"/>
      <c r="F172" s="9"/>
      <c r="G172" s="9"/>
      <c r="H172" s="9"/>
      <c r="I172" s="9"/>
      <c r="J172" s="9"/>
      <c r="K172" s="9"/>
      <c r="L172" s="9"/>
      <c r="M172" s="9"/>
      <c r="N172" s="9"/>
      <c r="O172" s="8"/>
    </row>
    <row r="173" spans="1:15" x14ac:dyDescent="0.3">
      <c r="A173" s="6"/>
      <c r="B173" s="9"/>
      <c r="C173" s="9"/>
      <c r="D173" s="9"/>
      <c r="E173" s="9"/>
      <c r="F173" s="9"/>
      <c r="G173" s="9"/>
      <c r="H173" s="9"/>
      <c r="I173" s="9"/>
      <c r="J173" s="9"/>
      <c r="K173" s="9"/>
      <c r="L173" s="9"/>
      <c r="M173" s="9"/>
      <c r="N173" s="9"/>
      <c r="O173" s="8"/>
    </row>
    <row r="174" spans="1:15" x14ac:dyDescent="0.3">
      <c r="A174" s="6"/>
      <c r="B174" s="9"/>
      <c r="C174" s="9"/>
      <c r="D174" s="9"/>
      <c r="E174" s="9"/>
      <c r="F174" s="9"/>
      <c r="G174" s="9"/>
      <c r="H174" s="9"/>
      <c r="I174" s="9"/>
      <c r="J174" s="9"/>
      <c r="K174" s="9"/>
      <c r="L174" s="9"/>
      <c r="M174" s="9"/>
      <c r="N174" s="9"/>
      <c r="O174" s="8"/>
    </row>
    <row r="175" spans="1:15" x14ac:dyDescent="0.3">
      <c r="A175" s="6"/>
      <c r="B175" s="9"/>
      <c r="C175" s="9"/>
      <c r="D175" s="9"/>
      <c r="E175" s="9"/>
      <c r="F175" s="9"/>
      <c r="G175" s="9"/>
      <c r="H175" s="9"/>
      <c r="I175" s="9"/>
      <c r="J175" s="9"/>
      <c r="K175" s="9"/>
      <c r="L175" s="9"/>
      <c r="M175" s="9"/>
      <c r="N175" s="9"/>
      <c r="O175" s="8"/>
    </row>
    <row r="176" spans="1:15" x14ac:dyDescent="0.3">
      <c r="A176" s="6"/>
      <c r="B176" s="109" t="s">
        <v>189</v>
      </c>
      <c r="C176" s="109" t="s">
        <v>190</v>
      </c>
      <c r="D176" s="109" t="s">
        <v>5</v>
      </c>
      <c r="E176" s="109" t="s">
        <v>5</v>
      </c>
      <c r="F176" s="9"/>
      <c r="G176" s="9"/>
      <c r="H176" s="9"/>
      <c r="I176" s="9"/>
      <c r="J176" s="9"/>
      <c r="K176" s="9"/>
      <c r="L176" s="9"/>
      <c r="M176" s="9"/>
      <c r="N176" s="9"/>
      <c r="O176" s="8"/>
    </row>
    <row r="177" spans="1:15" x14ac:dyDescent="0.3">
      <c r="A177" s="6"/>
      <c r="B177" s="109"/>
      <c r="C177" s="109" t="s">
        <v>183</v>
      </c>
      <c r="D177" s="109" t="s">
        <v>201</v>
      </c>
      <c r="E177" s="109" t="s">
        <v>207</v>
      </c>
      <c r="F177" s="9"/>
      <c r="G177" s="9"/>
      <c r="H177" s="9"/>
      <c r="I177" s="9"/>
      <c r="J177" s="9"/>
      <c r="K177" s="9"/>
      <c r="L177" s="9"/>
      <c r="M177" s="9"/>
      <c r="N177" s="9"/>
      <c r="O177" s="8"/>
    </row>
    <row r="178" spans="1:15" x14ac:dyDescent="0.3">
      <c r="A178" s="6"/>
      <c r="B178" s="109"/>
      <c r="C178" s="109" t="s">
        <v>184</v>
      </c>
      <c r="D178" s="109" t="s">
        <v>202</v>
      </c>
      <c r="E178" s="109" t="s">
        <v>194</v>
      </c>
      <c r="F178" s="9"/>
      <c r="G178" s="9"/>
      <c r="H178" s="9"/>
      <c r="I178" s="9"/>
      <c r="J178" s="9"/>
      <c r="K178" s="9"/>
      <c r="L178" s="9"/>
      <c r="M178" s="9"/>
      <c r="N178" s="9"/>
      <c r="O178" s="8"/>
    </row>
    <row r="179" spans="1:15" x14ac:dyDescent="0.3">
      <c r="A179" s="6"/>
      <c r="B179" s="109"/>
      <c r="C179" s="109" t="s">
        <v>185</v>
      </c>
      <c r="D179" s="109" t="s">
        <v>203</v>
      </c>
      <c r="E179" s="109" t="s">
        <v>195</v>
      </c>
      <c r="F179" s="9"/>
      <c r="G179" s="9"/>
      <c r="H179" s="9"/>
      <c r="I179" s="9"/>
      <c r="J179" s="9"/>
      <c r="K179" s="9"/>
      <c r="L179" s="9"/>
      <c r="M179" s="9"/>
      <c r="N179" s="9"/>
      <c r="O179" s="8"/>
    </row>
    <row r="180" spans="1:15" x14ac:dyDescent="0.3">
      <c r="A180" s="6"/>
      <c r="B180" s="109"/>
      <c r="C180" s="109" t="s">
        <v>186</v>
      </c>
      <c r="D180" s="109" t="s">
        <v>204</v>
      </c>
      <c r="E180" s="109" t="s">
        <v>196</v>
      </c>
      <c r="F180" s="9"/>
      <c r="G180" s="9"/>
      <c r="H180" s="9"/>
      <c r="I180" s="9"/>
      <c r="J180" s="9"/>
      <c r="K180" s="9"/>
      <c r="L180" s="9"/>
      <c r="M180" s="9"/>
      <c r="N180" s="9"/>
      <c r="O180" s="8"/>
    </row>
    <row r="181" spans="1:15" x14ac:dyDescent="0.3">
      <c r="A181" s="6"/>
      <c r="B181" s="109"/>
      <c r="C181" s="109" t="s">
        <v>187</v>
      </c>
      <c r="D181" s="109" t="s">
        <v>205</v>
      </c>
      <c r="E181" s="109" t="s">
        <v>197</v>
      </c>
      <c r="F181" s="9"/>
      <c r="G181" s="9"/>
      <c r="H181" s="9"/>
      <c r="I181" s="9"/>
      <c r="J181" s="9"/>
      <c r="K181" s="9"/>
      <c r="L181" s="9"/>
      <c r="M181" s="9"/>
      <c r="N181" s="9"/>
      <c r="O181" s="8"/>
    </row>
    <row r="182" spans="1:15" x14ac:dyDescent="0.3">
      <c r="A182" s="6"/>
      <c r="B182" s="109" t="s">
        <v>5</v>
      </c>
      <c r="C182" s="109" t="s">
        <v>188</v>
      </c>
      <c r="D182" s="109" t="s">
        <v>206</v>
      </c>
      <c r="E182" s="109" t="s">
        <v>198</v>
      </c>
      <c r="F182" s="9"/>
      <c r="G182" s="9"/>
      <c r="H182" s="9"/>
      <c r="I182" s="9"/>
      <c r="J182" s="9"/>
      <c r="K182" s="9"/>
      <c r="L182" s="9"/>
      <c r="M182" s="9"/>
      <c r="N182" s="9"/>
      <c r="O182" s="8"/>
    </row>
    <row r="183" spans="1:15" x14ac:dyDescent="0.3">
      <c r="A183" s="6"/>
      <c r="B183" s="109" t="s">
        <v>5</v>
      </c>
      <c r="C183" s="109" t="s">
        <v>5</v>
      </c>
      <c r="D183" s="109" t="s">
        <v>5</v>
      </c>
      <c r="E183" s="109" t="s">
        <v>200</v>
      </c>
      <c r="F183" s="9"/>
      <c r="G183" s="9"/>
      <c r="H183" s="9"/>
      <c r="I183" s="9"/>
      <c r="J183" s="9"/>
      <c r="K183" s="9"/>
      <c r="L183" s="9"/>
      <c r="M183" s="9"/>
      <c r="N183" s="9"/>
      <c r="O183" s="8"/>
    </row>
    <row r="184" spans="1:15" x14ac:dyDescent="0.3">
      <c r="A184" s="6"/>
      <c r="B184" s="109" t="s">
        <v>5</v>
      </c>
      <c r="C184" s="109" t="s">
        <v>5</v>
      </c>
      <c r="D184" s="109" t="s">
        <v>5</v>
      </c>
      <c r="E184" s="109" t="s">
        <v>199</v>
      </c>
      <c r="F184" s="9"/>
      <c r="G184" s="9"/>
      <c r="H184" s="9"/>
      <c r="I184" s="9"/>
      <c r="J184" s="9"/>
      <c r="K184" s="9"/>
      <c r="L184" s="9"/>
      <c r="M184" s="9"/>
      <c r="N184" s="9"/>
      <c r="O184" s="8"/>
    </row>
    <row r="185" spans="1:15" x14ac:dyDescent="0.3">
      <c r="A185" s="6"/>
      <c r="B185" s="9"/>
      <c r="C185" s="9"/>
      <c r="D185" s="9"/>
      <c r="E185" s="9"/>
      <c r="F185" s="9"/>
      <c r="G185" s="9"/>
      <c r="H185" s="9"/>
      <c r="I185" s="9"/>
      <c r="J185" s="9"/>
      <c r="K185" s="9"/>
      <c r="L185" s="9"/>
      <c r="M185" s="9"/>
      <c r="N185" s="9"/>
      <c r="O185" s="8"/>
    </row>
    <row r="186" spans="1:15" x14ac:dyDescent="0.3">
      <c r="A186" s="6"/>
      <c r="B186" s="9"/>
      <c r="C186" s="9"/>
      <c r="D186" s="9"/>
      <c r="E186" s="9"/>
      <c r="F186" s="9"/>
      <c r="G186" s="9"/>
      <c r="H186" s="9"/>
      <c r="I186" s="9"/>
      <c r="J186" s="9"/>
      <c r="K186" s="9"/>
      <c r="L186" s="9"/>
      <c r="M186" s="9"/>
      <c r="N186" s="9"/>
      <c r="O186" s="8"/>
    </row>
    <row r="187" spans="1:15" x14ac:dyDescent="0.3">
      <c r="A187" s="6"/>
      <c r="B187" s="9"/>
      <c r="C187" s="9"/>
      <c r="D187" s="9"/>
      <c r="E187" s="9"/>
      <c r="F187" s="9"/>
      <c r="G187" s="9"/>
      <c r="H187" s="9"/>
      <c r="I187" s="9"/>
      <c r="J187" s="9"/>
      <c r="K187" s="9"/>
      <c r="L187" s="9"/>
      <c r="M187" s="9"/>
      <c r="N187" s="9"/>
      <c r="O187" s="8"/>
    </row>
    <row r="188" spans="1:15" x14ac:dyDescent="0.3">
      <c r="A188" s="6"/>
      <c r="B188" s="9"/>
      <c r="C188" s="9"/>
      <c r="D188" s="9"/>
      <c r="E188" s="9"/>
      <c r="F188" s="9"/>
      <c r="G188" s="9"/>
      <c r="H188" s="9"/>
      <c r="I188" s="9"/>
      <c r="J188" s="9"/>
      <c r="K188" s="9"/>
      <c r="L188" s="9"/>
      <c r="M188" s="9"/>
      <c r="N188" s="9"/>
      <c r="O188" s="8"/>
    </row>
    <row r="189" spans="1:15" x14ac:dyDescent="0.3">
      <c r="A189" s="6"/>
      <c r="B189" s="109"/>
      <c r="C189" s="109"/>
      <c r="D189" s="109"/>
      <c r="E189" s="109"/>
      <c r="F189" s="109"/>
      <c r="G189" s="109"/>
      <c r="H189" s="109"/>
      <c r="I189" s="109"/>
      <c r="J189" s="109"/>
      <c r="K189" s="9"/>
      <c r="L189" s="9"/>
      <c r="M189" s="9"/>
      <c r="N189" s="9"/>
      <c r="O189" s="8"/>
    </row>
    <row r="190" spans="1:15" x14ac:dyDescent="0.3">
      <c r="A190" s="6"/>
      <c r="B190" s="109"/>
      <c r="C190" s="109"/>
      <c r="D190" s="109"/>
      <c r="E190" s="109"/>
      <c r="F190" s="109"/>
      <c r="G190" s="109"/>
      <c r="H190" s="109"/>
      <c r="I190" s="109"/>
      <c r="J190" s="109"/>
      <c r="K190" s="9"/>
      <c r="L190" s="9"/>
      <c r="M190" s="9"/>
      <c r="N190" s="9"/>
      <c r="O190" s="8"/>
    </row>
    <row r="191" spans="1:15" x14ac:dyDescent="0.3">
      <c r="A191" s="6"/>
      <c r="B191" s="109"/>
      <c r="C191" s="109"/>
      <c r="D191" s="109"/>
      <c r="E191" s="109"/>
      <c r="F191" s="109"/>
      <c r="G191" s="109"/>
      <c r="H191" s="109"/>
      <c r="I191" s="109"/>
      <c r="J191" s="109"/>
      <c r="K191" s="9"/>
      <c r="L191" s="9"/>
      <c r="M191" s="9"/>
      <c r="N191" s="9"/>
      <c r="O191" s="8"/>
    </row>
    <row r="192" spans="1:15" x14ac:dyDescent="0.3">
      <c r="A192" s="6"/>
      <c r="B192" s="9"/>
      <c r="C192" s="9"/>
      <c r="D192" s="9"/>
      <c r="E192" s="9"/>
      <c r="F192" s="9"/>
      <c r="G192" s="9"/>
      <c r="H192" s="9"/>
      <c r="I192" s="9"/>
      <c r="J192" s="9"/>
      <c r="K192" s="9"/>
      <c r="L192" s="9"/>
      <c r="M192" s="9"/>
      <c r="N192" s="9"/>
      <c r="O192" s="8"/>
    </row>
    <row r="193" spans="1:15" ht="18" x14ac:dyDescent="0.35">
      <c r="A193" s="6"/>
      <c r="B193" s="105" t="s">
        <v>193</v>
      </c>
      <c r="C193" s="9"/>
      <c r="D193" s="9"/>
      <c r="E193" s="9"/>
      <c r="F193" s="9"/>
      <c r="G193" s="9"/>
      <c r="H193" s="9"/>
      <c r="I193" s="9"/>
      <c r="J193" s="9"/>
      <c r="K193" s="9"/>
      <c r="L193" s="9"/>
      <c r="M193" s="9"/>
      <c r="N193" s="9"/>
      <c r="O193" s="8"/>
    </row>
    <row r="194" spans="1:15" x14ac:dyDescent="0.3">
      <c r="A194" s="6"/>
      <c r="B194" s="9"/>
      <c r="C194" s="9"/>
      <c r="D194" s="9"/>
      <c r="E194" s="9"/>
      <c r="F194" s="9"/>
      <c r="G194" s="9"/>
      <c r="H194" s="9"/>
      <c r="I194" s="9"/>
      <c r="J194" s="9"/>
      <c r="K194" s="9"/>
      <c r="L194" s="9"/>
      <c r="M194" s="9"/>
      <c r="N194" s="9"/>
      <c r="O194" s="8"/>
    </row>
    <row r="195" spans="1:15" x14ac:dyDescent="0.3">
      <c r="A195" s="6"/>
      <c r="B195" s="103" t="s">
        <v>144</v>
      </c>
      <c r="C195" s="104" t="str" cm="1">
        <f t="array" ref="C195">IF(ENABLED,_xll.U.TWO_WAY_DATA(C197,C198,B206:E214,B201:C203,B206:C214),"Not enabled")</f>
        <v>Not enabled</v>
      </c>
      <c r="D195" s="9"/>
      <c r="E195" s="9"/>
      <c r="F195" s="9"/>
      <c r="G195" s="9"/>
      <c r="H195" s="9"/>
      <c r="I195" s="9"/>
      <c r="J195" s="9"/>
      <c r="K195" s="9"/>
      <c r="L195" s="9"/>
      <c r="M195" s="9"/>
      <c r="N195" s="9"/>
      <c r="O195" s="8"/>
    </row>
    <row r="196" spans="1:15" x14ac:dyDescent="0.3">
      <c r="A196" s="6"/>
      <c r="B196" s="9"/>
      <c r="C196" s="9"/>
      <c r="D196" s="9"/>
      <c r="E196" s="9"/>
      <c r="F196" s="9"/>
      <c r="G196" s="9"/>
      <c r="H196" s="9"/>
      <c r="I196" s="9"/>
      <c r="J196" s="9"/>
      <c r="K196" s="9"/>
      <c r="L196" s="9"/>
      <c r="M196" s="9"/>
      <c r="N196" s="9"/>
      <c r="O196" s="8"/>
    </row>
    <row r="197" spans="1:15" x14ac:dyDescent="0.3">
      <c r="A197" s="6"/>
      <c r="B197" s="103" t="s">
        <v>140</v>
      </c>
      <c r="C197" s="89" t="s">
        <v>141</v>
      </c>
      <c r="D197" s="9"/>
      <c r="E197" s="9"/>
      <c r="F197" s="9"/>
      <c r="G197" s="9"/>
      <c r="H197" s="9"/>
      <c r="I197" s="9"/>
      <c r="J197" s="9"/>
      <c r="K197" s="9"/>
      <c r="L197" s="9"/>
      <c r="M197" s="9"/>
      <c r="N197" s="9"/>
      <c r="O197" s="8"/>
    </row>
    <row r="198" spans="1:15" x14ac:dyDescent="0.3">
      <c r="A198" s="6"/>
      <c r="B198" s="103" t="s">
        <v>142</v>
      </c>
      <c r="C198" s="89" t="s">
        <v>192</v>
      </c>
      <c r="D198" s="9"/>
      <c r="E198" s="9"/>
      <c r="F198" s="9"/>
      <c r="G198" s="9"/>
      <c r="H198" s="9"/>
      <c r="I198" s="9"/>
      <c r="J198" s="9"/>
      <c r="K198" s="9"/>
      <c r="L198" s="9"/>
      <c r="M198" s="9"/>
      <c r="N198" s="9"/>
      <c r="O198" s="8"/>
    </row>
    <row r="199" spans="1:15" x14ac:dyDescent="0.3">
      <c r="A199" s="6"/>
      <c r="B199" s="9"/>
      <c r="C199" s="9"/>
      <c r="D199" s="9"/>
      <c r="E199" s="9"/>
      <c r="F199" s="9"/>
      <c r="G199" s="9"/>
      <c r="H199" s="9"/>
      <c r="I199" s="9"/>
      <c r="J199" s="9"/>
      <c r="K199" s="9"/>
      <c r="L199" s="9"/>
      <c r="M199" s="9"/>
      <c r="N199" s="9"/>
      <c r="O199" s="8"/>
    </row>
    <row r="200" spans="1:15" x14ac:dyDescent="0.3">
      <c r="A200" s="6"/>
      <c r="B200" s="211" t="s">
        <v>169</v>
      </c>
      <c r="C200" s="212"/>
      <c r="D200" s="9"/>
      <c r="E200" s="9"/>
      <c r="F200" s="9"/>
      <c r="G200" s="9"/>
      <c r="H200" s="9"/>
      <c r="I200" s="9"/>
      <c r="J200" s="9"/>
      <c r="K200" s="9"/>
      <c r="L200" s="9"/>
      <c r="M200" s="9"/>
      <c r="N200" s="9"/>
      <c r="O200" s="8"/>
    </row>
    <row r="201" spans="1:15" x14ac:dyDescent="0.3">
      <c r="A201" s="6"/>
      <c r="B201" s="1" t="str">
        <f t="array" ref="B201:C201">_xll.U.HAS_WEB_CONTROLS()</f>
        <v>U.HAS_WEB_CONTROLS</v>
      </c>
      <c r="C201" s="1" t="str">
        <v>c</v>
      </c>
      <c r="D201" s="9"/>
      <c r="E201" s="9"/>
      <c r="F201" s="9"/>
      <c r="G201" s="9"/>
      <c r="H201" s="9"/>
      <c r="I201" s="9"/>
      <c r="J201" s="9"/>
      <c r="K201" s="9"/>
      <c r="L201" s="9"/>
      <c r="M201" s="9"/>
      <c r="N201" s="9"/>
      <c r="O201" s="8"/>
    </row>
    <row r="202" spans="1:15" x14ac:dyDescent="0.3">
      <c r="A202" s="6"/>
      <c r="B202" s="1" t="str">
        <f t="array" ref="B202:C202">_xll.U.PAGE_NAMES("Chores")</f>
        <v>U.PAGE_1_NAME</v>
      </c>
      <c r="C202" s="1" t="str">
        <v>Chores</v>
      </c>
      <c r="D202" s="9"/>
      <c r="E202" s="9"/>
      <c r="F202" s="9"/>
      <c r="G202" s="9"/>
      <c r="H202" s="9"/>
      <c r="I202" s="9"/>
      <c r="J202" s="9"/>
      <c r="K202" s="9"/>
      <c r="L202" s="9"/>
      <c r="M202" s="9"/>
      <c r="N202" s="9"/>
      <c r="O202" s="8"/>
    </row>
    <row r="203" spans="1:15" x14ac:dyDescent="0.3">
      <c r="A203" s="6"/>
      <c r="B203" s="1" t="str">
        <f t="array" ref="B203:C203">_xll.U.WEB_STYLE()</f>
        <v>U.WEB_STYLE</v>
      </c>
      <c r="C203" s="1" t="str">
        <v/>
      </c>
      <c r="D203" s="9"/>
      <c r="E203" s="9"/>
      <c r="F203" s="9"/>
      <c r="G203" s="9"/>
      <c r="H203" s="9"/>
      <c r="I203" s="9"/>
      <c r="J203" s="9"/>
      <c r="K203" s="9"/>
      <c r="L203" s="9"/>
      <c r="M203" s="9"/>
      <c r="N203" s="9"/>
      <c r="O203" s="8"/>
    </row>
    <row r="204" spans="1:15" x14ac:dyDescent="0.3">
      <c r="A204" s="6"/>
      <c r="B204" s="9"/>
      <c r="C204" s="9"/>
      <c r="D204" s="9"/>
      <c r="E204" s="9"/>
      <c r="F204" s="9"/>
      <c r="G204" s="9"/>
      <c r="H204" s="9"/>
      <c r="I204" s="9"/>
      <c r="J204" s="9"/>
      <c r="K204" s="9"/>
      <c r="L204" s="9"/>
      <c r="M204" s="9"/>
      <c r="N204" s="9"/>
      <c r="O204" s="8"/>
    </row>
    <row r="205" spans="1:15" x14ac:dyDescent="0.3">
      <c r="A205" s="6"/>
      <c r="B205" s="9"/>
      <c r="C205" s="9"/>
      <c r="D205" s="9"/>
      <c r="E205" s="9"/>
      <c r="F205" s="9"/>
      <c r="G205" s="9"/>
      <c r="H205" s="9"/>
      <c r="I205" s="9"/>
      <c r="J205" s="9"/>
      <c r="K205" s="9"/>
      <c r="L205" s="9"/>
      <c r="M205" s="9"/>
      <c r="N205" s="9"/>
      <c r="O205" s="8"/>
    </row>
    <row r="206" spans="1:15" x14ac:dyDescent="0.3">
      <c r="A206" s="6"/>
      <c r="B206" s="109" t="s">
        <v>189</v>
      </c>
      <c r="C206" s="109" t="s">
        <v>190</v>
      </c>
      <c r="D206" s="109"/>
      <c r="E206" s="109"/>
      <c r="F206" s="9"/>
      <c r="G206" s="9"/>
      <c r="H206" s="9"/>
      <c r="I206" s="9"/>
      <c r="J206" s="9"/>
      <c r="K206" s="9"/>
      <c r="L206" s="9"/>
      <c r="M206" s="9"/>
      <c r="N206" s="9"/>
      <c r="O206" s="8"/>
    </row>
    <row r="207" spans="1:15" x14ac:dyDescent="0.3">
      <c r="A207" s="6"/>
      <c r="B207" s="109" t="s">
        <v>5</v>
      </c>
      <c r="C207" s="109" t="s">
        <v>183</v>
      </c>
      <c r="D207" s="109" t="str" cm="1">
        <f t="array" ref="D207">_xll.U.WEB_CONTROL.CHECKBOX(,{"scale",2},_xll.U.WEB_CONTROL_LOCATION($B$206:$C$214,B207))</f>
        <v>[HTML::CHECKBOX SCALE=2][R2C1]</v>
      </c>
      <c r="E207" s="109" t="str" cm="1">
        <f t="array" ref="E207">_xll.U.WEB_CONTROL.TEXTAREA(,{"cols",30},_xll.U.WEB_CONTROL_LOCATION($B$206:$C$214,C207))</f>
        <v>[HTML::TEXTAREA COLS=30][R2C2]</v>
      </c>
      <c r="F207" s="9"/>
      <c r="G207" s="9"/>
      <c r="H207" s="9"/>
      <c r="I207" s="9"/>
      <c r="J207" s="9"/>
      <c r="K207" s="9"/>
      <c r="L207" s="9"/>
      <c r="M207" s="9"/>
      <c r="N207" s="9"/>
      <c r="O207" s="8"/>
    </row>
    <row r="208" spans="1:15" x14ac:dyDescent="0.3">
      <c r="A208" s="6"/>
      <c r="B208" s="109" t="s">
        <v>5</v>
      </c>
      <c r="C208" s="109" t="s">
        <v>184</v>
      </c>
      <c r="D208" s="109" t="str" cm="1">
        <f t="array" ref="D208">_xll.U.WEB_CONTROL.CHECKBOX(,{"scale",2},_xll.U.WEB_CONTROL_LOCATION($B$206:$C$214,B208))</f>
        <v>[HTML::CHECKBOX SCALE=2][R3C1]</v>
      </c>
      <c r="E208" s="109" t="str" cm="1">
        <f t="array" ref="E208">_xll.U.WEB_CONTROL.TEXTAREA(,,_xll.U.WEB_CONTROL_LOCATION($B$206:$C$214,C208))</f>
        <v>[HTML::TEXTAREA][R3C2]</v>
      </c>
      <c r="F208" s="9"/>
      <c r="G208" s="9"/>
      <c r="H208" s="9"/>
      <c r="I208" s="9"/>
      <c r="J208" s="9"/>
      <c r="K208" s="9"/>
      <c r="L208" s="9"/>
      <c r="M208" s="9"/>
      <c r="N208" s="9"/>
      <c r="O208" s="8"/>
    </row>
    <row r="209" spans="1:15" x14ac:dyDescent="0.3">
      <c r="A209" s="6"/>
      <c r="B209" s="109" t="s">
        <v>5</v>
      </c>
      <c r="C209" s="109" t="s">
        <v>185</v>
      </c>
      <c r="D209" s="109" t="str" cm="1">
        <f t="array" ref="D209">_xll.U.WEB_CONTROL.CHECKBOX(,{"scale",2},_xll.U.WEB_CONTROL_LOCATION($B$206:$C$214,B209))</f>
        <v>[HTML::CHECKBOX SCALE=2][R4C1]</v>
      </c>
      <c r="E209" s="109" t="str" cm="1">
        <f t="array" ref="E209">_xll.U.WEB_CONTROL.TEXTAREA(,,_xll.U.WEB_CONTROL_LOCATION($B$206:$C$214,C209))</f>
        <v>[HTML::TEXTAREA][R4C2]</v>
      </c>
      <c r="F209" s="9"/>
      <c r="G209" s="9"/>
      <c r="H209" s="9"/>
      <c r="I209" s="9"/>
      <c r="J209" s="9"/>
      <c r="K209" s="9"/>
      <c r="L209" s="9"/>
      <c r="M209" s="9"/>
      <c r="N209" s="9"/>
      <c r="O209" s="8"/>
    </row>
    <row r="210" spans="1:15" x14ac:dyDescent="0.3">
      <c r="A210" s="6"/>
      <c r="B210" s="109" t="s">
        <v>5</v>
      </c>
      <c r="C210" s="109" t="s">
        <v>186</v>
      </c>
      <c r="D210" s="109" t="str" cm="1">
        <f t="array" ref="D210">_xll.U.WEB_CONTROL.CHECKBOX(,{"scale",2},_xll.U.WEB_CONTROL_LOCATION($B$206:$C$214,B210))</f>
        <v>[HTML::CHECKBOX SCALE=2][R5C1]</v>
      </c>
      <c r="E210" s="109" t="str" cm="1">
        <f t="array" ref="E210">_xll.U.WEB_CONTROL.TEXTAREA(,,_xll.U.WEB_CONTROL_LOCATION($B$206:$C$214,C210))</f>
        <v>[HTML::TEXTAREA][R5C2]</v>
      </c>
      <c r="F210" s="9"/>
      <c r="G210" s="9"/>
      <c r="H210" s="9"/>
      <c r="I210" s="9"/>
      <c r="J210" s="9"/>
      <c r="K210" s="9"/>
      <c r="L210" s="9"/>
      <c r="M210" s="9"/>
      <c r="N210" s="9"/>
      <c r="O210" s="8"/>
    </row>
    <row r="211" spans="1:15" x14ac:dyDescent="0.3">
      <c r="A211" s="6"/>
      <c r="B211" s="109" t="s">
        <v>5</v>
      </c>
      <c r="C211" s="109" t="s">
        <v>187</v>
      </c>
      <c r="D211" s="109" t="str" cm="1">
        <f t="array" ref="D211">_xll.U.WEB_CONTROL.CHECKBOX(,{"scale",2},_xll.U.WEB_CONTROL_LOCATION($B$206:$C$214,B211))</f>
        <v>[HTML::CHECKBOX SCALE=2][R6C1]</v>
      </c>
      <c r="E211" s="109" t="str" cm="1">
        <f t="array" ref="E211">_xll.U.WEB_CONTROL.TEXTAREA(,,_xll.U.WEB_CONTROL_LOCATION($B$206:$C$214,C211))</f>
        <v>[HTML::TEXTAREA][R6C2]</v>
      </c>
      <c r="F211" s="9"/>
      <c r="G211" s="9"/>
      <c r="H211" s="9"/>
      <c r="I211" s="9"/>
      <c r="J211" s="9"/>
      <c r="K211" s="9"/>
      <c r="L211" s="9"/>
      <c r="M211" s="9"/>
      <c r="N211" s="9"/>
      <c r="O211" s="8"/>
    </row>
    <row r="212" spans="1:15" x14ac:dyDescent="0.3">
      <c r="A212" s="6"/>
      <c r="B212" s="109" t="s">
        <v>5</v>
      </c>
      <c r="C212" s="109" t="s">
        <v>188</v>
      </c>
      <c r="D212" s="109" t="str" cm="1">
        <f t="array" ref="D212">_xll.U.WEB_CONTROL.CHECKBOX(,{"scale",2},_xll.U.WEB_CONTROL_LOCATION($B$206:$C$214,B212))</f>
        <v>[HTML::CHECKBOX SCALE=2][R7C1]</v>
      </c>
      <c r="E212" s="109" t="str" cm="1">
        <f t="array" ref="E212">_xll.U.WEB_CONTROL.TEXTAREA(,,_xll.U.WEB_CONTROL_LOCATION($B$206:$C$214,C212))</f>
        <v>[HTML::TEXTAREA][R7C2]</v>
      </c>
      <c r="F212" s="9"/>
      <c r="G212" s="9"/>
      <c r="H212" s="9"/>
      <c r="I212" s="9"/>
      <c r="J212" s="9"/>
      <c r="K212" s="9"/>
      <c r="L212" s="9"/>
      <c r="M212" s="9"/>
      <c r="N212" s="9"/>
      <c r="O212" s="8"/>
    </row>
    <row r="213" spans="1:15" x14ac:dyDescent="0.3">
      <c r="A213" s="6"/>
      <c r="B213" s="109"/>
      <c r="C213" s="109"/>
      <c r="D213" s="109"/>
      <c r="E213" s="109" t="str" cm="1">
        <f t="array" ref="E213">_xll.U.WEB_CONTROL.BUTTON(,{"type","cancel"},_xll.U.WEB_CONTROL_LOCATION(B206:C214,C213))</f>
        <v>[HTML::BUTTON TYPE=CANCEL][R8C2]</v>
      </c>
      <c r="F213" s="9"/>
      <c r="G213" s="9"/>
      <c r="H213" s="9"/>
      <c r="I213" s="9"/>
      <c r="J213" s="9"/>
      <c r="K213" s="9"/>
      <c r="L213" s="9"/>
      <c r="M213" s="9"/>
      <c r="N213" s="9"/>
      <c r="O213" s="8"/>
    </row>
    <row r="214" spans="1:15" x14ac:dyDescent="0.3">
      <c r="A214" s="6"/>
      <c r="B214" s="109"/>
      <c r="C214" s="109"/>
      <c r="D214" s="109"/>
      <c r="E214" s="109" t="str" cm="1">
        <f t="array" ref="E214">_xll.U.WEB_CONTROL.BUTTON(,{"type","submit"},_xll.U.WEB_CONTROL_LOCATION(B206:D214,B213))</f>
        <v>[HTML::BUTTON TYPE=SUBMIT][R8C1]</v>
      </c>
      <c r="F214" s="9"/>
      <c r="G214" s="9"/>
      <c r="H214" s="9"/>
      <c r="I214" s="9"/>
      <c r="J214" s="9"/>
      <c r="K214" s="9"/>
      <c r="L214" s="9"/>
      <c r="M214" s="9"/>
      <c r="N214" s="9"/>
      <c r="O214" s="8"/>
    </row>
    <row r="215" spans="1:15" x14ac:dyDescent="0.3">
      <c r="A215" s="6"/>
      <c r="B215" s="9"/>
      <c r="C215" s="9"/>
      <c r="D215" s="9"/>
      <c r="E215" s="9"/>
      <c r="F215" s="9"/>
      <c r="G215" s="9"/>
      <c r="H215" s="9"/>
      <c r="I215" s="9"/>
      <c r="J215" s="9"/>
      <c r="K215" s="9"/>
      <c r="L215" s="9"/>
      <c r="M215" s="9"/>
      <c r="N215" s="9"/>
      <c r="O215" s="8"/>
    </row>
    <row r="216" spans="1:15" ht="15" thickBot="1" x14ac:dyDescent="0.35">
      <c r="A216" s="10"/>
      <c r="B216" s="11"/>
      <c r="C216" s="11"/>
      <c r="D216" s="11"/>
      <c r="E216" s="11"/>
      <c r="F216" s="11"/>
      <c r="G216" s="11"/>
      <c r="H216" s="11"/>
      <c r="I216" s="11"/>
      <c r="J216" s="11"/>
      <c r="K216" s="11"/>
      <c r="L216" s="11"/>
      <c r="M216" s="11"/>
      <c r="N216" s="11"/>
      <c r="O216" s="12"/>
    </row>
    <row r="220" spans="1:15" x14ac:dyDescent="0.3">
      <c r="F220" s="30"/>
    </row>
  </sheetData>
  <mergeCells count="9">
    <mergeCell ref="B168:C168"/>
    <mergeCell ref="B200:C200"/>
    <mergeCell ref="B140:C140"/>
    <mergeCell ref="E112:F112"/>
    <mergeCell ref="C1:D1"/>
    <mergeCell ref="B14:C14"/>
    <mergeCell ref="B50:C50"/>
    <mergeCell ref="B83:C83"/>
    <mergeCell ref="B112:C112"/>
  </mergeCells>
  <conditionalFormatting sqref="B3:C3">
    <cfRule type="expression" dxfId="18" priority="1">
      <formula>B3=$W$4</formula>
    </cfRule>
  </conditionalFormatting>
  <pageMargins left="0.7" right="0.7" top="0.75" bottom="0.75" header="0.3" footer="0.3"/>
  <pageSetup orientation="portrait" verticalDpi="0" r:id="rId1"/>
  <legacyDrawing r:id="rId2"/>
  <webPublishItems count="33">
    <webPublishItem id="3942" divId="UpTickXL_AdvancedUsageRecipes_3942" sourceType="range" sourceRef="B56:C61" destinationFile="C:\Users\bpier\AppData\Local\UpTick\UpTickXL\PublishedHtml\UPTICK_EXAMPLES_DEBT_COUNTER\page_0\UPTICK_EXAMPLES_DEBT_COUNTER.html"/>
    <webPublishItem id="11144" divId="UpTickXL_AdvancedUsageRecipes_11144" sourceType="range" sourceRef="B57:D61" destinationFile="C:\Users\bpier\AppData\Local\UpTick\UpTickXL\PublishedHtml\UPTICK_EXAMPLES_DEBT_COUNTER\page_0\UPTICK_EXAMPLES_DEBT_COUNTER.html"/>
    <webPublishItem id="6685" divId="UpTickXL_AdvancedUsageRecipes_6685" sourceType="range" sourceRef="B57:D61" destinationFile="C:\Users\bpier\AppData\Local\UpTick\UpTickXL\PublishedHtml\UPTICK_EXAMPLES_DEBT_COUNTER\page_0\UPTICK_EXAMPLES_DEBT_COUNTER.html"/>
    <webPublishItem id="31753" divId="UpTickXL_AdvancedUsageRecipes_31753" sourceType="range" sourceRef="B57:D61" destinationFile="C:\Users\bpier\AppData\Local\UpTick\UpTickXL\PublishedHtml\UPTICK_EXAMPLES_DEBT_COUNTER\page_0\UPTICK_EXAMPLES_DEBT_COUNTER.html"/>
    <webPublishItem id="24902" divId="UpTickXL_AdvancedUsageRecipes_24902" sourceType="range" sourceRef="B57:D61" destinationFile="C:\Users\bpier\AppData\Local\UpTick\UpTickXL\PublishedHtml\UPTICK_EXAMPLES_DEBT_COUNTER\page_0\UPTICK_EXAMPLES_DEBT_COUNTER.html"/>
    <webPublishItem id="19197" divId="UpTickXL_AdvancedUsageRecipes_19197" sourceType="range" sourceRef="B57:D61" destinationFile="C:\Users\bpier\AppData\Local\UpTick\UpTickXL\PublishedHtml\UPTICK_EXAMPLES_DEBT_COUNTER\page_0\UPTICK_EXAMPLES_DEBT_COUNTER.html"/>
    <webPublishItem id="9494" divId="UpTickXL_AdvancedUsageRecipes_9494" sourceType="range" sourceRef="B57:D61" destinationFile="C:\Users\bpier\AppData\Local\UpTick\UpTickXL\PublishedHtml\UPTICK_EXAMPLES_DEBT_COUNTER\page_0\UPTICK_EXAMPLES_DEBT_COUNTER.html"/>
    <webPublishItem id="18977" divId="UpTickXL_AdvancedUsageRecipes_18977" sourceType="range" sourceRef="B57:D61" destinationFile="C:\Users\bpier\AppData\Local\UpTick\UpTickXL\PublishedHtml\UPTICK_EXAMPLES_DEBT_COUNTER\page_0\UPTICK_EXAMPLES_DEBT_COUNTER.html"/>
    <webPublishItem id="16589" divId="UpTickXL_AdvancedUsageRecipes_16589" sourceType="range" sourceRef="B57:D61" destinationFile="C:\Users\bpier\AppData\Local\UpTick\UpTickXL\PublishedHtml\UPTICK_EXAMPLES_DEBT_COUNTER\page_0\UPTICK_EXAMPLES_DEBT_COUNTER.html"/>
    <webPublishItem id="24586" divId="UpTickXL_AdvancedUsageRecipes_24586" sourceType="range" sourceRef="B57:D61" destinationFile="C:\Users\bpier\AppData\Local\UpTick\UpTickXL\PublishedHtml\UPTICK_EXAMPLES_DEBT_COUNTER\page_0\UPTICK_EXAMPLES_DEBT_COUNTER.html"/>
    <webPublishItem id="566" divId="UpTickXL_AdvancedUsageRecipes_566" sourceType="range" sourceRef="B57:D61" destinationFile="C:\Users\bpier\AppData\Local\UpTick\UpTickXL\PublishedHtml\UPTICK_EXAMPLES_DEBT_COUNTER\page_0\UPTICK_EXAMPLES_DEBT_COUNTER.html"/>
    <webPublishItem id="18359" divId="UpTickXL_AdvancedUsageRecipes_18359" sourceType="range" sourceRef="B57:D61" destinationFile="C:\Users\bpier\AppData\Local\UpTick\UpTickXL\PublishedHtml\UPTICK_EXAMPLES_DEBT_COUNTER\page_0\UPTICK_EXAMPLES_DEBT_COUNTER.html"/>
    <webPublishItem id="13846" divId="UpTickXL_AdvancedUsageRecipes_13846" sourceType="range" sourceRef="B57:D61" destinationFile="C:\Users\bpier\AppData\Local\UpTick\UpTickXL\PublishedHtml\UPTICK_EXAMPLES_DEBT_COUNTER\page_0\UPTICK_EXAMPLES_DEBT_COUNTER.html"/>
    <webPublishItem id="4076" divId="UpTickXL_AdvancedUsageRecipes_4076" sourceType="range" sourceRef="B57:D61" destinationFile="C:\Users\bpier\AppData\Local\UpTick\UpTickXL\PublishedHtml\UPTICK_EXAMPLES_DEBT_COUNTER\page_0\UPTICK_EXAMPLES_DEBT_COUNTER.html"/>
    <webPublishItem id="9515" divId="UpTickXL_AdvancedUsageRecipes_9515" sourceType="range" sourceRef="B57:D61" destinationFile="C:\Users\bpier\AppData\Local\UpTick\UpTickXL\PublishedHtml\UPTICK_EXAMPLES_DEBT_COUNTER\page_0\UPTICK_EXAMPLES_DEBT_COUNTER.html"/>
    <webPublishItem id="30742" divId="UpTickXL_AdvancedUsageRecipes_30742" sourceType="range" sourceRef="B57:D61" destinationFile="C:\Users\bpier\AppData\Local\UpTick\UpTickXL\PublishedHtml\UPTICK_EXAMPLES_DEBT_COUNTER\page_0\UPTICK_EXAMPLES_DEBT_COUNTER.html"/>
    <webPublishItem id="18834" divId="UpTickXL_AdvancedUsageRecipes_18834" sourceType="range" sourceRef="B57:D61" destinationFile="C:\Users\bpier\AppData\Local\UpTick\UpTickXL\PublishedHtml\UPTICK_EXAMPLES_DEBT_COUNTER\page_0\UPTICK_EXAMPLES_DEBT_COUNTER.html"/>
    <webPublishItem id="18287" divId="UpTickXL_AdvancedUsageRecipes_18287" sourceType="range" sourceRef="B57:D61" destinationFile="C:\Users\bpier\AppData\Local\UpTick\UpTickXL\PublishedHtml\UPTICK_EXAMPLES_DEBT_COUNTER\page_0\UPTICK_EXAMPLES_DEBT_COUNTER.html"/>
    <webPublishItem id="18351" divId="UpTickXL_AdvancedUsageRecipes_18351" sourceType="range" sourceRef="B57:D61" destinationFile="C:\Users\bpier\AppData\Local\UpTick\UpTickXL\PublishedHtml\UPTICK_EXAMPLES_DEBT_COUNTER\page_0\UPTICK_EXAMPLES_DEBT_COUNTER.html"/>
    <webPublishItem id="18414" divId="UpTickXL_AdvancedUsageRecipes_18414" sourceType="range" sourceRef="B57:D61" destinationFile="C:\Users\bpier\AppData\Local\UpTick\UpTickXL\PublishedHtml\UPTICK_EXAMPLES_DEBT_COUNTER\page_0\UPTICK_EXAMPLES_DEBT_COUNTER.html"/>
    <webPublishItem id="18478" divId="UpTickXL_AdvancedUsageRecipes_18478" sourceType="range" sourceRef="B57:D61" destinationFile="C:\Users\bpier\AppData\Local\UpTick\UpTickXL\PublishedHtml\UPTICK_EXAMPLES_DEBT_COUNTER\page_0\UPTICK_EXAMPLES_DEBT_COUNTER.html"/>
    <webPublishItem id="18541" divId="UpTickXL_AdvancedUsageRecipes_18541" sourceType="range" sourceRef="B57:D61" destinationFile="C:\Users\bpier\AppData\Local\UpTick\UpTickXL\PublishedHtml\UPTICK_EXAMPLES_DEBT_COUNTER\page_0\UPTICK_EXAMPLES_DEBT_COUNTER.html"/>
    <webPublishItem id="13294" divId="UpTickXL_AdvancedUsageRecipes_13294" sourceType="range" sourceRef="B57:D61" destinationFile="C:\Users\bpier\AppData\Local\UpTick\UpTickXL\PublishedHtml\UPTICK_EXAMPLES_DEBT_COUNTER\page_0\UPTICK_EXAMPLES_DEBT_COUNTER.html"/>
    <webPublishItem id="13357" divId="UpTickXL_AdvancedUsageRecipes_13357" sourceType="range" sourceRef="B57:D61" destinationFile="C:\Users\bpier\AppData\Local\UpTick\UpTickXL\PublishedHtml\UPTICK_EXAMPLES_DEBT_COUNTER\page_0\UPTICK_EXAMPLES_DEBT_COUNTER.html"/>
    <webPublishItem id="13424" divId="UpTickXL_AdvancedUsageRecipes_13424" sourceType="range" sourceRef="B57:D61" destinationFile="C:\Users\bpier\AppData\Local\UpTick\UpTickXL\PublishedHtml\UPTICK_EXAMPLES_DEBT_COUNTER\page_0\UPTICK_EXAMPLES_DEBT_COUNTER.html"/>
    <webPublishItem id="13481" divId="UpTickXL_AdvancedUsageRecipes_13481" sourceType="range" sourceRef="B57:D61" destinationFile="C:\Users\bpier\AppData\Local\UpTick\UpTickXL\PublishedHtml\UPTICK_EXAMPLES_DEBT_COUNTER\page_0\UPTICK_EXAMPLES_DEBT_COUNTER.html"/>
    <webPublishItem id="13545" divId="UpTickXL_AdvancedUsageRecipes_13545" sourceType="range" sourceRef="B57:D61" destinationFile="C:\Users\bpier\AppData\Local\UpTick\UpTickXL\PublishedHtml\UPTICK_EXAMPLES_DEBT_COUNTER\page_0\UPTICK_EXAMPLES_DEBT_COUNTER.html"/>
    <webPublishItem id="13608" divId="UpTickXL_AdvancedUsageRecipes_13608" sourceType="range" sourceRef="B57:D61" destinationFile="C:\Users\bpier\AppData\Local\UpTick\UpTickXL\PublishedHtml\UPTICK_EXAMPLES_DEBT_COUNTER\page_0\UPTICK_EXAMPLES_DEBT_COUNTER.html"/>
    <webPublishItem id="13679" divId="UpTickXL_AdvancedUsageRecipes_13679" sourceType="range" sourceRef="B57:D61" destinationFile="C:\Users\bpier\AppData\Local\UpTick\UpTickXL\PublishedHtml\UPTICK_EXAMPLES_DEBT_COUNTER\page_0\UPTICK_EXAMPLES_DEBT_COUNTER.html"/>
    <webPublishItem id="18339" divId="UpTickXL_AdvancedUsageRecipes_18339" sourceType="range" sourceRef="B57:D61" destinationFile="C:\Users\bpier\AppData\Local\UpTick\UpTickXL\PublishedHtml\UPTICK_EXAMPLES_DEBT_COUNTER\page_0\UPTICK_EXAMPLES_DEBT_COUNTER.html"/>
    <webPublishItem id="12243" divId="UpTickXL_AdvancedUsageRecipes_12243" sourceType="range" sourceRef="B57:D61" destinationFile="C:\Users\bpier\AppData\Local\UpTick\UpTickXL\PublishedHtml\UPTICK_EXAMPLES_DEBT_COUNTER\page_0\UPTICK_EXAMPLES_DEBT_COUNTER.html"/>
    <webPublishItem id="27490" divId="UpTickXL_AdvancedUsageRecipes_27490" sourceType="range" sourceRef="B57:D61" destinationFile="C:\Users\bpier\AppData\Local\UpTick\UpTickXL\PublishedHtml\UPTICK_EXAMPLES_DEBT_COUNTER\page_0\UPTICK_EXAMPLES_DEBT_COUNTER.html"/>
    <webPublishItem id="17363" divId="UpTickXL_AdvancedUsageRecipes_17363" sourceType="range" sourceRef="B57:D61" destinationFile="C:\Users\bpier\AppData\Local\UpTick\UpTickXL\PublishedHtml\UPTICK_EXAMPLES_DEBT_COUNTER\page_0\UPTICK_EXAMPLES_DEBT_COUNTER.html"/>
  </webPublishItem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W87"/>
  <sheetViews>
    <sheetView workbookViewId="0">
      <pane ySplit="1" topLeftCell="A2" activePane="bottomLeft" state="frozen"/>
      <selection pane="bottomLeft" activeCell="A2" sqref="A2"/>
    </sheetView>
  </sheetViews>
  <sheetFormatPr defaultColWidth="9.109375" defaultRowHeight="14.4" x14ac:dyDescent="0.3"/>
  <cols>
    <col min="2" max="2" width="41.33203125" customWidth="1"/>
    <col min="3" max="3" width="36.44140625" customWidth="1"/>
    <col min="4" max="4" width="22.88671875" customWidth="1"/>
    <col min="5" max="5" width="33.33203125" customWidth="1"/>
    <col min="6" max="6" width="14.88671875" customWidth="1"/>
    <col min="9" max="9" width="4.88671875" customWidth="1"/>
    <col min="10" max="10" width="16.44140625" bestFit="1" customWidth="1"/>
    <col min="11" max="12" width="17" customWidth="1"/>
    <col min="13" max="13" width="21" bestFit="1" customWidth="1"/>
    <col min="14" max="14" width="17.44140625" customWidth="1"/>
    <col min="16" max="16" width="12.88671875" customWidth="1"/>
    <col min="23" max="23" width="13.33203125" bestFit="1" customWidth="1"/>
  </cols>
  <sheetData>
    <row r="1" spans="1:23" ht="34.5" customHeight="1" thickBot="1" x14ac:dyDescent="0.35">
      <c r="A1" s="146" t="s">
        <v>255</v>
      </c>
      <c r="B1" s="207" t="e" vm="1">
        <v>#VALUE!</v>
      </c>
      <c r="C1" s="214" t="s">
        <v>268</v>
      </c>
      <c r="D1" s="215"/>
      <c r="E1" s="25"/>
      <c r="F1" s="38"/>
      <c r="G1" s="5"/>
      <c r="H1" s="5"/>
      <c r="I1" s="5"/>
      <c r="J1" s="5"/>
      <c r="K1" s="5"/>
      <c r="L1" s="5"/>
      <c r="M1" s="5"/>
      <c r="N1" s="5"/>
      <c r="O1" s="5"/>
      <c r="P1" s="5"/>
      <c r="Q1" s="5"/>
      <c r="R1" s="5"/>
      <c r="S1" s="7"/>
    </row>
    <row r="2" spans="1:23" ht="15" customHeight="1" thickBot="1" x14ac:dyDescent="0.35">
      <c r="A2" s="6"/>
      <c r="B2" s="13"/>
      <c r="C2" s="13"/>
      <c r="D2" s="9"/>
      <c r="E2" s="9"/>
      <c r="F2" s="9"/>
      <c r="G2" s="9"/>
      <c r="H2" s="9"/>
      <c r="I2" s="9"/>
      <c r="J2" s="9"/>
      <c r="K2" s="9"/>
      <c r="L2" s="9"/>
      <c r="M2" s="9"/>
      <c r="N2" s="9"/>
      <c r="O2" s="9"/>
      <c r="P2" s="9"/>
      <c r="Q2" s="9"/>
      <c r="R2" s="9"/>
      <c r="S2" s="8"/>
      <c r="W2" s="20" t="s">
        <v>304</v>
      </c>
    </row>
    <row r="3" spans="1:23" ht="15" thickBot="1" x14ac:dyDescent="0.35">
      <c r="A3" s="6"/>
      <c r="B3" s="153" t="s">
        <v>303</v>
      </c>
      <c r="C3" s="9"/>
      <c r="D3" s="9"/>
      <c r="E3" s="9"/>
      <c r="F3" s="9"/>
      <c r="G3" s="9"/>
      <c r="H3" s="9"/>
      <c r="I3" s="9"/>
      <c r="J3" s="9"/>
      <c r="K3" s="9"/>
      <c r="L3" s="9"/>
      <c r="M3" s="9"/>
      <c r="N3" s="9"/>
      <c r="O3" s="9"/>
      <c r="P3" s="9"/>
      <c r="Q3" s="9"/>
      <c r="R3" s="9"/>
      <c r="S3" s="8"/>
      <c r="W3" s="84" t="str" cm="1">
        <f t="array" ref="W3">_xll.U.SET_CLICKVALS(B3,B3,0,1,"return(calc)",,,,C8)</f>
        <v>RUN SCRIPT</v>
      </c>
    </row>
    <row r="4" spans="1:23" x14ac:dyDescent="0.3">
      <c r="A4" s="6"/>
      <c r="B4" s="9"/>
      <c r="C4" s="9"/>
      <c r="D4" s="9"/>
      <c r="E4" s="9"/>
      <c r="F4" s="9"/>
      <c r="G4" s="9"/>
      <c r="H4" s="9"/>
      <c r="I4" s="9"/>
      <c r="J4" s="9"/>
      <c r="K4" s="9"/>
      <c r="L4" s="9"/>
      <c r="M4" s="9"/>
      <c r="N4" s="9"/>
      <c r="O4" s="9"/>
      <c r="P4" s="9"/>
      <c r="Q4" s="9"/>
      <c r="R4" s="9"/>
      <c r="S4" s="8"/>
    </row>
    <row r="5" spans="1:23" x14ac:dyDescent="0.3">
      <c r="A5" s="6"/>
      <c r="B5" s="216" t="str">
        <f>C6</f>
        <v>CAPTURE_TICKER_INFO</v>
      </c>
      <c r="C5" s="217"/>
      <c r="D5" s="9"/>
      <c r="E5" s="9"/>
      <c r="F5" s="9"/>
      <c r="G5" s="216" t="s">
        <v>271</v>
      </c>
      <c r="H5" s="217"/>
      <c r="I5" s="9"/>
      <c r="J5" s="9"/>
      <c r="K5" s="9"/>
      <c r="L5" s="9"/>
      <c r="M5" s="218" t="s">
        <v>270</v>
      </c>
      <c r="N5" s="219"/>
      <c r="O5" s="9"/>
      <c r="P5" s="216" t="s">
        <v>272</v>
      </c>
      <c r="Q5" s="217"/>
      <c r="R5" s="9"/>
      <c r="S5" s="8"/>
    </row>
    <row r="6" spans="1:23" x14ac:dyDescent="0.3">
      <c r="A6" s="6"/>
      <c r="B6" s="103" t="s">
        <v>273</v>
      </c>
      <c r="C6" s="154" t="s">
        <v>297</v>
      </c>
      <c r="D6" s="9"/>
      <c r="E6" s="9"/>
      <c r="F6" s="9"/>
      <c r="G6" s="103" t="s">
        <v>276</v>
      </c>
      <c r="H6" s="103" t="s">
        <v>4</v>
      </c>
      <c r="I6" s="9"/>
      <c r="J6" s="9"/>
      <c r="K6" s="9"/>
      <c r="L6" s="9"/>
      <c r="M6" s="20" t="s">
        <v>274</v>
      </c>
      <c r="N6" s="20" t="s">
        <v>275</v>
      </c>
      <c r="O6" s="9"/>
      <c r="P6" s="15" t="str" cm="1">
        <f t="array" ref="P6">IF(Q6,_xll.U.PASTE(N15,G7),"")</f>
        <v/>
      </c>
      <c r="Q6" s="84" t="b" cm="1">
        <f t="array" ref="Q6">IF(OR(NOT(J14),G7&lt;&gt;""),FALSE,MOD(ROUND(_xll.U.TIME(1)*86400,0),2)=0)</f>
        <v>0</v>
      </c>
      <c r="R6" s="9"/>
      <c r="S6" s="8"/>
    </row>
    <row r="7" spans="1:23" x14ac:dyDescent="0.3">
      <c r="A7" s="6"/>
      <c r="B7" s="103" t="s">
        <v>277</v>
      </c>
      <c r="C7" s="62" t="str" cm="1">
        <f t="array" ref="C7">_xll.U.CREATE_SCRIPT(C6,B15:C24,B27:B82)</f>
        <v>Script CAPTURE_TICKER_INFO updated</v>
      </c>
      <c r="D7" s="9"/>
      <c r="E7" s="9"/>
      <c r="F7" s="9"/>
      <c r="G7" s="62" t="s">
        <v>48</v>
      </c>
      <c r="H7" s="62">
        <v>295</v>
      </c>
      <c r="I7" s="9"/>
      <c r="J7" s="9"/>
      <c r="K7" s="9"/>
      <c r="L7" s="9"/>
      <c r="M7" s="84" t="s">
        <v>7</v>
      </c>
      <c r="N7" s="160">
        <v>260</v>
      </c>
      <c r="O7" s="9"/>
      <c r="P7" s="15" t="str" cm="1">
        <f t="array" ref="P7">IF(Q7,_xll.U.PASTE(VLOOKUP(N15,M7:N11,2,FALSE),H7),"")</f>
        <v/>
      </c>
      <c r="Q7" s="84" t="b" cm="1">
        <f t="array" ref="Q7">IF(OR(NOT(J14),H7&lt;&gt;""),FALSE,MOD(ROUND(_xll.U.TIME(1)*86400,0),3)=0)</f>
        <v>0</v>
      </c>
      <c r="R7" s="9"/>
      <c r="S7" s="8"/>
    </row>
    <row r="8" spans="1:23" x14ac:dyDescent="0.3">
      <c r="A8" s="6"/>
      <c r="B8" s="103" t="s">
        <v>278</v>
      </c>
      <c r="C8" s="164" t="str" cm="1">
        <f t="array" ref="C8">_xll.U.RUN_SCRIPT(C6,TRUE,,,,,TRUE)</f>
        <v>Blocked by self</v>
      </c>
      <c r="D8" s="9"/>
      <c r="E8" s="9"/>
      <c r="F8" s="9"/>
      <c r="G8" s="9"/>
      <c r="H8" s="9"/>
      <c r="I8" s="9"/>
      <c r="J8" s="9"/>
      <c r="K8" s="9"/>
      <c r="L8" s="9"/>
      <c r="M8" s="84" t="s">
        <v>279</v>
      </c>
      <c r="N8" s="160">
        <v>186</v>
      </c>
      <c r="O8" s="9"/>
      <c r="P8" s="9"/>
      <c r="Q8" s="9"/>
      <c r="R8" s="9"/>
      <c r="S8" s="8"/>
    </row>
    <row r="9" spans="1:23" x14ac:dyDescent="0.3">
      <c r="A9" s="6"/>
      <c r="B9" s="9"/>
      <c r="C9" s="9"/>
      <c r="D9" s="9"/>
      <c r="E9" s="9"/>
      <c r="F9" s="9"/>
      <c r="G9" s="216" t="s">
        <v>280</v>
      </c>
      <c r="H9" s="217"/>
      <c r="I9" s="9"/>
      <c r="J9" s="9"/>
      <c r="K9" s="9"/>
      <c r="L9" s="9"/>
      <c r="M9" s="84" t="s">
        <v>15</v>
      </c>
      <c r="N9" s="160">
        <v>189</v>
      </c>
      <c r="O9" s="9"/>
      <c r="P9" s="9"/>
      <c r="Q9" s="9"/>
      <c r="R9" s="9"/>
      <c r="S9" s="8"/>
    </row>
    <row r="10" spans="1:23" x14ac:dyDescent="0.3">
      <c r="A10" s="6"/>
      <c r="B10" s="9"/>
      <c r="C10" s="9"/>
      <c r="D10" s="9"/>
      <c r="E10" s="9"/>
      <c r="F10" s="9"/>
      <c r="G10" s="103" t="s">
        <v>276</v>
      </c>
      <c r="H10" s="103" t="s">
        <v>4</v>
      </c>
      <c r="I10" s="9"/>
      <c r="J10" s="103" t="s">
        <v>294</v>
      </c>
      <c r="K10" s="9"/>
      <c r="L10" s="9"/>
      <c r="M10" s="84" t="s">
        <v>47</v>
      </c>
      <c r="N10" s="160">
        <v>145</v>
      </c>
      <c r="O10" s="9"/>
      <c r="P10" s="9"/>
      <c r="Q10" s="9"/>
      <c r="R10" s="9"/>
      <c r="S10" s="8"/>
    </row>
    <row r="11" spans="1:23" x14ac:dyDescent="0.3">
      <c r="A11" s="6"/>
      <c r="B11" s="9"/>
      <c r="C11" s="9"/>
      <c r="D11" s="9"/>
      <c r="E11" s="9"/>
      <c r="F11" s="9"/>
      <c r="G11" s="62" t="s">
        <v>7</v>
      </c>
      <c r="H11" s="62">
        <v>260</v>
      </c>
      <c r="I11" s="9"/>
      <c r="J11" s="126">
        <v>44947.322502893498</v>
      </c>
      <c r="K11" s="9"/>
      <c r="L11" s="9"/>
      <c r="M11" s="84" t="s">
        <v>48</v>
      </c>
      <c r="N11" s="160">
        <v>295</v>
      </c>
      <c r="O11" s="9"/>
      <c r="P11" s="9"/>
      <c r="Q11" s="9"/>
      <c r="R11" s="9"/>
      <c r="S11" s="8"/>
    </row>
    <row r="12" spans="1:23" x14ac:dyDescent="0.3">
      <c r="A12" s="6"/>
      <c r="B12" s="9"/>
      <c r="C12" s="9"/>
      <c r="D12" s="9"/>
      <c r="E12" s="9"/>
      <c r="F12" s="9"/>
      <c r="G12" s="62" t="s">
        <v>279</v>
      </c>
      <c r="H12" s="62">
        <v>186</v>
      </c>
      <c r="I12" s="9"/>
      <c r="J12" s="9"/>
      <c r="K12" s="9"/>
      <c r="L12" s="9"/>
      <c r="M12" s="9"/>
      <c r="N12" s="9"/>
      <c r="O12" s="9"/>
      <c r="P12" s="9"/>
      <c r="Q12" s="9"/>
      <c r="R12" s="9"/>
      <c r="S12" s="8"/>
    </row>
    <row r="13" spans="1:23" x14ac:dyDescent="0.3">
      <c r="A13" s="6"/>
      <c r="B13" s="9"/>
      <c r="C13" s="9"/>
      <c r="D13" s="9"/>
      <c r="E13" s="9"/>
      <c r="F13" s="9"/>
      <c r="G13" s="62" t="s">
        <v>15</v>
      </c>
      <c r="H13" s="62">
        <v>189</v>
      </c>
      <c r="I13" s="9"/>
      <c r="J13" s="103" t="s">
        <v>296</v>
      </c>
      <c r="K13" s="9"/>
      <c r="L13" s="9"/>
      <c r="M13" s="20" t="s">
        <v>285</v>
      </c>
      <c r="N13" s="161">
        <f>ROWS(_xll.U.REGION(M7))</f>
        <v>5</v>
      </c>
      <c r="O13" s="9"/>
      <c r="P13" s="9"/>
      <c r="Q13" s="9"/>
      <c r="R13" s="9"/>
      <c r="S13" s="8"/>
    </row>
    <row r="14" spans="1:23" x14ac:dyDescent="0.3">
      <c r="A14" s="6"/>
      <c r="B14" s="103" t="s">
        <v>281</v>
      </c>
      <c r="C14" s="103" t="s">
        <v>0</v>
      </c>
      <c r="D14" s="9"/>
      <c r="E14" s="9"/>
      <c r="F14" s="9"/>
      <c r="G14" s="62" t="s">
        <v>47</v>
      </c>
      <c r="H14" s="62">
        <v>145</v>
      </c>
      <c r="I14" s="9"/>
      <c r="J14" s="126" t="b">
        <f>J11=""</f>
        <v>0</v>
      </c>
      <c r="K14" s="9"/>
      <c r="L14" s="9"/>
      <c r="M14" s="20" t="s">
        <v>287</v>
      </c>
      <c r="N14" s="162">
        <v>5</v>
      </c>
      <c r="O14" s="9"/>
      <c r="P14" s="9"/>
      <c r="Q14" s="9"/>
      <c r="R14" s="9"/>
      <c r="S14" s="8"/>
    </row>
    <row r="15" spans="1:23" x14ac:dyDescent="0.3">
      <c r="A15" s="9"/>
      <c r="B15" s="126" t="str" cm="1">
        <f t="array" ref="B15">_xll.U.PASTE(0,N14)</f>
        <v>Blocked by script CAPTURE_TICKER_INFO</v>
      </c>
      <c r="C15" s="62" t="s">
        <v>282</v>
      </c>
      <c r="D15" s="9"/>
      <c r="E15" s="9"/>
      <c r="F15" s="9"/>
      <c r="G15" s="62" t="s">
        <v>48</v>
      </c>
      <c r="H15" s="62">
        <v>295</v>
      </c>
      <c r="I15" s="9"/>
      <c r="J15" s="9"/>
      <c r="K15" s="9"/>
      <c r="L15" s="9"/>
      <c r="M15" s="20" t="s">
        <v>289</v>
      </c>
      <c r="N15" s="161" t="str" cm="1">
        <f t="array" ref="N15">IFERROR(INDEX(_xll.U.REGION(M7),N14),"")</f>
        <v>NFLX</v>
      </c>
      <c r="O15" s="9"/>
      <c r="P15" s="9"/>
      <c r="Q15" s="9"/>
      <c r="R15" s="9"/>
      <c r="S15" s="8"/>
    </row>
    <row r="16" spans="1:23" x14ac:dyDescent="0.3">
      <c r="A16" s="9"/>
      <c r="B16" s="126" t="str" cm="1">
        <f t="array" ref="B16">_xll.U.CLEAR((G11:H19,J11),"Cleared")</f>
        <v>Blocked by script CAPTURE_TICKER_INFO</v>
      </c>
      <c r="C16" s="62" t="s">
        <v>283</v>
      </c>
      <c r="D16" s="9"/>
      <c r="E16" s="9"/>
      <c r="F16" s="9"/>
      <c r="G16" s="62"/>
      <c r="H16" s="62"/>
      <c r="I16" s="9"/>
      <c r="J16" s="9"/>
      <c r="K16" s="9"/>
      <c r="L16" s="9"/>
      <c r="M16" s="9"/>
      <c r="N16" s="9"/>
      <c r="O16" s="9"/>
      <c r="P16" s="9"/>
      <c r="Q16" s="9"/>
      <c r="R16" s="9"/>
      <c r="S16" s="8"/>
    </row>
    <row r="17" spans="1:19" x14ac:dyDescent="0.3">
      <c r="A17" s="9"/>
      <c r="B17" s="158" t="str" cm="1">
        <f t="array" ref="B17">_xll.U.FORMAT_STRING("while({0})",N14&lt;N13)</f>
        <v>while(False)</v>
      </c>
      <c r="C17" s="159" t="s">
        <v>284</v>
      </c>
      <c r="D17" s="9"/>
      <c r="E17" s="9"/>
      <c r="F17" s="9"/>
      <c r="G17" s="62"/>
      <c r="H17" s="62"/>
      <c r="I17" s="9"/>
      <c r="J17" s="9"/>
      <c r="K17" s="9"/>
      <c r="L17" s="9"/>
      <c r="M17" s="20" t="s">
        <v>292</v>
      </c>
      <c r="N17" s="84" t="b">
        <f>IFERROR(AND(J14,G7&lt;&gt;"",H7&gt;0),FALSE)</f>
        <v>0</v>
      </c>
      <c r="O17" s="9"/>
      <c r="P17" s="9"/>
      <c r="Q17" s="9"/>
      <c r="R17" s="9"/>
      <c r="S17" s="8"/>
    </row>
    <row r="18" spans="1:19" x14ac:dyDescent="0.3">
      <c r="A18" s="9"/>
      <c r="B18" s="156" t="str" cm="1">
        <f t="array" ref="B18">_xll.U.PASTE(N14+1,N14)</f>
        <v>Blocked by script CAPTURE_TICKER_INFO</v>
      </c>
      <c r="C18" s="157" t="s">
        <v>286</v>
      </c>
      <c r="D18" s="9"/>
      <c r="E18" s="9"/>
      <c r="F18" s="9"/>
      <c r="G18" s="62"/>
      <c r="H18" s="62"/>
      <c r="I18" s="9"/>
      <c r="J18" s="9"/>
      <c r="K18" s="9"/>
      <c r="L18" s="9"/>
      <c r="M18" s="9"/>
      <c r="N18" s="116"/>
      <c r="O18" s="9"/>
      <c r="P18" s="9"/>
      <c r="Q18" s="9"/>
      <c r="R18" s="9"/>
      <c r="S18" s="8"/>
    </row>
    <row r="19" spans="1:19" x14ac:dyDescent="0.3">
      <c r="A19" s="9"/>
      <c r="B19" s="156" t="str" cm="1">
        <f t="array" ref="B19">_xll.U.CLEAR(G7:H7)</f>
        <v>Blocked by script CAPTURE_TICKER_INFO</v>
      </c>
      <c r="C19" s="157" t="s">
        <v>288</v>
      </c>
      <c r="D19" s="9"/>
      <c r="E19" s="9"/>
      <c r="F19" s="9"/>
      <c r="G19" s="62"/>
      <c r="H19" s="62"/>
      <c r="I19" s="9"/>
      <c r="J19" s="9"/>
      <c r="K19" s="9"/>
      <c r="L19" s="9"/>
      <c r="M19" s="9"/>
      <c r="N19" s="9"/>
      <c r="O19" s="9"/>
      <c r="P19" s="9"/>
      <c r="Q19" s="9"/>
      <c r="R19" s="9"/>
      <c r="S19" s="8"/>
    </row>
    <row r="20" spans="1:19" x14ac:dyDescent="0.3">
      <c r="A20" s="9"/>
      <c r="B20" s="156" t="str" cm="1">
        <f t="array" ref="B20">_xll.U.FORMAT_STRING("await({0})",N17)</f>
        <v>await(False)</v>
      </c>
      <c r="C20" s="157" t="s">
        <v>290</v>
      </c>
      <c r="D20" s="9"/>
      <c r="E20" s="9"/>
      <c r="F20" s="9"/>
      <c r="G20" s="9"/>
      <c r="H20" s="9"/>
      <c r="I20" s="9"/>
      <c r="J20" s="9"/>
      <c r="K20" s="9"/>
      <c r="L20" s="9"/>
      <c r="M20" s="9"/>
      <c r="N20" s="9"/>
      <c r="O20" s="9"/>
      <c r="P20" s="9"/>
      <c r="Q20" s="9"/>
      <c r="R20" s="9"/>
      <c r="S20" s="8"/>
    </row>
    <row r="21" spans="1:19" x14ac:dyDescent="0.3">
      <c r="A21" s="9"/>
      <c r="B21" s="156" t="str" cm="1">
        <f t="array" ref="B21">_xll.U.PASTE(G7:H7,_xll.U.OFFSET(G10:H10,ROWS(_xll.U.REGION(G10:H10)),,,,TRUE))</f>
        <v>Blocked by script CAPTURE_TICKER_INFO</v>
      </c>
      <c r="C21" s="157" t="s">
        <v>291</v>
      </c>
      <c r="D21" s="9"/>
      <c r="E21" s="9"/>
      <c r="F21" s="9"/>
      <c r="G21" s="9"/>
      <c r="H21" s="9"/>
      <c r="I21" s="9"/>
      <c r="J21" s="9"/>
      <c r="K21" s="9"/>
      <c r="L21" s="9"/>
      <c r="M21" s="9"/>
      <c r="N21" s="9"/>
      <c r="O21" s="9"/>
      <c r="P21" s="9"/>
      <c r="Q21" s="9"/>
      <c r="R21" s="9"/>
      <c r="S21" s="8"/>
    </row>
    <row r="22" spans="1:19" x14ac:dyDescent="0.3">
      <c r="A22" s="9"/>
      <c r="B22" s="158" t="s">
        <v>301</v>
      </c>
      <c r="C22" s="159" t="s">
        <v>293</v>
      </c>
      <c r="D22" s="9"/>
      <c r="E22" s="9"/>
      <c r="F22" s="9"/>
      <c r="G22" s="9"/>
      <c r="H22" s="9"/>
      <c r="I22" s="9"/>
      <c r="J22" s="9"/>
      <c r="K22" s="9"/>
      <c r="L22" s="9"/>
      <c r="M22" s="9"/>
      <c r="N22" s="9"/>
      <c r="O22" s="9"/>
      <c r="P22" s="9"/>
      <c r="Q22" s="9"/>
      <c r="R22" s="9"/>
      <c r="S22" s="8"/>
    </row>
    <row r="23" spans="1:19" x14ac:dyDescent="0.3">
      <c r="A23" s="9"/>
      <c r="B23" s="126" t="s">
        <v>302</v>
      </c>
      <c r="C23" s="62" t="s">
        <v>299</v>
      </c>
      <c r="D23" s="9"/>
      <c r="E23" s="9"/>
      <c r="F23" s="9"/>
      <c r="G23" s="9"/>
      <c r="H23" s="9"/>
      <c r="I23" s="9"/>
      <c r="J23" s="9"/>
      <c r="K23" s="9"/>
      <c r="L23" s="9"/>
      <c r="M23" s="9"/>
      <c r="N23" s="9"/>
      <c r="O23" s="9"/>
      <c r="P23" s="9"/>
      <c r="Q23" s="9"/>
      <c r="R23" s="9"/>
      <c r="S23" s="8"/>
    </row>
    <row r="24" spans="1:19" x14ac:dyDescent="0.3">
      <c r="A24" s="9"/>
      <c r="B24" s="126" t="str" cm="1">
        <f t="array" ref="B24">_xll.U.PASTE(_xll.U.NOW(),J11)</f>
        <v>Blocked by script CAPTURE_TICKER_INFO</v>
      </c>
      <c r="C24" s="62" t="s">
        <v>295</v>
      </c>
      <c r="D24" s="9"/>
      <c r="E24" s="9"/>
      <c r="F24" s="9"/>
      <c r="G24" s="9"/>
      <c r="H24" s="9"/>
      <c r="I24" s="9"/>
      <c r="J24" s="9"/>
      <c r="K24" s="9"/>
      <c r="L24" s="9"/>
      <c r="M24" s="9"/>
      <c r="N24" s="9"/>
      <c r="O24" s="9"/>
      <c r="P24" s="9"/>
      <c r="Q24" s="9"/>
      <c r="R24" s="9"/>
      <c r="S24" s="8"/>
    </row>
    <row r="25" spans="1:19" x14ac:dyDescent="0.3">
      <c r="A25" s="9"/>
      <c r="B25" s="9" t="s">
        <v>5</v>
      </c>
      <c r="C25" s="9"/>
      <c r="D25" s="9"/>
      <c r="E25" s="9"/>
      <c r="F25" s="9"/>
      <c r="G25" s="9"/>
      <c r="H25" s="9"/>
      <c r="I25" s="9"/>
      <c r="J25" s="9"/>
      <c r="K25" s="9"/>
      <c r="L25" s="9"/>
      <c r="M25" s="9"/>
      <c r="N25" s="9"/>
      <c r="O25" s="9"/>
      <c r="P25" s="9"/>
      <c r="Q25" s="9"/>
      <c r="R25" s="9"/>
      <c r="S25" s="8"/>
    </row>
    <row r="26" spans="1:19" x14ac:dyDescent="0.3">
      <c r="A26" s="6"/>
      <c r="B26" s="155" t="s">
        <v>5</v>
      </c>
      <c r="C26" s="9"/>
      <c r="D26" s="9"/>
      <c r="E26" s="9"/>
      <c r="F26" s="9"/>
      <c r="G26" s="9"/>
      <c r="H26" s="9"/>
      <c r="I26" s="9"/>
      <c r="J26" s="9"/>
      <c r="K26" s="9"/>
      <c r="L26" s="9"/>
      <c r="M26" s="9"/>
      <c r="N26" s="9"/>
      <c r="O26" s="9"/>
      <c r="P26" s="9"/>
      <c r="Q26" s="9"/>
      <c r="R26" s="9"/>
      <c r="S26" s="8"/>
    </row>
    <row r="27" spans="1:19" x14ac:dyDescent="0.3">
      <c r="A27" s="6"/>
      <c r="B27" s="9" t="s">
        <v>535</v>
      </c>
      <c r="C27" s="9"/>
      <c r="D27" s="9"/>
      <c r="E27" s="9"/>
      <c r="F27" s="9"/>
      <c r="G27" s="9"/>
      <c r="H27" s="9"/>
      <c r="I27" s="9"/>
      <c r="J27" s="9"/>
      <c r="K27" s="9"/>
      <c r="L27" s="9"/>
      <c r="M27" s="9"/>
      <c r="N27" s="9"/>
      <c r="O27" s="9"/>
      <c r="P27" s="9"/>
      <c r="Q27" s="9"/>
      <c r="R27" s="9"/>
      <c r="S27" s="8"/>
    </row>
    <row r="28" spans="1:19" x14ac:dyDescent="0.3">
      <c r="A28" s="6"/>
      <c r="B28" s="9" t="s">
        <v>5</v>
      </c>
      <c r="C28" s="9"/>
      <c r="D28" s="9"/>
      <c r="E28" s="9"/>
      <c r="F28" s="9"/>
      <c r="G28" s="9"/>
      <c r="H28" s="9"/>
      <c r="I28" s="9"/>
      <c r="J28" s="9"/>
      <c r="K28" s="9"/>
      <c r="L28" s="9"/>
      <c r="M28" s="9"/>
      <c r="N28" s="9"/>
      <c r="O28" s="9"/>
      <c r="P28" s="9"/>
      <c r="Q28" s="9"/>
      <c r="R28" s="9"/>
      <c r="S28" s="8"/>
    </row>
    <row r="29" spans="1:19" x14ac:dyDescent="0.3">
      <c r="A29" s="6"/>
      <c r="B29" s="9"/>
      <c r="C29" s="9"/>
      <c r="D29" s="9"/>
      <c r="E29" s="9"/>
      <c r="F29" s="9"/>
      <c r="G29" s="9"/>
      <c r="H29" s="9"/>
      <c r="I29" s="9"/>
      <c r="J29" s="9"/>
      <c r="K29" s="9"/>
      <c r="L29" s="9"/>
      <c r="M29" s="9"/>
      <c r="N29" s="9"/>
      <c r="O29" s="9"/>
      <c r="P29" s="9"/>
      <c r="Q29" s="9"/>
      <c r="R29" s="9"/>
      <c r="S29" s="8"/>
    </row>
    <row r="30" spans="1:19" x14ac:dyDescent="0.3">
      <c r="A30" s="6"/>
      <c r="B30" s="9"/>
      <c r="C30" s="9"/>
      <c r="D30" s="9"/>
      <c r="E30" s="9"/>
      <c r="F30" s="9"/>
      <c r="G30" s="9"/>
      <c r="H30" s="9"/>
      <c r="I30" s="9"/>
      <c r="J30" s="9"/>
      <c r="K30" s="9"/>
      <c r="L30" s="9"/>
      <c r="M30" s="9"/>
      <c r="N30" s="9"/>
      <c r="O30" s="9"/>
      <c r="P30" s="9"/>
      <c r="Q30" s="9"/>
      <c r="R30" s="9"/>
      <c r="S30" s="8"/>
    </row>
    <row r="31" spans="1:19" x14ac:dyDescent="0.3">
      <c r="A31" s="6"/>
      <c r="B31" s="9"/>
      <c r="C31" s="9"/>
      <c r="D31" s="9"/>
      <c r="E31" s="9"/>
      <c r="F31" s="9"/>
      <c r="G31" s="9"/>
      <c r="H31" s="9"/>
      <c r="I31" s="9"/>
      <c r="J31" s="9"/>
      <c r="K31" s="9"/>
      <c r="L31" s="9"/>
      <c r="M31" s="9"/>
      <c r="N31" s="9"/>
      <c r="O31" s="9"/>
      <c r="P31" s="9"/>
      <c r="Q31" s="9"/>
      <c r="R31" s="9"/>
      <c r="S31" s="8"/>
    </row>
    <row r="32" spans="1:19" x14ac:dyDescent="0.3">
      <c r="A32" s="6"/>
      <c r="B32" s="9"/>
      <c r="C32" s="9"/>
      <c r="D32" s="9"/>
      <c r="E32" s="9"/>
      <c r="F32" s="9"/>
      <c r="G32" s="9"/>
      <c r="H32" s="9"/>
      <c r="I32" s="9"/>
      <c r="J32" s="9"/>
      <c r="K32" s="9"/>
      <c r="L32" s="9"/>
      <c r="M32" s="9"/>
      <c r="N32" s="9"/>
      <c r="O32" s="9"/>
      <c r="P32" s="9"/>
      <c r="Q32" s="9"/>
      <c r="R32" s="9"/>
      <c r="S32" s="8"/>
    </row>
    <row r="33" spans="1:19" x14ac:dyDescent="0.3">
      <c r="A33" s="6"/>
      <c r="B33" s="9"/>
      <c r="C33" s="9"/>
      <c r="D33" s="9"/>
      <c r="E33" s="9"/>
      <c r="F33" s="9"/>
      <c r="G33" s="9"/>
      <c r="H33" s="9"/>
      <c r="I33" s="9"/>
      <c r="J33" s="9"/>
      <c r="K33" s="9"/>
      <c r="L33" s="9"/>
      <c r="M33" s="9"/>
      <c r="N33" s="9"/>
      <c r="O33" s="9"/>
      <c r="P33" s="9"/>
      <c r="Q33" s="9"/>
      <c r="R33" s="9"/>
      <c r="S33" s="8"/>
    </row>
    <row r="34" spans="1:19" x14ac:dyDescent="0.3">
      <c r="A34" s="6"/>
      <c r="B34" s="9"/>
      <c r="C34" s="9"/>
      <c r="D34" s="9"/>
      <c r="E34" s="9"/>
      <c r="F34" s="9"/>
      <c r="G34" s="9"/>
      <c r="H34" s="9"/>
      <c r="I34" s="9"/>
      <c r="J34" s="9"/>
      <c r="K34" s="9"/>
      <c r="L34" s="9"/>
      <c r="M34" s="9"/>
      <c r="N34" s="9"/>
      <c r="O34" s="9"/>
      <c r="P34" s="9"/>
      <c r="Q34" s="9"/>
      <c r="R34" s="9"/>
      <c r="S34" s="8"/>
    </row>
    <row r="35" spans="1:19" x14ac:dyDescent="0.3">
      <c r="A35" s="6"/>
      <c r="B35" s="9"/>
      <c r="C35" s="9"/>
      <c r="D35" s="9"/>
      <c r="E35" s="9"/>
      <c r="F35" s="9"/>
      <c r="G35" s="9"/>
      <c r="H35" s="9"/>
      <c r="I35" s="9"/>
      <c r="J35" s="9"/>
      <c r="K35" s="9"/>
      <c r="L35" s="9"/>
      <c r="M35" s="9"/>
      <c r="N35" s="9"/>
      <c r="O35" s="9"/>
      <c r="P35" s="9"/>
      <c r="Q35" s="9"/>
      <c r="R35" s="9"/>
      <c r="S35" s="8"/>
    </row>
    <row r="36" spans="1:19" x14ac:dyDescent="0.3">
      <c r="A36" s="6"/>
      <c r="B36" s="9"/>
      <c r="C36" s="9"/>
      <c r="D36" s="9"/>
      <c r="E36" s="9"/>
      <c r="F36" s="9"/>
      <c r="G36" s="9"/>
      <c r="H36" s="9"/>
      <c r="I36" s="9"/>
      <c r="J36" s="9"/>
      <c r="K36" s="9"/>
      <c r="L36" s="9"/>
      <c r="M36" s="9"/>
      <c r="N36" s="9"/>
      <c r="O36" s="9"/>
      <c r="P36" s="9"/>
      <c r="Q36" s="9"/>
      <c r="R36" s="9"/>
      <c r="S36" s="8"/>
    </row>
    <row r="37" spans="1:19" x14ac:dyDescent="0.3">
      <c r="A37" s="6"/>
      <c r="B37" s="9"/>
      <c r="C37" s="9"/>
      <c r="D37" s="9"/>
      <c r="E37" s="9"/>
      <c r="F37" s="9"/>
      <c r="G37" s="9"/>
      <c r="H37" s="9"/>
      <c r="I37" s="9"/>
      <c r="J37" s="9"/>
      <c r="K37" s="9"/>
      <c r="L37" s="9"/>
      <c r="M37" s="9"/>
      <c r="N37" s="9"/>
      <c r="O37" s="9"/>
      <c r="P37" s="9"/>
      <c r="Q37" s="9"/>
      <c r="R37" s="9"/>
      <c r="S37" s="8"/>
    </row>
    <row r="38" spans="1:19" x14ac:dyDescent="0.3">
      <c r="A38" s="6"/>
      <c r="B38" s="9"/>
      <c r="C38" s="9"/>
      <c r="D38" s="9"/>
      <c r="E38" s="9"/>
      <c r="F38" s="9"/>
      <c r="G38" s="9"/>
      <c r="H38" s="9"/>
      <c r="I38" s="9"/>
      <c r="J38" s="9"/>
      <c r="K38" s="9"/>
      <c r="L38" s="9"/>
      <c r="M38" s="9"/>
      <c r="N38" s="9"/>
      <c r="O38" s="9"/>
      <c r="P38" s="9"/>
      <c r="Q38" s="9"/>
      <c r="R38" s="9"/>
      <c r="S38" s="8"/>
    </row>
    <row r="39" spans="1:19" x14ac:dyDescent="0.3">
      <c r="A39" s="6"/>
      <c r="B39" s="9"/>
      <c r="C39" s="9"/>
      <c r="D39" s="9"/>
      <c r="E39" s="9"/>
      <c r="F39" s="9"/>
      <c r="G39" s="9"/>
      <c r="H39" s="9"/>
      <c r="I39" s="9"/>
      <c r="J39" s="9"/>
      <c r="K39" s="9"/>
      <c r="L39" s="9"/>
      <c r="M39" s="9"/>
      <c r="N39" s="9"/>
      <c r="O39" s="9"/>
      <c r="P39" s="9"/>
      <c r="Q39" s="9"/>
      <c r="R39" s="9"/>
      <c r="S39" s="8"/>
    </row>
    <row r="40" spans="1:19" x14ac:dyDescent="0.3">
      <c r="A40" s="6"/>
      <c r="B40" s="9"/>
      <c r="C40" s="9"/>
      <c r="D40" s="9"/>
      <c r="E40" s="9"/>
      <c r="F40" s="9"/>
      <c r="G40" s="9"/>
      <c r="H40" s="9"/>
      <c r="I40" s="9"/>
      <c r="J40" s="9"/>
      <c r="K40" s="9"/>
      <c r="L40" s="9"/>
      <c r="M40" s="9"/>
      <c r="N40" s="9"/>
      <c r="O40" s="9"/>
      <c r="P40" s="9"/>
      <c r="Q40" s="9"/>
      <c r="R40" s="9"/>
      <c r="S40" s="8"/>
    </row>
    <row r="41" spans="1:19" x14ac:dyDescent="0.3">
      <c r="A41" s="6"/>
      <c r="B41" s="9"/>
      <c r="C41" s="9"/>
      <c r="D41" s="9"/>
      <c r="E41" s="9"/>
      <c r="F41" s="9"/>
      <c r="G41" s="9"/>
      <c r="H41" s="9"/>
      <c r="I41" s="9"/>
      <c r="J41" s="9"/>
      <c r="K41" s="9"/>
      <c r="L41" s="9"/>
      <c r="M41" s="9"/>
      <c r="N41" s="9"/>
      <c r="O41" s="9"/>
      <c r="P41" s="9"/>
      <c r="Q41" s="9"/>
      <c r="R41" s="9"/>
      <c r="S41" s="8"/>
    </row>
    <row r="42" spans="1:19" x14ac:dyDescent="0.3">
      <c r="A42" s="6"/>
      <c r="B42" s="9"/>
      <c r="C42" s="9"/>
      <c r="D42" s="9"/>
      <c r="E42" s="9"/>
      <c r="F42" s="9"/>
      <c r="G42" s="9"/>
      <c r="H42" s="9"/>
      <c r="I42" s="9"/>
      <c r="J42" s="9"/>
      <c r="K42" s="9"/>
      <c r="L42" s="9"/>
      <c r="M42" s="9"/>
      <c r="N42" s="9"/>
      <c r="O42" s="9"/>
      <c r="P42" s="9"/>
      <c r="Q42" s="9"/>
      <c r="R42" s="9"/>
      <c r="S42" s="8"/>
    </row>
    <row r="43" spans="1:19" x14ac:dyDescent="0.3">
      <c r="A43" s="6"/>
      <c r="B43" s="9"/>
      <c r="C43" s="9"/>
      <c r="D43" s="9"/>
      <c r="E43" s="9"/>
      <c r="F43" s="9"/>
      <c r="G43" s="9"/>
      <c r="H43" s="9"/>
      <c r="I43" s="9"/>
      <c r="J43" s="9"/>
      <c r="K43" s="9"/>
      <c r="L43" s="9"/>
      <c r="M43" s="9"/>
      <c r="N43" s="9"/>
      <c r="O43" s="9"/>
      <c r="P43" s="9"/>
      <c r="Q43" s="9"/>
      <c r="R43" s="9"/>
      <c r="S43" s="8"/>
    </row>
    <row r="44" spans="1:19" x14ac:dyDescent="0.3">
      <c r="A44" s="6"/>
      <c r="B44" s="9"/>
      <c r="C44" s="9"/>
      <c r="D44" s="9"/>
      <c r="E44" s="9"/>
      <c r="F44" s="9"/>
      <c r="G44" s="9"/>
      <c r="H44" s="9"/>
      <c r="I44" s="9"/>
      <c r="J44" s="9"/>
      <c r="K44" s="9"/>
      <c r="L44" s="9"/>
      <c r="M44" s="9"/>
      <c r="N44" s="9"/>
      <c r="O44" s="9"/>
      <c r="P44" s="9"/>
      <c r="Q44" s="9"/>
      <c r="R44" s="9"/>
      <c r="S44" s="8"/>
    </row>
    <row r="45" spans="1:19" x14ac:dyDescent="0.3">
      <c r="A45" s="6"/>
      <c r="B45" s="9"/>
      <c r="C45" s="9"/>
      <c r="D45" s="9"/>
      <c r="E45" s="9"/>
      <c r="F45" s="9"/>
      <c r="G45" s="9"/>
      <c r="H45" s="9"/>
      <c r="I45" s="9"/>
      <c r="J45" s="9"/>
      <c r="K45" s="9"/>
      <c r="L45" s="9"/>
      <c r="M45" s="9"/>
      <c r="N45" s="9"/>
      <c r="O45" s="9"/>
      <c r="P45" s="9"/>
      <c r="Q45" s="9"/>
      <c r="R45" s="9"/>
      <c r="S45" s="8"/>
    </row>
    <row r="46" spans="1:19" x14ac:dyDescent="0.3">
      <c r="A46" s="6"/>
      <c r="B46" s="9"/>
      <c r="C46" s="9"/>
      <c r="D46" s="9"/>
      <c r="E46" s="9"/>
      <c r="F46" s="9"/>
      <c r="G46" s="9"/>
      <c r="H46" s="9"/>
      <c r="I46" s="9"/>
      <c r="J46" s="9"/>
      <c r="K46" s="9"/>
      <c r="L46" s="9"/>
      <c r="M46" s="9"/>
      <c r="N46" s="9"/>
      <c r="O46" s="9"/>
      <c r="P46" s="9"/>
      <c r="Q46" s="9"/>
      <c r="R46" s="9"/>
      <c r="S46" s="8"/>
    </row>
    <row r="47" spans="1:19" x14ac:dyDescent="0.3">
      <c r="A47" s="6"/>
      <c r="B47" s="9"/>
      <c r="C47" s="9"/>
      <c r="D47" s="9"/>
      <c r="E47" s="9"/>
      <c r="F47" s="9"/>
      <c r="G47" s="9"/>
      <c r="H47" s="9"/>
      <c r="I47" s="9"/>
      <c r="J47" s="9"/>
      <c r="K47" s="9"/>
      <c r="L47" s="9"/>
      <c r="M47" s="9"/>
      <c r="N47" s="9"/>
      <c r="O47" s="9"/>
      <c r="P47" s="9"/>
      <c r="Q47" s="9"/>
      <c r="R47" s="9"/>
      <c r="S47" s="8"/>
    </row>
    <row r="48" spans="1:19" x14ac:dyDescent="0.3">
      <c r="A48" s="6"/>
      <c r="B48" s="9"/>
      <c r="C48" s="9"/>
      <c r="D48" s="9"/>
      <c r="E48" s="9"/>
      <c r="F48" s="9"/>
      <c r="G48" s="9"/>
      <c r="H48" s="9"/>
      <c r="I48" s="9"/>
      <c r="J48" s="9"/>
      <c r="K48" s="9"/>
      <c r="L48" s="9"/>
      <c r="M48" s="9"/>
      <c r="N48" s="9"/>
      <c r="O48" s="9"/>
      <c r="P48" s="9"/>
      <c r="Q48" s="9"/>
      <c r="R48" s="9"/>
      <c r="S48" s="8"/>
    </row>
    <row r="49" spans="1:19" x14ac:dyDescent="0.3">
      <c r="A49" s="6"/>
      <c r="B49" s="9"/>
      <c r="C49" s="9"/>
      <c r="D49" s="9"/>
      <c r="E49" s="9"/>
      <c r="F49" s="9"/>
      <c r="G49" s="9"/>
      <c r="H49" s="9"/>
      <c r="I49" s="9"/>
      <c r="J49" s="9"/>
      <c r="K49" s="9"/>
      <c r="L49" s="9"/>
      <c r="M49" s="9"/>
      <c r="N49" s="9"/>
      <c r="O49" s="9"/>
      <c r="P49" s="9"/>
      <c r="Q49" s="9"/>
      <c r="R49" s="9"/>
      <c r="S49" s="8"/>
    </row>
    <row r="50" spans="1:19" x14ac:dyDescent="0.3">
      <c r="A50" s="6"/>
      <c r="B50" s="9"/>
      <c r="C50" s="9"/>
      <c r="D50" s="9"/>
      <c r="E50" s="9"/>
      <c r="F50" s="9"/>
      <c r="G50" s="9"/>
      <c r="H50" s="9"/>
      <c r="I50" s="9"/>
      <c r="J50" s="9"/>
      <c r="K50" s="9"/>
      <c r="L50" s="9"/>
      <c r="M50" s="9"/>
      <c r="N50" s="9"/>
      <c r="O50" s="9"/>
      <c r="P50" s="9"/>
      <c r="Q50" s="9"/>
      <c r="R50" s="9"/>
      <c r="S50" s="8"/>
    </row>
    <row r="51" spans="1:19" x14ac:dyDescent="0.3">
      <c r="A51" s="6"/>
      <c r="B51" s="9"/>
      <c r="C51" s="9"/>
      <c r="D51" s="9"/>
      <c r="E51" s="9"/>
      <c r="F51" s="9"/>
      <c r="G51" s="9"/>
      <c r="H51" s="9"/>
      <c r="I51" s="9"/>
      <c r="J51" s="9"/>
      <c r="K51" s="9"/>
      <c r="L51" s="9"/>
      <c r="M51" s="9"/>
      <c r="N51" s="9"/>
      <c r="O51" s="9"/>
      <c r="P51" s="9"/>
      <c r="Q51" s="9"/>
      <c r="R51" s="9"/>
      <c r="S51" s="8"/>
    </row>
    <row r="52" spans="1:19" x14ac:dyDescent="0.3">
      <c r="A52" s="6"/>
      <c r="B52" s="9"/>
      <c r="C52" s="9"/>
      <c r="D52" s="9"/>
      <c r="E52" s="9"/>
      <c r="F52" s="9"/>
      <c r="G52" s="9"/>
      <c r="H52" s="9"/>
      <c r="I52" s="9"/>
      <c r="J52" s="9"/>
      <c r="K52" s="9"/>
      <c r="L52" s="9"/>
      <c r="M52" s="9"/>
      <c r="N52" s="9"/>
      <c r="O52" s="9"/>
      <c r="P52" s="9"/>
      <c r="Q52" s="9"/>
      <c r="R52" s="9"/>
      <c r="S52" s="8"/>
    </row>
    <row r="53" spans="1:19" x14ac:dyDescent="0.3">
      <c r="A53" s="6"/>
      <c r="B53" s="9"/>
      <c r="C53" s="9"/>
      <c r="D53" s="9"/>
      <c r="E53" s="9"/>
      <c r="F53" s="9"/>
      <c r="G53" s="9"/>
      <c r="H53" s="9"/>
      <c r="I53" s="9"/>
      <c r="J53" s="9"/>
      <c r="K53" s="9"/>
      <c r="L53" s="9"/>
      <c r="M53" s="9"/>
      <c r="N53" s="9"/>
      <c r="O53" s="9"/>
      <c r="P53" s="9"/>
      <c r="Q53" s="9"/>
      <c r="R53" s="9"/>
      <c r="S53" s="8"/>
    </row>
    <row r="54" spans="1:19" x14ac:dyDescent="0.3">
      <c r="A54" s="6"/>
      <c r="B54" s="9"/>
      <c r="C54" s="9"/>
      <c r="D54" s="9"/>
      <c r="E54" s="9"/>
      <c r="F54" s="9"/>
      <c r="G54" s="9"/>
      <c r="H54" s="9"/>
      <c r="I54" s="9"/>
      <c r="J54" s="9"/>
      <c r="K54" s="9"/>
      <c r="L54" s="9"/>
      <c r="M54" s="9"/>
      <c r="N54" s="9"/>
      <c r="O54" s="9"/>
      <c r="P54" s="9"/>
      <c r="Q54" s="9"/>
      <c r="R54" s="9"/>
      <c r="S54" s="8"/>
    </row>
    <row r="55" spans="1:19" x14ac:dyDescent="0.3">
      <c r="A55" s="6"/>
      <c r="B55" s="9"/>
      <c r="C55" s="9"/>
      <c r="D55" s="9"/>
      <c r="E55" s="9"/>
      <c r="F55" s="9"/>
      <c r="G55" s="9"/>
      <c r="H55" s="9"/>
      <c r="I55" s="9"/>
      <c r="J55" s="9"/>
      <c r="K55" s="9"/>
      <c r="L55" s="9"/>
      <c r="M55" s="9"/>
      <c r="N55" s="9"/>
      <c r="O55" s="9"/>
      <c r="P55" s="9"/>
      <c r="Q55" s="9"/>
      <c r="R55" s="9"/>
      <c r="S55" s="8"/>
    </row>
    <row r="56" spans="1:19" x14ac:dyDescent="0.3">
      <c r="A56" s="6"/>
      <c r="B56" s="9"/>
      <c r="C56" s="9"/>
      <c r="D56" s="9"/>
      <c r="E56" s="9"/>
      <c r="F56" s="9"/>
      <c r="G56" s="9"/>
      <c r="H56" s="9"/>
      <c r="I56" s="9"/>
      <c r="J56" s="9"/>
      <c r="K56" s="9"/>
      <c r="L56" s="9"/>
      <c r="M56" s="9"/>
      <c r="N56" s="9"/>
      <c r="O56" s="9"/>
      <c r="P56" s="9"/>
      <c r="Q56" s="9"/>
      <c r="R56" s="9"/>
      <c r="S56" s="8"/>
    </row>
    <row r="57" spans="1:19" x14ac:dyDescent="0.3">
      <c r="A57" s="6"/>
      <c r="B57" s="9"/>
      <c r="C57" s="9"/>
      <c r="D57" s="9"/>
      <c r="E57" s="9"/>
      <c r="F57" s="9"/>
      <c r="G57" s="9"/>
      <c r="H57" s="9"/>
      <c r="I57" s="9"/>
      <c r="J57" s="9"/>
      <c r="K57" s="9"/>
      <c r="L57" s="9"/>
      <c r="M57" s="9"/>
      <c r="N57" s="9"/>
      <c r="O57" s="9"/>
      <c r="P57" s="9"/>
      <c r="Q57" s="9"/>
      <c r="R57" s="9"/>
      <c r="S57" s="8"/>
    </row>
    <row r="58" spans="1:19" x14ac:dyDescent="0.3">
      <c r="A58" s="6"/>
      <c r="B58" s="9"/>
      <c r="C58" s="9"/>
      <c r="D58" s="9"/>
      <c r="E58" s="9"/>
      <c r="F58" s="9"/>
      <c r="G58" s="9"/>
      <c r="H58" s="9"/>
      <c r="I58" s="9"/>
      <c r="J58" s="9"/>
      <c r="K58" s="9"/>
      <c r="L58" s="9"/>
      <c r="M58" s="9"/>
      <c r="N58" s="9"/>
      <c r="O58" s="9"/>
      <c r="P58" s="9"/>
      <c r="Q58" s="9"/>
      <c r="R58" s="9"/>
      <c r="S58" s="8"/>
    </row>
    <row r="59" spans="1:19" x14ac:dyDescent="0.3">
      <c r="A59" s="6"/>
      <c r="B59" s="9"/>
      <c r="C59" s="9"/>
      <c r="D59" s="9"/>
      <c r="E59" s="9"/>
      <c r="F59" s="9"/>
      <c r="G59" s="9"/>
      <c r="H59" s="9"/>
      <c r="I59" s="9"/>
      <c r="J59" s="9"/>
      <c r="K59" s="9"/>
      <c r="L59" s="9"/>
      <c r="M59" s="9"/>
      <c r="N59" s="9"/>
      <c r="O59" s="9"/>
      <c r="P59" s="9"/>
      <c r="Q59" s="9"/>
      <c r="R59" s="9"/>
      <c r="S59" s="8"/>
    </row>
    <row r="60" spans="1:19" x14ac:dyDescent="0.3">
      <c r="A60" s="6"/>
      <c r="B60" s="9"/>
      <c r="C60" s="9"/>
      <c r="D60" s="9"/>
      <c r="E60" s="9"/>
      <c r="F60" s="9"/>
      <c r="G60" s="9"/>
      <c r="H60" s="9"/>
      <c r="I60" s="9"/>
      <c r="J60" s="9"/>
      <c r="K60" s="9"/>
      <c r="L60" s="9"/>
      <c r="M60" s="9"/>
      <c r="N60" s="9"/>
      <c r="O60" s="9"/>
      <c r="P60" s="9"/>
      <c r="Q60" s="9"/>
      <c r="R60" s="9"/>
      <c r="S60" s="8"/>
    </row>
    <row r="61" spans="1:19" x14ac:dyDescent="0.3">
      <c r="A61" s="6"/>
      <c r="B61" s="9"/>
      <c r="C61" s="9"/>
      <c r="D61" s="9"/>
      <c r="E61" s="9"/>
      <c r="F61" s="9"/>
      <c r="G61" s="9"/>
      <c r="H61" s="9"/>
      <c r="I61" s="9"/>
      <c r="J61" s="9"/>
      <c r="K61" s="9"/>
      <c r="L61" s="9"/>
      <c r="M61" s="9"/>
      <c r="N61" s="9"/>
      <c r="O61" s="9"/>
      <c r="P61" s="9"/>
      <c r="Q61" s="9"/>
      <c r="R61" s="9"/>
      <c r="S61" s="8"/>
    </row>
    <row r="62" spans="1:19" x14ac:dyDescent="0.3">
      <c r="A62" s="6"/>
      <c r="B62" s="9"/>
      <c r="C62" s="9"/>
      <c r="D62" s="9"/>
      <c r="E62" s="9"/>
      <c r="F62" s="9"/>
      <c r="G62" s="9"/>
      <c r="H62" s="9"/>
      <c r="I62" s="9"/>
      <c r="J62" s="9"/>
      <c r="K62" s="9"/>
      <c r="L62" s="9"/>
      <c r="M62" s="9"/>
      <c r="N62" s="9"/>
      <c r="O62" s="9"/>
      <c r="P62" s="9"/>
      <c r="Q62" s="9"/>
      <c r="R62" s="9"/>
      <c r="S62" s="8"/>
    </row>
    <row r="63" spans="1:19" x14ac:dyDescent="0.3">
      <c r="A63" s="6"/>
      <c r="B63" s="9"/>
      <c r="C63" s="9"/>
      <c r="D63" s="9"/>
      <c r="E63" s="9"/>
      <c r="F63" s="9"/>
      <c r="G63" s="9"/>
      <c r="H63" s="9"/>
      <c r="I63" s="9"/>
      <c r="J63" s="9"/>
      <c r="K63" s="9"/>
      <c r="L63" s="9"/>
      <c r="M63" s="9"/>
      <c r="N63" s="9"/>
      <c r="O63" s="9"/>
      <c r="P63" s="9"/>
      <c r="Q63" s="9"/>
      <c r="R63" s="9"/>
      <c r="S63" s="8"/>
    </row>
    <row r="64" spans="1:19" x14ac:dyDescent="0.3">
      <c r="A64" s="6"/>
      <c r="B64" s="9"/>
      <c r="C64" s="9"/>
      <c r="D64" s="9"/>
      <c r="E64" s="9"/>
      <c r="F64" s="9"/>
      <c r="G64" s="9"/>
      <c r="H64" s="9"/>
      <c r="I64" s="9"/>
      <c r="J64" s="9"/>
      <c r="K64" s="9"/>
      <c r="L64" s="9"/>
      <c r="M64" s="9"/>
      <c r="N64" s="9"/>
      <c r="O64" s="9"/>
      <c r="P64" s="9"/>
      <c r="Q64" s="9"/>
      <c r="R64" s="9"/>
      <c r="S64" s="8"/>
    </row>
    <row r="65" spans="1:19" x14ac:dyDescent="0.3">
      <c r="A65" s="6"/>
      <c r="B65" s="9"/>
      <c r="C65" s="9"/>
      <c r="D65" s="9"/>
      <c r="E65" s="9"/>
      <c r="F65" s="9"/>
      <c r="G65" s="9"/>
      <c r="H65" s="9"/>
      <c r="I65" s="9"/>
      <c r="J65" s="9"/>
      <c r="K65" s="9"/>
      <c r="L65" s="9"/>
      <c r="M65" s="9"/>
      <c r="N65" s="9"/>
      <c r="O65" s="9"/>
      <c r="P65" s="9"/>
      <c r="Q65" s="9"/>
      <c r="R65" s="9"/>
      <c r="S65" s="8"/>
    </row>
    <row r="66" spans="1:19" x14ac:dyDescent="0.3">
      <c r="A66" s="6"/>
      <c r="B66" s="9"/>
      <c r="C66" s="9"/>
      <c r="D66" s="9"/>
      <c r="E66" s="9"/>
      <c r="F66" s="9"/>
      <c r="G66" s="9"/>
      <c r="H66" s="9"/>
      <c r="I66" s="9"/>
      <c r="J66" s="9"/>
      <c r="K66" s="9"/>
      <c r="L66" s="9"/>
      <c r="M66" s="9"/>
      <c r="N66" s="9"/>
      <c r="O66" s="9"/>
      <c r="P66" s="9"/>
      <c r="Q66" s="9"/>
      <c r="R66" s="9"/>
      <c r="S66" s="8"/>
    </row>
    <row r="67" spans="1:19" x14ac:dyDescent="0.3">
      <c r="A67" s="6"/>
      <c r="B67" s="9"/>
      <c r="C67" s="9"/>
      <c r="D67" s="9"/>
      <c r="E67" s="9"/>
      <c r="F67" s="9"/>
      <c r="G67" s="9"/>
      <c r="H67" s="9"/>
      <c r="I67" s="9"/>
      <c r="J67" s="9"/>
      <c r="K67" s="9"/>
      <c r="L67" s="9"/>
      <c r="M67" s="9"/>
      <c r="N67" s="9"/>
      <c r="O67" s="9"/>
      <c r="P67" s="9"/>
      <c r="Q67" s="9"/>
      <c r="R67" s="9"/>
      <c r="S67" s="8"/>
    </row>
    <row r="68" spans="1:19" x14ac:dyDescent="0.3">
      <c r="A68" s="6"/>
      <c r="B68" s="9"/>
      <c r="C68" s="9"/>
      <c r="D68" s="9"/>
      <c r="E68" s="9"/>
      <c r="F68" s="9"/>
      <c r="G68" s="9"/>
      <c r="H68" s="9"/>
      <c r="I68" s="9"/>
      <c r="J68" s="9"/>
      <c r="K68" s="9"/>
      <c r="L68" s="9"/>
      <c r="M68" s="9"/>
      <c r="N68" s="9"/>
      <c r="O68" s="9"/>
      <c r="P68" s="9"/>
      <c r="Q68" s="9"/>
      <c r="R68" s="9"/>
      <c r="S68" s="8"/>
    </row>
    <row r="69" spans="1:19" x14ac:dyDescent="0.3">
      <c r="A69" s="6"/>
      <c r="B69" s="9"/>
      <c r="C69" s="9"/>
      <c r="D69" s="9"/>
      <c r="E69" s="9"/>
      <c r="F69" s="9"/>
      <c r="G69" s="9"/>
      <c r="H69" s="9"/>
      <c r="I69" s="9"/>
      <c r="J69" s="9"/>
      <c r="K69" s="9"/>
      <c r="L69" s="9"/>
      <c r="M69" s="9"/>
      <c r="N69" s="9"/>
      <c r="O69" s="9"/>
      <c r="P69" s="9"/>
      <c r="Q69" s="9"/>
      <c r="R69" s="9"/>
      <c r="S69" s="8"/>
    </row>
    <row r="70" spans="1:19" x14ac:dyDescent="0.3">
      <c r="A70" s="6"/>
      <c r="B70" s="9"/>
      <c r="C70" s="9"/>
      <c r="D70" s="9"/>
      <c r="E70" s="9"/>
      <c r="F70" s="9"/>
      <c r="G70" s="9"/>
      <c r="H70" s="9"/>
      <c r="I70" s="9"/>
      <c r="J70" s="9"/>
      <c r="K70" s="9"/>
      <c r="L70" s="9"/>
      <c r="M70" s="9"/>
      <c r="N70" s="9"/>
      <c r="O70" s="9"/>
      <c r="P70" s="9"/>
      <c r="Q70" s="9"/>
      <c r="R70" s="9"/>
      <c r="S70" s="8"/>
    </row>
    <row r="71" spans="1:19" x14ac:dyDescent="0.3">
      <c r="A71" s="6"/>
      <c r="B71" s="9"/>
      <c r="C71" s="9"/>
      <c r="D71" s="9"/>
      <c r="E71" s="9"/>
      <c r="F71" s="9"/>
      <c r="G71" s="9"/>
      <c r="H71" s="9"/>
      <c r="I71" s="9"/>
      <c r="J71" s="9"/>
      <c r="K71" s="9"/>
      <c r="L71" s="9"/>
      <c r="M71" s="9"/>
      <c r="N71" s="9"/>
      <c r="O71" s="9"/>
      <c r="P71" s="9"/>
      <c r="Q71" s="9"/>
      <c r="R71" s="9"/>
      <c r="S71" s="8"/>
    </row>
    <row r="72" spans="1:19" x14ac:dyDescent="0.3">
      <c r="A72" s="6"/>
      <c r="B72" s="9"/>
      <c r="C72" s="9"/>
      <c r="D72" s="9"/>
      <c r="E72" s="9"/>
      <c r="F72" s="9"/>
      <c r="G72" s="9"/>
      <c r="H72" s="9"/>
      <c r="I72" s="9"/>
      <c r="J72" s="9"/>
      <c r="K72" s="9"/>
      <c r="L72" s="9"/>
      <c r="M72" s="9"/>
      <c r="N72" s="9"/>
      <c r="O72" s="9"/>
      <c r="P72" s="9"/>
      <c r="Q72" s="9"/>
      <c r="R72" s="9"/>
      <c r="S72" s="8"/>
    </row>
    <row r="73" spans="1:19" x14ac:dyDescent="0.3">
      <c r="A73" s="6"/>
      <c r="B73" s="9"/>
      <c r="C73" s="9"/>
      <c r="D73" s="9"/>
      <c r="E73" s="9"/>
      <c r="F73" s="9"/>
      <c r="G73" s="9"/>
      <c r="H73" s="9"/>
      <c r="I73" s="9"/>
      <c r="J73" s="9"/>
      <c r="K73" s="9"/>
      <c r="L73" s="9"/>
      <c r="M73" s="9"/>
      <c r="N73" s="9"/>
      <c r="O73" s="9"/>
      <c r="P73" s="9"/>
      <c r="Q73" s="9"/>
      <c r="R73" s="9"/>
      <c r="S73" s="8"/>
    </row>
    <row r="74" spans="1:19" x14ac:dyDescent="0.3">
      <c r="A74" s="6"/>
      <c r="B74" s="9"/>
      <c r="C74" s="9"/>
      <c r="D74" s="9"/>
      <c r="E74" s="9"/>
      <c r="F74" s="9"/>
      <c r="G74" s="9"/>
      <c r="H74" s="9"/>
      <c r="I74" s="9"/>
      <c r="J74" s="9"/>
      <c r="K74" s="9"/>
      <c r="L74" s="9"/>
      <c r="M74" s="9"/>
      <c r="N74" s="9"/>
      <c r="O74" s="9"/>
      <c r="P74" s="9"/>
      <c r="Q74" s="9"/>
      <c r="R74" s="9"/>
      <c r="S74" s="8"/>
    </row>
    <row r="75" spans="1:19" x14ac:dyDescent="0.3">
      <c r="A75" s="6"/>
      <c r="B75" s="9"/>
      <c r="C75" s="9"/>
      <c r="D75" s="9"/>
      <c r="E75" s="9"/>
      <c r="F75" s="9"/>
      <c r="G75" s="9"/>
      <c r="H75" s="9"/>
      <c r="I75" s="9"/>
      <c r="J75" s="9"/>
      <c r="K75" s="9"/>
      <c r="L75" s="9"/>
      <c r="M75" s="9"/>
      <c r="N75" s="9"/>
      <c r="O75" s="9"/>
      <c r="P75" s="9"/>
      <c r="Q75" s="9"/>
      <c r="R75" s="9"/>
      <c r="S75" s="8"/>
    </row>
    <row r="76" spans="1:19" x14ac:dyDescent="0.3">
      <c r="A76" s="6"/>
      <c r="B76" s="9"/>
      <c r="C76" s="9"/>
      <c r="D76" s="9"/>
      <c r="E76" s="9"/>
      <c r="F76" s="9"/>
      <c r="G76" s="9"/>
      <c r="H76" s="9"/>
      <c r="I76" s="9"/>
      <c r="J76" s="9"/>
      <c r="K76" s="9"/>
      <c r="L76" s="9"/>
      <c r="M76" s="9"/>
      <c r="N76" s="9"/>
      <c r="O76" s="9"/>
      <c r="P76" s="9"/>
      <c r="Q76" s="9"/>
      <c r="R76" s="9"/>
      <c r="S76" s="8"/>
    </row>
    <row r="77" spans="1:19" x14ac:dyDescent="0.3">
      <c r="A77" s="6"/>
      <c r="B77" s="9"/>
      <c r="C77" s="9"/>
      <c r="D77" s="9"/>
      <c r="E77" s="9"/>
      <c r="F77" s="9"/>
      <c r="G77" s="9"/>
      <c r="H77" s="9"/>
      <c r="I77" s="9"/>
      <c r="J77" s="9"/>
      <c r="K77" s="9"/>
      <c r="L77" s="9"/>
      <c r="M77" s="9"/>
      <c r="N77" s="9"/>
      <c r="O77" s="9"/>
      <c r="P77" s="9"/>
      <c r="Q77" s="9"/>
      <c r="R77" s="9"/>
      <c r="S77" s="8"/>
    </row>
    <row r="78" spans="1:19" x14ac:dyDescent="0.3">
      <c r="A78" s="6"/>
      <c r="B78" s="9"/>
      <c r="C78" s="9"/>
      <c r="D78" s="9"/>
      <c r="E78" s="9"/>
      <c r="F78" s="9"/>
      <c r="G78" s="9"/>
      <c r="H78" s="9"/>
      <c r="I78" s="9"/>
      <c r="J78" s="9"/>
      <c r="K78" s="9"/>
      <c r="L78" s="9"/>
      <c r="M78" s="9"/>
      <c r="N78" s="9"/>
      <c r="O78" s="9"/>
      <c r="P78" s="9"/>
      <c r="Q78" s="9"/>
      <c r="R78" s="9"/>
      <c r="S78" s="8"/>
    </row>
    <row r="79" spans="1:19" x14ac:dyDescent="0.3">
      <c r="A79" s="6"/>
      <c r="B79" s="9"/>
      <c r="C79" s="9"/>
      <c r="D79" s="9"/>
      <c r="E79" s="9"/>
      <c r="F79" s="9"/>
      <c r="G79" s="9"/>
      <c r="H79" s="9"/>
      <c r="I79" s="9"/>
      <c r="J79" s="9"/>
      <c r="K79" s="9"/>
      <c r="L79" s="9"/>
      <c r="M79" s="9"/>
      <c r="N79" s="9"/>
      <c r="O79" s="9"/>
      <c r="P79" s="9"/>
      <c r="Q79" s="9"/>
      <c r="R79" s="9"/>
      <c r="S79" s="8"/>
    </row>
    <row r="80" spans="1:19" x14ac:dyDescent="0.3">
      <c r="A80" s="6"/>
      <c r="B80" s="9"/>
      <c r="C80" s="9"/>
      <c r="D80" s="9"/>
      <c r="E80" s="9"/>
      <c r="F80" s="9"/>
      <c r="G80" s="9"/>
      <c r="H80" s="9"/>
      <c r="I80" s="9"/>
      <c r="J80" s="9"/>
      <c r="K80" s="9"/>
      <c r="L80" s="9"/>
      <c r="M80" s="9"/>
      <c r="N80" s="9"/>
      <c r="O80" s="9"/>
      <c r="P80" s="9"/>
      <c r="Q80" s="9"/>
      <c r="R80" s="9"/>
      <c r="S80" s="8"/>
    </row>
    <row r="81" spans="1:19" x14ac:dyDescent="0.3">
      <c r="A81" s="6"/>
      <c r="B81" s="9"/>
      <c r="C81" s="9"/>
      <c r="D81" s="9"/>
      <c r="E81" s="9"/>
      <c r="F81" s="9"/>
      <c r="G81" s="9"/>
      <c r="H81" s="9"/>
      <c r="I81" s="9"/>
      <c r="J81" s="9"/>
      <c r="K81" s="9"/>
      <c r="L81" s="9"/>
      <c r="M81" s="9"/>
      <c r="N81" s="9"/>
      <c r="O81" s="9"/>
      <c r="P81" s="9"/>
      <c r="Q81" s="9"/>
      <c r="R81" s="9"/>
      <c r="S81" s="8"/>
    </row>
    <row r="82" spans="1:19" x14ac:dyDescent="0.3">
      <c r="A82" s="6"/>
      <c r="B82" s="9"/>
      <c r="C82" s="9"/>
      <c r="D82" s="9"/>
      <c r="E82" s="9"/>
      <c r="F82" s="9"/>
      <c r="G82" s="9"/>
      <c r="H82" s="9"/>
      <c r="I82" s="9"/>
      <c r="J82" s="9"/>
      <c r="K82" s="9"/>
      <c r="L82" s="9"/>
      <c r="M82" s="9"/>
      <c r="N82" s="9"/>
      <c r="O82" s="9"/>
      <c r="P82" s="9"/>
      <c r="Q82" s="9"/>
      <c r="R82" s="9"/>
      <c r="S82" s="8"/>
    </row>
    <row r="83" spans="1:19" x14ac:dyDescent="0.3">
      <c r="A83" s="6"/>
      <c r="B83" s="9"/>
      <c r="C83" s="9"/>
      <c r="D83" s="9"/>
      <c r="E83" s="9"/>
      <c r="F83" s="9"/>
      <c r="G83" s="9"/>
      <c r="H83" s="9"/>
      <c r="I83" s="9"/>
      <c r="J83" s="9"/>
      <c r="K83" s="9"/>
      <c r="L83" s="9"/>
      <c r="M83" s="9"/>
      <c r="N83" s="9"/>
      <c r="O83" s="9"/>
      <c r="P83" s="9"/>
      <c r="Q83" s="9"/>
      <c r="R83" s="9"/>
      <c r="S83" s="8"/>
    </row>
    <row r="84" spans="1:19" x14ac:dyDescent="0.3">
      <c r="A84" s="6"/>
      <c r="B84" s="9"/>
      <c r="C84" s="9"/>
      <c r="D84" s="9"/>
      <c r="E84" s="9"/>
      <c r="F84" s="9"/>
      <c r="G84" s="9"/>
      <c r="H84" s="9"/>
      <c r="I84" s="9"/>
      <c r="J84" s="9"/>
      <c r="K84" s="9"/>
      <c r="L84" s="9"/>
      <c r="M84" s="9"/>
      <c r="N84" s="9"/>
      <c r="O84" s="9"/>
      <c r="P84" s="9"/>
      <c r="Q84" s="9"/>
      <c r="R84" s="9"/>
      <c r="S84" s="8"/>
    </row>
    <row r="85" spans="1:19" x14ac:dyDescent="0.3">
      <c r="A85" s="6"/>
      <c r="B85" s="9"/>
      <c r="C85" s="9"/>
      <c r="D85" s="9"/>
      <c r="E85" s="9"/>
      <c r="F85" s="9"/>
      <c r="G85" s="9"/>
      <c r="H85" s="9"/>
      <c r="I85" s="9"/>
      <c r="J85" s="9"/>
      <c r="K85" s="9"/>
      <c r="L85" s="9"/>
      <c r="M85" s="9"/>
      <c r="N85" s="9"/>
      <c r="O85" s="9"/>
      <c r="P85" s="9"/>
      <c r="Q85" s="9"/>
      <c r="R85" s="9"/>
      <c r="S85" s="8"/>
    </row>
    <row r="86" spans="1:19" ht="15" thickBot="1" x14ac:dyDescent="0.35">
      <c r="A86" s="10"/>
      <c r="B86" s="11"/>
      <c r="C86" s="11"/>
      <c r="D86" s="11"/>
      <c r="E86" s="11"/>
      <c r="F86" s="9"/>
      <c r="G86" s="9"/>
      <c r="H86" s="9"/>
      <c r="I86" s="9"/>
      <c r="J86" s="9"/>
      <c r="K86" s="9"/>
      <c r="L86" s="9"/>
      <c r="M86" s="9"/>
      <c r="N86" s="9"/>
      <c r="O86" s="9"/>
      <c r="P86" s="9"/>
      <c r="Q86" s="9"/>
      <c r="R86" s="9"/>
      <c r="S86" s="8"/>
    </row>
    <row r="87" spans="1:19" ht="15" thickBot="1" x14ac:dyDescent="0.35">
      <c r="G87" s="11"/>
      <c r="H87" s="11"/>
      <c r="I87" s="11"/>
      <c r="J87" s="11"/>
      <c r="K87" s="11"/>
      <c r="L87" s="11"/>
      <c r="M87" s="11"/>
      <c r="N87" s="11"/>
      <c r="O87" s="11"/>
      <c r="P87" s="11"/>
      <c r="Q87" s="11"/>
      <c r="R87" s="11"/>
      <c r="S87" s="12"/>
    </row>
  </sheetData>
  <mergeCells count="6">
    <mergeCell ref="G9:H9"/>
    <mergeCell ref="P5:Q5"/>
    <mergeCell ref="C1:D1"/>
    <mergeCell ref="B5:C5"/>
    <mergeCell ref="M5:N5"/>
    <mergeCell ref="G5:H5"/>
  </mergeCells>
  <pageMargins left="0.7" right="0.7" top="0.75" bottom="0.75" header="0.3" footer="0.3"/>
  <pageSetup orientation="portrait"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11775-0DC4-4E11-828B-03C91810ADA3}">
  <sheetPr codeName="Sheet4"/>
  <dimension ref="A1:V57"/>
  <sheetViews>
    <sheetView workbookViewId="0">
      <pane ySplit="1" topLeftCell="A2" activePane="bottomLeft" state="frozen"/>
      <selection pane="bottomLeft" activeCell="A2" sqref="A2"/>
    </sheetView>
  </sheetViews>
  <sheetFormatPr defaultColWidth="9.109375" defaultRowHeight="14.4" x14ac:dyDescent="0.3"/>
  <cols>
    <col min="2" max="2" width="23.88671875" customWidth="1"/>
    <col min="3" max="10" width="16.44140625" customWidth="1"/>
    <col min="11" max="17" width="14.88671875" customWidth="1"/>
    <col min="18" max="22" width="12.109375" customWidth="1"/>
  </cols>
  <sheetData>
    <row r="1" spans="1:22" ht="34.5" customHeight="1" thickBot="1" x14ac:dyDescent="0.35">
      <c r="A1" s="187" t="s">
        <v>255</v>
      </c>
      <c r="B1" s="207" t="e" vm="1">
        <v>#VALUE!</v>
      </c>
      <c r="C1" s="214" t="s">
        <v>492</v>
      </c>
      <c r="D1" s="215"/>
      <c r="E1" s="25"/>
      <c r="F1" s="5"/>
      <c r="G1" s="5"/>
      <c r="H1" s="5"/>
      <c r="I1" s="5"/>
      <c r="J1" s="5"/>
      <c r="K1" s="5"/>
      <c r="L1" s="5"/>
      <c r="M1" s="5"/>
      <c r="N1" s="5"/>
      <c r="O1" s="5"/>
      <c r="P1" s="5"/>
      <c r="Q1" s="5"/>
      <c r="R1" s="7"/>
    </row>
    <row r="2" spans="1:22" ht="15" customHeight="1" x14ac:dyDescent="0.3">
      <c r="A2" s="6"/>
      <c r="B2" s="13"/>
      <c r="C2" s="13"/>
      <c r="D2" s="9"/>
      <c r="E2" s="9"/>
      <c r="F2" s="9"/>
      <c r="G2" s="9"/>
      <c r="H2" s="9"/>
      <c r="I2" s="9"/>
      <c r="J2" s="9"/>
      <c r="K2" s="9"/>
      <c r="L2" s="9"/>
      <c r="M2" s="9"/>
      <c r="N2" s="9"/>
      <c r="O2" s="9"/>
      <c r="P2" s="9"/>
      <c r="Q2" s="9"/>
      <c r="R2" s="8"/>
    </row>
    <row r="3" spans="1:22" x14ac:dyDescent="0.3">
      <c r="A3" s="6"/>
      <c r="B3" s="103" t="s">
        <v>499</v>
      </c>
      <c r="C3" s="62" t="str" cm="1">
        <f t="array" ref="C3">_xll.U.CACHE(_xll.U.HAPPEND(TradesReport,_xll.U.REPLACE(_xll.U.SUBRANGE(TradesReport,,"Time",,"Time"),H4:I5)),"ReportWithDate")</f>
        <v>ReportWithDate | 2026-02-19 10:53:20.028</v>
      </c>
      <c r="D3" s="9"/>
      <c r="E3" s="9"/>
      <c r="F3" s="9"/>
      <c r="G3" s="9"/>
      <c r="H3" s="216" t="s">
        <v>501</v>
      </c>
      <c r="I3" s="217"/>
      <c r="J3" s="9"/>
      <c r="K3" s="193" t="s">
        <v>1</v>
      </c>
      <c r="L3" s="193" t="s">
        <v>1</v>
      </c>
      <c r="M3" s="193" t="s">
        <v>32</v>
      </c>
      <c r="N3" s="193" t="s">
        <v>493</v>
      </c>
      <c r="O3" s="9"/>
      <c r="P3" s="9"/>
      <c r="Q3" s="9"/>
      <c r="R3" s="8"/>
    </row>
    <row r="4" spans="1:22" x14ac:dyDescent="0.3">
      <c r="A4" s="6"/>
      <c r="B4" s="9"/>
      <c r="C4" s="9"/>
      <c r="E4" s="9"/>
      <c r="F4" s="9"/>
      <c r="G4" s="9"/>
      <c r="H4" s="120" t="s">
        <v>26</v>
      </c>
      <c r="I4" s="120" t="s">
        <v>86</v>
      </c>
      <c r="J4" s="9"/>
      <c r="K4" s="193" t="s">
        <v>34</v>
      </c>
      <c r="L4" s="193" t="s">
        <v>34</v>
      </c>
      <c r="M4" s="193" t="s">
        <v>312</v>
      </c>
      <c r="N4" s="193" t="s">
        <v>496</v>
      </c>
      <c r="O4" s="9"/>
      <c r="P4" s="9"/>
      <c r="Q4" s="9"/>
      <c r="R4" s="8"/>
    </row>
    <row r="5" spans="1:22" x14ac:dyDescent="0.3">
      <c r="A5" s="6"/>
      <c r="B5" s="103" t="s">
        <v>322</v>
      </c>
      <c r="C5" s="120" t="s">
        <v>1</v>
      </c>
      <c r="D5" s="9"/>
      <c r="E5" s="9"/>
      <c r="F5" s="9"/>
      <c r="G5" s="9"/>
      <c r="H5" s="120" t="s">
        <v>500</v>
      </c>
      <c r="I5" s="120" t="s">
        <v>502</v>
      </c>
      <c r="J5" s="9"/>
      <c r="K5" s="193" t="s">
        <v>6</v>
      </c>
      <c r="L5" s="193" t="s">
        <v>6</v>
      </c>
      <c r="M5" s="193" t="s">
        <v>313</v>
      </c>
      <c r="N5" s="193" t="s">
        <v>495</v>
      </c>
      <c r="O5" s="9"/>
      <c r="P5" s="9"/>
      <c r="Q5" s="9"/>
      <c r="R5" s="8"/>
    </row>
    <row r="6" spans="1:22" x14ac:dyDescent="0.3">
      <c r="A6" s="6"/>
      <c r="B6" s="103" t="s">
        <v>490</v>
      </c>
      <c r="C6" s="120" t="s">
        <v>86</v>
      </c>
      <c r="D6" s="9"/>
      <c r="E6" s="9"/>
      <c r="F6" s="9"/>
      <c r="G6" s="9"/>
      <c r="H6" s="9"/>
      <c r="I6" s="9"/>
      <c r="J6" s="9"/>
      <c r="K6" s="193" t="s">
        <v>86</v>
      </c>
      <c r="L6" s="193" t="s">
        <v>86</v>
      </c>
      <c r="M6" s="193" t="s">
        <v>314</v>
      </c>
      <c r="N6" s="193" t="s">
        <v>497</v>
      </c>
      <c r="O6" s="9"/>
      <c r="P6" s="9"/>
      <c r="Q6" s="9"/>
      <c r="R6" s="8"/>
    </row>
    <row r="7" spans="1:22" x14ac:dyDescent="0.3">
      <c r="A7" s="6"/>
      <c r="B7" s="103" t="s">
        <v>491</v>
      </c>
      <c r="C7" s="120" t="s">
        <v>314</v>
      </c>
      <c r="D7" s="9"/>
      <c r="E7" s="9"/>
      <c r="F7" s="9"/>
      <c r="G7" s="9"/>
      <c r="H7" s="9"/>
      <c r="I7" s="9"/>
      <c r="J7" s="9"/>
      <c r="K7" s="9"/>
      <c r="L7" s="9"/>
      <c r="M7" s="193" t="s">
        <v>26</v>
      </c>
      <c r="N7" s="193" t="s">
        <v>494</v>
      </c>
      <c r="O7" s="9"/>
      <c r="P7" s="9"/>
      <c r="Q7" s="9"/>
      <c r="R7" s="8"/>
    </row>
    <row r="8" spans="1:22" x14ac:dyDescent="0.3">
      <c r="A8" s="6"/>
      <c r="B8" s="103" t="s">
        <v>498</v>
      </c>
      <c r="C8" s="120" t="s">
        <v>493</v>
      </c>
      <c r="D8" s="9"/>
      <c r="E8" s="9"/>
      <c r="F8" s="9"/>
      <c r="G8" s="9"/>
      <c r="H8" s="9"/>
      <c r="I8" s="9"/>
      <c r="J8" s="9"/>
      <c r="K8" s="9"/>
      <c r="L8" s="9"/>
      <c r="M8" s="9"/>
      <c r="N8" s="193" t="s">
        <v>503</v>
      </c>
      <c r="O8" s="9"/>
      <c r="P8" s="9"/>
      <c r="Q8" s="9"/>
      <c r="R8" s="8"/>
    </row>
    <row r="9" spans="1:22" x14ac:dyDescent="0.3">
      <c r="A9" s="6"/>
      <c r="B9" s="20" t="s">
        <v>504</v>
      </c>
      <c r="C9" s="199" t="str">
        <f>C8&amp;"("&amp;C7&amp;")"</f>
        <v>Sum(PnL)</v>
      </c>
      <c r="D9" s="9"/>
      <c r="E9" s="9"/>
      <c r="F9" s="9"/>
      <c r="G9" s="9"/>
      <c r="H9" s="9"/>
      <c r="I9" s="9"/>
      <c r="J9" s="9"/>
      <c r="K9" s="9"/>
      <c r="L9" s="9"/>
      <c r="M9" s="9"/>
      <c r="N9" s="9"/>
      <c r="O9" s="9"/>
      <c r="P9" s="9"/>
      <c r="Q9" s="9"/>
      <c r="R9" s="8"/>
    </row>
    <row r="10" spans="1:22" x14ac:dyDescent="0.3">
      <c r="A10" s="6"/>
      <c r="B10" s="9"/>
      <c r="C10" s="9"/>
      <c r="D10" s="9"/>
      <c r="E10" s="9"/>
      <c r="F10" s="9"/>
      <c r="G10" s="9"/>
      <c r="H10" s="9"/>
      <c r="I10" s="9"/>
      <c r="J10" s="9"/>
      <c r="K10" s="9"/>
      <c r="L10" s="9"/>
      <c r="M10" s="9"/>
      <c r="N10" s="9"/>
      <c r="O10" s="9"/>
      <c r="P10" s="9"/>
      <c r="Q10" s="9"/>
      <c r="R10" s="8"/>
    </row>
    <row r="11" spans="1:22" x14ac:dyDescent="0.3">
      <c r="A11" s="6"/>
      <c r="B11" s="9" t="str">
        <f t="array" ref="B11:D31">_xll.U.PAD(_xll.U.TABLE_TO_GRID(C3,C5,C6,C9),TRUE)</f>
        <v/>
      </c>
      <c r="C11" s="195">
        <v>43691</v>
      </c>
      <c r="D11" s="195">
        <v>43692</v>
      </c>
      <c r="E11" s="195"/>
      <c r="F11" s="195"/>
      <c r="G11" s="195"/>
      <c r="H11" s="195"/>
      <c r="I11" s="195"/>
      <c r="J11" s="195"/>
      <c r="K11" s="195"/>
      <c r="L11" s="195"/>
      <c r="M11" s="195"/>
      <c r="N11" s="195"/>
      <c r="O11" s="195"/>
      <c r="P11" s="195"/>
      <c r="Q11" s="195"/>
      <c r="R11" s="196"/>
      <c r="S11" s="194"/>
      <c r="T11" s="194"/>
      <c r="U11" s="194"/>
      <c r="V11" s="194"/>
    </row>
    <row r="12" spans="1:22" x14ac:dyDescent="0.3">
      <c r="A12" s="6"/>
      <c r="B12" s="195" t="str">
        <v>AAPL</v>
      </c>
      <c r="C12" s="197">
        <v>606.83883240000478</v>
      </c>
      <c r="D12" s="197">
        <v>230.80424400000658</v>
      </c>
      <c r="E12" s="197"/>
      <c r="F12" s="197"/>
      <c r="G12" s="197"/>
      <c r="H12" s="197"/>
      <c r="I12" s="197"/>
      <c r="J12" s="197"/>
      <c r="K12" s="197"/>
      <c r="L12" s="197"/>
      <c r="M12" s="197"/>
      <c r="N12" s="197"/>
      <c r="O12" s="197"/>
      <c r="P12" s="197"/>
      <c r="Q12" s="197"/>
      <c r="R12" s="198"/>
      <c r="S12" s="33"/>
      <c r="T12" s="33"/>
      <c r="U12" s="33"/>
      <c r="V12" s="33"/>
    </row>
    <row r="13" spans="1:22" x14ac:dyDescent="0.3">
      <c r="A13" s="6"/>
      <c r="B13" s="195" t="str">
        <v>AMZN</v>
      </c>
      <c r="C13" s="197">
        <v>177.5606700000009</v>
      </c>
      <c r="D13" s="197">
        <v>3429.3097500000054</v>
      </c>
      <c r="E13" s="197"/>
      <c r="F13" s="197"/>
      <c r="G13" s="197"/>
      <c r="H13" s="197"/>
      <c r="I13" s="197"/>
      <c r="J13" s="197"/>
      <c r="K13" s="197"/>
      <c r="L13" s="197"/>
      <c r="M13" s="197"/>
      <c r="N13" s="197"/>
      <c r="O13" s="197"/>
      <c r="P13" s="197"/>
      <c r="Q13" s="197"/>
      <c r="R13" s="198"/>
      <c r="S13" s="33"/>
      <c r="T13" s="33"/>
      <c r="U13" s="33"/>
      <c r="V13" s="33"/>
    </row>
    <row r="14" spans="1:22" x14ac:dyDescent="0.3">
      <c r="A14" s="6"/>
      <c r="B14" s="195" t="str">
        <v>BDGE</v>
      </c>
      <c r="C14" s="197">
        <v>59.735251199999368</v>
      </c>
      <c r="D14" s="197">
        <v>-46.61398559999985</v>
      </c>
      <c r="E14" s="197"/>
      <c r="F14" s="197"/>
      <c r="G14" s="197"/>
      <c r="H14" s="197"/>
      <c r="I14" s="197"/>
      <c r="J14" s="197"/>
      <c r="K14" s="197"/>
      <c r="L14" s="197"/>
      <c r="M14" s="197"/>
      <c r="N14" s="197"/>
      <c r="O14" s="197"/>
      <c r="P14" s="197"/>
      <c r="Q14" s="197"/>
      <c r="R14" s="198"/>
      <c r="S14" s="33"/>
      <c r="T14" s="33"/>
      <c r="U14" s="33"/>
      <c r="V14" s="33"/>
    </row>
    <row r="15" spans="1:22" x14ac:dyDescent="0.3">
      <c r="A15" s="6"/>
      <c r="B15" s="195" t="str">
        <v>CCNE</v>
      </c>
      <c r="C15" s="197">
        <v>-5.0288333999998294</v>
      </c>
      <c r="D15" s="197">
        <v>38.014237200000203</v>
      </c>
      <c r="E15" s="197"/>
      <c r="F15" s="197"/>
      <c r="G15" s="197"/>
      <c r="H15" s="197"/>
      <c r="I15" s="197"/>
      <c r="J15" s="197"/>
      <c r="K15" s="197"/>
      <c r="L15" s="197"/>
      <c r="M15" s="197"/>
      <c r="N15" s="197"/>
      <c r="O15" s="197"/>
      <c r="P15" s="197"/>
      <c r="Q15" s="197"/>
      <c r="R15" s="198"/>
      <c r="S15" s="33"/>
      <c r="T15" s="33"/>
      <c r="U15" s="33"/>
      <c r="V15" s="33"/>
    </row>
    <row r="16" spans="1:22" x14ac:dyDescent="0.3">
      <c r="A16" s="6"/>
      <c r="B16" s="195" t="str">
        <v>EEFT</v>
      </c>
      <c r="C16" s="197">
        <v>147.65856660000077</v>
      </c>
      <c r="D16" s="197">
        <v>648.22696859999428</v>
      </c>
      <c r="E16" s="197"/>
      <c r="F16" s="197"/>
      <c r="G16" s="197"/>
      <c r="H16" s="197"/>
      <c r="I16" s="197"/>
      <c r="J16" s="197"/>
      <c r="K16" s="197"/>
      <c r="L16" s="197"/>
      <c r="M16" s="197"/>
      <c r="N16" s="197"/>
      <c r="O16" s="197"/>
      <c r="P16" s="197"/>
      <c r="Q16" s="197"/>
      <c r="R16" s="198"/>
      <c r="S16" s="33"/>
      <c r="T16" s="33"/>
      <c r="U16" s="33"/>
      <c r="V16" s="33"/>
    </row>
    <row r="17" spans="1:22" x14ac:dyDescent="0.3">
      <c r="A17" s="6"/>
      <c r="B17" s="195" t="str">
        <v>FB</v>
      </c>
      <c r="C17" s="197" t="str">
        <v/>
      </c>
      <c r="D17" s="197">
        <v>970.3038000000048</v>
      </c>
      <c r="E17" s="197"/>
      <c r="F17" s="197"/>
      <c r="G17" s="197"/>
      <c r="H17" s="197"/>
      <c r="I17" s="197"/>
      <c r="J17" s="197"/>
      <c r="K17" s="197"/>
      <c r="L17" s="197"/>
      <c r="M17" s="197"/>
      <c r="N17" s="197"/>
      <c r="O17" s="197"/>
      <c r="P17" s="197"/>
      <c r="Q17" s="197"/>
      <c r="R17" s="198"/>
      <c r="S17" s="33"/>
      <c r="T17" s="33"/>
      <c r="U17" s="33"/>
      <c r="V17" s="33"/>
    </row>
    <row r="18" spans="1:22" x14ac:dyDescent="0.3">
      <c r="A18" s="6"/>
      <c r="B18" s="195" t="str">
        <v>FNSR</v>
      </c>
      <c r="C18" s="197">
        <v>-10.530505199999956</v>
      </c>
      <c r="D18" s="197">
        <v>17.426065199999982</v>
      </c>
      <c r="E18" s="197"/>
      <c r="F18" s="197"/>
      <c r="G18" s="197"/>
      <c r="H18" s="197"/>
      <c r="I18" s="197"/>
      <c r="J18" s="197"/>
      <c r="K18" s="197"/>
      <c r="L18" s="197"/>
      <c r="M18" s="197"/>
      <c r="N18" s="197"/>
      <c r="O18" s="197"/>
      <c r="P18" s="197"/>
      <c r="Q18" s="197"/>
      <c r="R18" s="198"/>
      <c r="S18" s="33"/>
      <c r="T18" s="33"/>
      <c r="U18" s="33"/>
      <c r="V18" s="33"/>
    </row>
    <row r="19" spans="1:22" x14ac:dyDescent="0.3">
      <c r="A19" s="6"/>
      <c r="B19" s="195" t="str">
        <v>GOOG</v>
      </c>
      <c r="C19" s="197" t="str">
        <v/>
      </c>
      <c r="D19" s="197">
        <v>1775.7544619999799</v>
      </c>
      <c r="E19" s="197"/>
      <c r="F19" s="197"/>
      <c r="G19" s="197"/>
      <c r="H19" s="197"/>
      <c r="I19" s="197"/>
      <c r="J19" s="197"/>
      <c r="K19" s="197"/>
      <c r="L19" s="197"/>
      <c r="M19" s="197"/>
      <c r="N19" s="197"/>
      <c r="O19" s="197"/>
      <c r="P19" s="197"/>
      <c r="Q19" s="197"/>
      <c r="R19" s="198"/>
      <c r="S19" s="33"/>
      <c r="T19" s="33"/>
      <c r="U19" s="33"/>
      <c r="V19" s="33"/>
    </row>
    <row r="20" spans="1:22" x14ac:dyDescent="0.3">
      <c r="A20" s="6"/>
      <c r="B20" s="195" t="str">
        <v>GRMN</v>
      </c>
      <c r="C20" s="197" t="str">
        <v/>
      </c>
      <c r="D20" s="197">
        <v>40.757684999999505</v>
      </c>
      <c r="E20" s="197"/>
      <c r="F20" s="197"/>
      <c r="G20" s="197"/>
      <c r="H20" s="197"/>
      <c r="I20" s="197"/>
      <c r="J20" s="197"/>
      <c r="K20" s="197"/>
      <c r="L20" s="197"/>
      <c r="M20" s="197"/>
      <c r="N20" s="197"/>
      <c r="O20" s="197"/>
      <c r="P20" s="197"/>
      <c r="Q20" s="197"/>
      <c r="R20" s="198"/>
      <c r="S20" s="33"/>
      <c r="T20" s="33"/>
      <c r="U20" s="33"/>
      <c r="V20" s="33"/>
    </row>
    <row r="21" spans="1:22" x14ac:dyDescent="0.3">
      <c r="A21" s="6"/>
      <c r="B21" s="195" t="str">
        <v>LIVE</v>
      </c>
      <c r="C21" s="197" t="str">
        <v/>
      </c>
      <c r="D21" s="197">
        <v>-15.982923000000159</v>
      </c>
      <c r="E21" s="197"/>
      <c r="F21" s="197"/>
      <c r="G21" s="197"/>
      <c r="H21" s="197"/>
      <c r="I21" s="197"/>
      <c r="J21" s="197"/>
      <c r="K21" s="197"/>
      <c r="L21" s="197"/>
      <c r="M21" s="197"/>
      <c r="N21" s="197"/>
      <c r="O21" s="197"/>
      <c r="P21" s="197"/>
      <c r="Q21" s="197"/>
      <c r="R21" s="198"/>
      <c r="S21" s="33"/>
      <c r="T21" s="33"/>
      <c r="U21" s="33"/>
      <c r="V21" s="33"/>
    </row>
    <row r="22" spans="1:22" x14ac:dyDescent="0.3">
      <c r="A22" s="6"/>
      <c r="B22" s="195" t="str">
        <v>MCHP</v>
      </c>
      <c r="C22" s="197">
        <v>-149.19529140000137</v>
      </c>
      <c r="D22" s="197">
        <v>-144.27727950000087</v>
      </c>
      <c r="E22" s="197"/>
      <c r="F22" s="197"/>
      <c r="G22" s="197"/>
      <c r="H22" s="197"/>
      <c r="I22" s="197"/>
      <c r="J22" s="197"/>
      <c r="K22" s="197"/>
      <c r="L22" s="197"/>
      <c r="M22" s="197"/>
      <c r="N22" s="197"/>
      <c r="O22" s="197"/>
      <c r="P22" s="197"/>
      <c r="Q22" s="197"/>
      <c r="R22" s="198"/>
      <c r="S22" s="33"/>
      <c r="T22" s="33"/>
      <c r="U22" s="33"/>
      <c r="V22" s="33"/>
    </row>
    <row r="23" spans="1:22" x14ac:dyDescent="0.3">
      <c r="A23" s="6"/>
      <c r="B23" s="195" t="str">
        <v>MSFT</v>
      </c>
      <c r="C23" s="197">
        <v>-122.44790669999819</v>
      </c>
      <c r="D23" s="197">
        <v>-97.828294799999497</v>
      </c>
      <c r="E23" s="197"/>
      <c r="F23" s="197"/>
      <c r="G23" s="197"/>
      <c r="H23" s="197"/>
      <c r="I23" s="197"/>
      <c r="J23" s="197"/>
      <c r="K23" s="197"/>
      <c r="L23" s="197"/>
      <c r="M23" s="197"/>
      <c r="N23" s="197"/>
      <c r="O23" s="197"/>
      <c r="P23" s="197"/>
      <c r="Q23" s="197"/>
      <c r="R23" s="198"/>
      <c r="S23" s="33"/>
      <c r="T23" s="33"/>
      <c r="U23" s="33"/>
      <c r="V23" s="33"/>
    </row>
    <row r="24" spans="1:22" x14ac:dyDescent="0.3">
      <c r="A24" s="6"/>
      <c r="B24" s="195" t="str">
        <v>NFLX</v>
      </c>
      <c r="C24" s="197">
        <v>-479.93836410000722</v>
      </c>
      <c r="D24" s="197">
        <v>69.448139999999796</v>
      </c>
      <c r="E24" s="197"/>
      <c r="F24" s="197"/>
      <c r="G24" s="197"/>
      <c r="H24" s="197"/>
      <c r="I24" s="197"/>
      <c r="J24" s="197"/>
      <c r="K24" s="197"/>
      <c r="L24" s="197"/>
      <c r="M24" s="197"/>
      <c r="N24" s="197"/>
      <c r="O24" s="197"/>
      <c r="P24" s="197"/>
      <c r="Q24" s="197"/>
      <c r="R24" s="198"/>
      <c r="S24" s="33"/>
      <c r="T24" s="33"/>
      <c r="U24" s="33"/>
      <c r="V24" s="33"/>
    </row>
    <row r="25" spans="1:22" x14ac:dyDescent="0.3">
      <c r="A25" s="6"/>
      <c r="B25" s="195" t="str">
        <v>NOBH</v>
      </c>
      <c r="C25" s="197">
        <v>-16.16516279999977</v>
      </c>
      <c r="D25" s="197">
        <v>110.54075219999891</v>
      </c>
      <c r="E25" s="197"/>
      <c r="F25" s="197"/>
      <c r="G25" s="197"/>
      <c r="H25" s="197"/>
      <c r="I25" s="197"/>
      <c r="J25" s="197"/>
      <c r="K25" s="197"/>
      <c r="L25" s="197"/>
      <c r="M25" s="197"/>
      <c r="N25" s="197"/>
      <c r="O25" s="197"/>
      <c r="P25" s="197"/>
      <c r="Q25" s="197"/>
      <c r="R25" s="198"/>
      <c r="S25" s="33"/>
      <c r="T25" s="33"/>
      <c r="U25" s="33"/>
      <c r="V25" s="33"/>
    </row>
    <row r="26" spans="1:22" x14ac:dyDescent="0.3">
      <c r="A26" s="6"/>
      <c r="B26" s="195" t="str">
        <v>NXST</v>
      </c>
      <c r="C26" s="197">
        <v>-5.6642099999997413</v>
      </c>
      <c r="D26" s="197">
        <v>-226.87623749999835</v>
      </c>
      <c r="E26" s="197"/>
      <c r="F26" s="197"/>
      <c r="G26" s="197"/>
      <c r="H26" s="197"/>
      <c r="I26" s="197"/>
      <c r="J26" s="197"/>
      <c r="K26" s="197"/>
      <c r="L26" s="197"/>
      <c r="M26" s="197"/>
      <c r="N26" s="197"/>
      <c r="O26" s="197"/>
      <c r="P26" s="197"/>
      <c r="Q26" s="197"/>
      <c r="R26" s="198"/>
      <c r="S26" s="33"/>
      <c r="T26" s="33"/>
      <c r="U26" s="33"/>
      <c r="V26" s="33"/>
    </row>
    <row r="27" spans="1:22" x14ac:dyDescent="0.3">
      <c r="A27" s="6"/>
      <c r="B27" s="195" t="str">
        <v>ONEQ</v>
      </c>
      <c r="C27" s="197">
        <v>-1067.7528390000043</v>
      </c>
      <c r="D27" s="197">
        <v>-2646.5036145000122</v>
      </c>
      <c r="E27" s="197"/>
      <c r="F27" s="197"/>
      <c r="G27" s="197"/>
      <c r="H27" s="197"/>
      <c r="I27" s="197"/>
      <c r="J27" s="197"/>
      <c r="K27" s="197"/>
      <c r="L27" s="197"/>
      <c r="M27" s="197"/>
      <c r="N27" s="197"/>
      <c r="O27" s="197"/>
      <c r="P27" s="197"/>
      <c r="Q27" s="197"/>
      <c r="R27" s="198"/>
      <c r="S27" s="33"/>
      <c r="T27" s="33"/>
      <c r="U27" s="33"/>
      <c r="V27" s="33"/>
    </row>
    <row r="28" spans="1:22" x14ac:dyDescent="0.3">
      <c r="A28" s="6"/>
      <c r="B28" s="195" t="str">
        <v>ORBC</v>
      </c>
      <c r="C28" s="197">
        <v>-62.505788700000565</v>
      </c>
      <c r="D28" s="197">
        <v>-40.154323500000388</v>
      </c>
      <c r="E28" s="197"/>
      <c r="F28" s="197"/>
      <c r="G28" s="197"/>
      <c r="H28" s="197"/>
      <c r="I28" s="197"/>
      <c r="J28" s="197"/>
      <c r="K28" s="197"/>
      <c r="L28" s="197"/>
      <c r="M28" s="197"/>
      <c r="N28" s="197"/>
      <c r="O28" s="197"/>
      <c r="P28" s="197"/>
      <c r="Q28" s="197"/>
      <c r="R28" s="198"/>
      <c r="S28" s="33"/>
      <c r="T28" s="33"/>
      <c r="U28" s="33"/>
      <c r="V28" s="33"/>
    </row>
    <row r="29" spans="1:22" x14ac:dyDescent="0.3">
      <c r="A29" s="6"/>
      <c r="B29" s="195" t="str">
        <v>PNRA</v>
      </c>
      <c r="C29" s="197">
        <v>1251.6229463999955</v>
      </c>
      <c r="D29" s="197">
        <v>-44.594571600013126</v>
      </c>
      <c r="E29" s="197"/>
      <c r="F29" s="197"/>
      <c r="G29" s="197"/>
      <c r="H29" s="197"/>
      <c r="I29" s="197"/>
      <c r="J29" s="197"/>
      <c r="K29" s="197"/>
      <c r="L29" s="197"/>
      <c r="M29" s="197"/>
      <c r="N29" s="197"/>
      <c r="O29" s="197"/>
      <c r="P29" s="197"/>
      <c r="Q29" s="197"/>
      <c r="R29" s="198"/>
      <c r="S29" s="33"/>
      <c r="T29" s="33"/>
      <c r="U29" s="33"/>
      <c r="V29" s="33"/>
    </row>
    <row r="30" spans="1:22" x14ac:dyDescent="0.3">
      <c r="A30" s="6"/>
      <c r="B30" s="195" t="str">
        <v>SCHW</v>
      </c>
      <c r="C30" s="197">
        <v>-41.343807599999721</v>
      </c>
      <c r="D30" s="197">
        <v>-164.30149320000064</v>
      </c>
      <c r="E30" s="197"/>
      <c r="F30" s="197"/>
      <c r="G30" s="197"/>
      <c r="H30" s="197"/>
      <c r="I30" s="197"/>
      <c r="J30" s="197"/>
      <c r="K30" s="197"/>
      <c r="L30" s="197"/>
      <c r="M30" s="197"/>
      <c r="N30" s="197"/>
      <c r="O30" s="197"/>
      <c r="P30" s="197"/>
      <c r="Q30" s="197"/>
      <c r="R30" s="198"/>
      <c r="S30" s="33"/>
      <c r="T30" s="33"/>
      <c r="U30" s="33"/>
      <c r="V30" s="33"/>
    </row>
    <row r="31" spans="1:22" x14ac:dyDescent="0.3">
      <c r="A31" s="6"/>
      <c r="B31" s="195" t="str">
        <v>TOWN</v>
      </c>
      <c r="C31" s="197">
        <v>-42.235304999999997</v>
      </c>
      <c r="D31" s="197">
        <v>-109.81179300000035</v>
      </c>
      <c r="E31" s="197"/>
      <c r="F31" s="197"/>
      <c r="G31" s="197"/>
      <c r="H31" s="197"/>
      <c r="I31" s="197"/>
      <c r="J31" s="197"/>
      <c r="K31" s="197"/>
      <c r="L31" s="197"/>
      <c r="M31" s="197"/>
      <c r="N31" s="197"/>
      <c r="O31" s="197"/>
      <c r="P31" s="197"/>
      <c r="Q31" s="197"/>
      <c r="R31" s="198"/>
      <c r="S31" s="33"/>
      <c r="T31" s="33"/>
      <c r="U31" s="33"/>
      <c r="V31" s="33"/>
    </row>
    <row r="32" spans="1:22" x14ac:dyDescent="0.3">
      <c r="A32" s="6"/>
      <c r="B32" s="195"/>
      <c r="C32" s="197"/>
      <c r="D32" s="197"/>
      <c r="E32" s="197"/>
      <c r="F32" s="197"/>
      <c r="G32" s="197"/>
      <c r="H32" s="197"/>
      <c r="I32" s="197"/>
      <c r="J32" s="197"/>
      <c r="K32" s="197"/>
      <c r="L32" s="197"/>
      <c r="M32" s="197"/>
      <c r="N32" s="197"/>
      <c r="O32" s="197"/>
      <c r="P32" s="197"/>
      <c r="Q32" s="197"/>
      <c r="R32" s="198"/>
      <c r="S32" s="33"/>
      <c r="T32" s="33"/>
      <c r="U32" s="33"/>
      <c r="V32" s="33"/>
    </row>
    <row r="33" spans="1:22" x14ac:dyDescent="0.3">
      <c r="A33" s="6"/>
      <c r="B33" s="195"/>
      <c r="C33" s="197"/>
      <c r="D33" s="197"/>
      <c r="E33" s="197"/>
      <c r="F33" s="197"/>
      <c r="G33" s="197"/>
      <c r="H33" s="197"/>
      <c r="I33" s="197"/>
      <c r="J33" s="197"/>
      <c r="K33" s="197"/>
      <c r="L33" s="197"/>
      <c r="M33" s="197"/>
      <c r="N33" s="197"/>
      <c r="O33" s="197"/>
      <c r="P33" s="197"/>
      <c r="Q33" s="197"/>
      <c r="R33" s="198"/>
      <c r="S33" s="33"/>
      <c r="T33" s="33"/>
      <c r="U33" s="33"/>
      <c r="V33" s="33"/>
    </row>
    <row r="34" spans="1:22" x14ac:dyDescent="0.3">
      <c r="A34" s="6"/>
      <c r="B34" s="195"/>
      <c r="C34" s="197"/>
      <c r="D34" s="197"/>
      <c r="E34" s="197"/>
      <c r="F34" s="197"/>
      <c r="G34" s="197"/>
      <c r="H34" s="197"/>
      <c r="I34" s="197"/>
      <c r="J34" s="197"/>
      <c r="K34" s="197"/>
      <c r="L34" s="197"/>
      <c r="M34" s="197"/>
      <c r="N34" s="197"/>
      <c r="O34" s="197"/>
      <c r="P34" s="197"/>
      <c r="Q34" s="197"/>
      <c r="R34" s="198"/>
      <c r="S34" s="33"/>
      <c r="T34" s="33"/>
      <c r="U34" s="33"/>
      <c r="V34" s="33"/>
    </row>
    <row r="35" spans="1:22" x14ac:dyDescent="0.3">
      <c r="A35" s="6"/>
      <c r="B35" s="195"/>
      <c r="C35" s="197"/>
      <c r="D35" s="197"/>
      <c r="E35" s="197"/>
      <c r="F35" s="197"/>
      <c r="G35" s="197"/>
      <c r="H35" s="197"/>
      <c r="I35" s="197"/>
      <c r="J35" s="197"/>
      <c r="K35" s="197"/>
      <c r="L35" s="197"/>
      <c r="M35" s="197"/>
      <c r="N35" s="197"/>
      <c r="O35" s="197"/>
      <c r="P35" s="197"/>
      <c r="Q35" s="197"/>
      <c r="R35" s="198"/>
      <c r="S35" s="33"/>
      <c r="T35" s="33"/>
      <c r="U35" s="33"/>
      <c r="V35" s="33"/>
    </row>
    <row r="36" spans="1:22" x14ac:dyDescent="0.3">
      <c r="A36" s="6"/>
      <c r="B36" s="195"/>
      <c r="C36" s="197"/>
      <c r="D36" s="197"/>
      <c r="E36" s="197"/>
      <c r="F36" s="197"/>
      <c r="G36" s="197"/>
      <c r="H36" s="197"/>
      <c r="I36" s="197"/>
      <c r="J36" s="197"/>
      <c r="K36" s="197"/>
      <c r="L36" s="197"/>
      <c r="M36" s="197"/>
      <c r="N36" s="197"/>
      <c r="O36" s="197"/>
      <c r="P36" s="197"/>
      <c r="Q36" s="197"/>
      <c r="R36" s="198"/>
      <c r="S36" s="33"/>
      <c r="T36" s="33"/>
      <c r="U36" s="33"/>
      <c r="V36" s="33"/>
    </row>
    <row r="37" spans="1:22" x14ac:dyDescent="0.3">
      <c r="A37" s="6"/>
      <c r="B37" s="195"/>
      <c r="C37" s="197"/>
      <c r="D37" s="197"/>
      <c r="E37" s="197"/>
      <c r="F37" s="197"/>
      <c r="G37" s="197"/>
      <c r="H37" s="197"/>
      <c r="I37" s="197"/>
      <c r="J37" s="197"/>
      <c r="K37" s="197"/>
      <c r="L37" s="197"/>
      <c r="M37" s="197"/>
      <c r="N37" s="197"/>
      <c r="O37" s="197"/>
      <c r="P37" s="197"/>
      <c r="Q37" s="197"/>
      <c r="R37" s="198"/>
      <c r="S37" s="33"/>
      <c r="T37" s="33"/>
      <c r="U37" s="33"/>
      <c r="V37" s="33"/>
    </row>
    <row r="38" spans="1:22" x14ac:dyDescent="0.3">
      <c r="A38" s="6"/>
      <c r="B38" s="195"/>
      <c r="C38" s="197"/>
      <c r="D38" s="197"/>
      <c r="E38" s="197"/>
      <c r="F38" s="197"/>
      <c r="G38" s="197"/>
      <c r="H38" s="197"/>
      <c r="I38" s="197"/>
      <c r="J38" s="197"/>
      <c r="K38" s="197"/>
      <c r="L38" s="197"/>
      <c r="M38" s="197"/>
      <c r="N38" s="197"/>
      <c r="O38" s="197"/>
      <c r="P38" s="197"/>
      <c r="Q38" s="197"/>
      <c r="R38" s="198"/>
      <c r="S38" s="33"/>
      <c r="T38" s="33"/>
      <c r="U38" s="33"/>
      <c r="V38" s="33"/>
    </row>
    <row r="39" spans="1:22" x14ac:dyDescent="0.3">
      <c r="A39" s="6"/>
      <c r="B39" s="195"/>
      <c r="C39" s="197"/>
      <c r="D39" s="197"/>
      <c r="E39" s="197"/>
      <c r="F39" s="197"/>
      <c r="G39" s="197"/>
      <c r="H39" s="197"/>
      <c r="I39" s="197"/>
      <c r="J39" s="197"/>
      <c r="K39" s="197"/>
      <c r="L39" s="197"/>
      <c r="M39" s="197"/>
      <c r="N39" s="197"/>
      <c r="O39" s="197"/>
      <c r="P39" s="197"/>
      <c r="Q39" s="197"/>
      <c r="R39" s="198"/>
      <c r="S39" s="33"/>
      <c r="T39" s="33"/>
      <c r="U39" s="33"/>
      <c r="V39" s="33"/>
    </row>
    <row r="40" spans="1:22" x14ac:dyDescent="0.3">
      <c r="A40" s="6"/>
      <c r="B40" s="195"/>
      <c r="C40" s="197"/>
      <c r="D40" s="197"/>
      <c r="E40" s="197"/>
      <c r="F40" s="197"/>
      <c r="G40" s="197"/>
      <c r="H40" s="197"/>
      <c r="I40" s="197"/>
      <c r="J40" s="197"/>
      <c r="K40" s="197"/>
      <c r="L40" s="197"/>
      <c r="M40" s="197"/>
      <c r="N40" s="197"/>
      <c r="O40" s="197"/>
      <c r="P40" s="197"/>
      <c r="Q40" s="197"/>
      <c r="R40" s="198"/>
      <c r="S40" s="33"/>
      <c r="T40" s="33"/>
      <c r="U40" s="33"/>
      <c r="V40" s="33"/>
    </row>
    <row r="41" spans="1:22" x14ac:dyDescent="0.3">
      <c r="A41" s="6"/>
      <c r="B41" s="195"/>
      <c r="C41" s="197"/>
      <c r="D41" s="197"/>
      <c r="E41" s="197"/>
      <c r="F41" s="197"/>
      <c r="G41" s="197"/>
      <c r="H41" s="197"/>
      <c r="I41" s="197"/>
      <c r="J41" s="197"/>
      <c r="K41" s="197"/>
      <c r="L41" s="197"/>
      <c r="M41" s="197"/>
      <c r="N41" s="197"/>
      <c r="O41" s="197"/>
      <c r="P41" s="197"/>
      <c r="Q41" s="197"/>
      <c r="R41" s="198"/>
      <c r="S41" s="33"/>
      <c r="T41" s="33"/>
      <c r="U41" s="33"/>
      <c r="V41" s="33"/>
    </row>
    <row r="42" spans="1:22" x14ac:dyDescent="0.3">
      <c r="A42" s="6"/>
      <c r="B42" s="195"/>
      <c r="C42" s="197"/>
      <c r="D42" s="197"/>
      <c r="E42" s="197"/>
      <c r="F42" s="197"/>
      <c r="G42" s="197"/>
      <c r="H42" s="197"/>
      <c r="I42" s="197"/>
      <c r="J42" s="197"/>
      <c r="K42" s="197"/>
      <c r="L42" s="197"/>
      <c r="M42" s="197"/>
      <c r="N42" s="197"/>
      <c r="O42" s="197"/>
      <c r="P42" s="197"/>
      <c r="Q42" s="197"/>
      <c r="R42" s="198"/>
      <c r="S42" s="33"/>
      <c r="T42" s="33"/>
      <c r="U42" s="33"/>
      <c r="V42" s="33"/>
    </row>
    <row r="43" spans="1:22" x14ac:dyDescent="0.3">
      <c r="A43" s="6"/>
      <c r="B43" s="195"/>
      <c r="C43" s="197"/>
      <c r="D43" s="197"/>
      <c r="E43" s="197"/>
      <c r="F43" s="197"/>
      <c r="G43" s="197"/>
      <c r="H43" s="197"/>
      <c r="I43" s="197"/>
      <c r="J43" s="197"/>
      <c r="K43" s="197"/>
      <c r="L43" s="197"/>
      <c r="M43" s="197"/>
      <c r="N43" s="197"/>
      <c r="O43" s="197"/>
      <c r="P43" s="197"/>
      <c r="Q43" s="197"/>
      <c r="R43" s="198"/>
      <c r="S43" s="33"/>
      <c r="T43" s="33"/>
      <c r="U43" s="33"/>
      <c r="V43" s="33"/>
    </row>
    <row r="44" spans="1:22" x14ac:dyDescent="0.3">
      <c r="A44" s="6"/>
      <c r="B44" s="195"/>
      <c r="C44" s="197"/>
      <c r="D44" s="197"/>
      <c r="E44" s="197"/>
      <c r="F44" s="197"/>
      <c r="G44" s="197"/>
      <c r="H44" s="197"/>
      <c r="I44" s="197"/>
      <c r="J44" s="197"/>
      <c r="K44" s="197"/>
      <c r="L44" s="197"/>
      <c r="M44" s="197"/>
      <c r="N44" s="197"/>
      <c r="O44" s="197"/>
      <c r="P44" s="197"/>
      <c r="Q44" s="197"/>
      <c r="R44" s="198"/>
      <c r="S44" s="33"/>
      <c r="T44" s="33"/>
      <c r="U44" s="33"/>
      <c r="V44" s="33"/>
    </row>
    <row r="45" spans="1:22" x14ac:dyDescent="0.3">
      <c r="A45" s="6"/>
      <c r="B45" s="195"/>
      <c r="C45" s="197"/>
      <c r="D45" s="197"/>
      <c r="E45" s="197"/>
      <c r="F45" s="197"/>
      <c r="G45" s="197"/>
      <c r="H45" s="197"/>
      <c r="I45" s="197"/>
      <c r="J45" s="197"/>
      <c r="K45" s="197"/>
      <c r="L45" s="197"/>
      <c r="M45" s="197"/>
      <c r="N45" s="197"/>
      <c r="O45" s="197"/>
      <c r="P45" s="197"/>
      <c r="Q45" s="197"/>
      <c r="R45" s="198"/>
      <c r="S45" s="33"/>
      <c r="T45" s="33"/>
      <c r="U45" s="33"/>
      <c r="V45" s="33"/>
    </row>
    <row r="46" spans="1:22" x14ac:dyDescent="0.3">
      <c r="A46" s="6"/>
      <c r="B46" s="195"/>
      <c r="C46" s="197"/>
      <c r="D46" s="197"/>
      <c r="E46" s="197"/>
      <c r="F46" s="197"/>
      <c r="G46" s="197"/>
      <c r="H46" s="197"/>
      <c r="I46" s="197"/>
      <c r="J46" s="197"/>
      <c r="K46" s="197"/>
      <c r="L46" s="197"/>
      <c r="M46" s="197"/>
      <c r="N46" s="197"/>
      <c r="O46" s="197"/>
      <c r="P46" s="197"/>
      <c r="Q46" s="197"/>
      <c r="R46" s="198"/>
      <c r="S46" s="33"/>
      <c r="T46" s="33"/>
      <c r="U46" s="33"/>
      <c r="V46" s="33"/>
    </row>
    <row r="47" spans="1:22" x14ac:dyDescent="0.3">
      <c r="A47" s="6"/>
      <c r="B47" s="195"/>
      <c r="C47" s="197"/>
      <c r="D47" s="197"/>
      <c r="E47" s="197"/>
      <c r="F47" s="197"/>
      <c r="G47" s="197"/>
      <c r="H47" s="197"/>
      <c r="I47" s="197"/>
      <c r="J47" s="197"/>
      <c r="K47" s="197"/>
      <c r="L47" s="197"/>
      <c r="M47" s="197"/>
      <c r="N47" s="197"/>
      <c r="O47" s="197"/>
      <c r="P47" s="197"/>
      <c r="Q47" s="197"/>
      <c r="R47" s="198"/>
      <c r="S47" s="33"/>
      <c r="T47" s="33"/>
      <c r="U47" s="33"/>
      <c r="V47" s="33"/>
    </row>
    <row r="48" spans="1:22" x14ac:dyDescent="0.3">
      <c r="A48" s="6"/>
      <c r="B48" s="195"/>
      <c r="C48" s="197"/>
      <c r="D48" s="197"/>
      <c r="E48" s="197"/>
      <c r="F48" s="197"/>
      <c r="G48" s="197"/>
      <c r="H48" s="197"/>
      <c r="I48" s="197"/>
      <c r="J48" s="197"/>
      <c r="K48" s="197"/>
      <c r="L48" s="197"/>
      <c r="M48" s="197"/>
      <c r="N48" s="197"/>
      <c r="O48" s="197"/>
      <c r="P48" s="197"/>
      <c r="Q48" s="197"/>
      <c r="R48" s="198"/>
      <c r="S48" s="33"/>
      <c r="T48" s="33"/>
      <c r="U48" s="33"/>
      <c r="V48" s="33"/>
    </row>
    <row r="49" spans="1:22" x14ac:dyDescent="0.3">
      <c r="A49" s="6"/>
      <c r="B49" s="195"/>
      <c r="C49" s="197"/>
      <c r="D49" s="197"/>
      <c r="E49" s="197"/>
      <c r="F49" s="197"/>
      <c r="G49" s="197"/>
      <c r="H49" s="197"/>
      <c r="I49" s="197"/>
      <c r="J49" s="197"/>
      <c r="K49" s="197"/>
      <c r="L49" s="197"/>
      <c r="M49" s="197"/>
      <c r="N49" s="197"/>
      <c r="O49" s="197"/>
      <c r="P49" s="197"/>
      <c r="Q49" s="197"/>
      <c r="R49" s="198"/>
      <c r="S49" s="33"/>
      <c r="T49" s="33"/>
      <c r="U49" s="33"/>
      <c r="V49" s="33"/>
    </row>
    <row r="50" spans="1:22" x14ac:dyDescent="0.3">
      <c r="A50" s="6"/>
      <c r="B50" s="195"/>
      <c r="C50" s="197"/>
      <c r="D50" s="197"/>
      <c r="E50" s="197"/>
      <c r="F50" s="197"/>
      <c r="G50" s="197"/>
      <c r="H50" s="197"/>
      <c r="I50" s="197"/>
      <c r="J50" s="197"/>
      <c r="K50" s="197"/>
      <c r="L50" s="197"/>
      <c r="M50" s="197"/>
      <c r="N50" s="197"/>
      <c r="O50" s="197"/>
      <c r="P50" s="197"/>
      <c r="Q50" s="197"/>
      <c r="R50" s="198"/>
      <c r="S50" s="33"/>
      <c r="T50" s="33"/>
      <c r="U50" s="33"/>
      <c r="V50" s="33"/>
    </row>
    <row r="51" spans="1:22" x14ac:dyDescent="0.3">
      <c r="A51" s="6"/>
      <c r="B51" s="195"/>
      <c r="C51" s="197"/>
      <c r="D51" s="197"/>
      <c r="E51" s="197"/>
      <c r="F51" s="197"/>
      <c r="G51" s="197"/>
      <c r="H51" s="197"/>
      <c r="I51" s="197"/>
      <c r="J51" s="197"/>
      <c r="K51" s="197"/>
      <c r="L51" s="197"/>
      <c r="M51" s="197"/>
      <c r="N51" s="197"/>
      <c r="O51" s="197"/>
      <c r="P51" s="197"/>
      <c r="Q51" s="197"/>
      <c r="R51" s="198"/>
      <c r="S51" s="33"/>
      <c r="T51" s="33"/>
      <c r="U51" s="33"/>
      <c r="V51" s="33"/>
    </row>
    <row r="52" spans="1:22" x14ac:dyDescent="0.3">
      <c r="A52" s="6"/>
      <c r="B52" s="195"/>
      <c r="C52" s="197"/>
      <c r="D52" s="197"/>
      <c r="E52" s="197"/>
      <c r="F52" s="197"/>
      <c r="G52" s="197"/>
      <c r="H52" s="197"/>
      <c r="I52" s="197"/>
      <c r="J52" s="197"/>
      <c r="K52" s="197"/>
      <c r="L52" s="197"/>
      <c r="M52" s="197"/>
      <c r="N52" s="197"/>
      <c r="O52" s="197"/>
      <c r="P52" s="197"/>
      <c r="Q52" s="197"/>
      <c r="R52" s="198"/>
      <c r="S52" s="33"/>
      <c r="T52" s="33"/>
      <c r="U52" s="33"/>
      <c r="V52" s="33"/>
    </row>
    <row r="53" spans="1:22" x14ac:dyDescent="0.3">
      <c r="A53" s="6"/>
      <c r="B53" s="195"/>
      <c r="C53" s="197"/>
      <c r="D53" s="197"/>
      <c r="E53" s="197"/>
      <c r="F53" s="197"/>
      <c r="G53" s="197"/>
      <c r="H53" s="197"/>
      <c r="I53" s="197"/>
      <c r="J53" s="197"/>
      <c r="K53" s="197"/>
      <c r="L53" s="197"/>
      <c r="M53" s="197"/>
      <c r="N53" s="197"/>
      <c r="O53" s="197"/>
      <c r="P53" s="197"/>
      <c r="Q53" s="197"/>
      <c r="R53" s="198"/>
      <c r="S53" s="33"/>
      <c r="T53" s="33"/>
      <c r="U53" s="33"/>
      <c r="V53" s="33"/>
    </row>
    <row r="54" spans="1:22" x14ac:dyDescent="0.3">
      <c r="A54" s="6"/>
      <c r="B54" s="195"/>
      <c r="C54" s="197"/>
      <c r="D54" s="197"/>
      <c r="E54" s="197"/>
      <c r="F54" s="197"/>
      <c r="G54" s="197"/>
      <c r="H54" s="197"/>
      <c r="I54" s="197"/>
      <c r="J54" s="197"/>
      <c r="K54" s="197"/>
      <c r="L54" s="197"/>
      <c r="M54" s="197"/>
      <c r="N54" s="197"/>
      <c r="O54" s="197"/>
      <c r="P54" s="197"/>
      <c r="Q54" s="197"/>
      <c r="R54" s="198"/>
      <c r="S54" s="33"/>
      <c r="T54" s="33"/>
      <c r="U54" s="33"/>
      <c r="V54" s="33"/>
    </row>
    <row r="55" spans="1:22" x14ac:dyDescent="0.3">
      <c r="A55" s="6"/>
      <c r="B55" s="195"/>
      <c r="C55" s="197"/>
      <c r="D55" s="197"/>
      <c r="E55" s="197"/>
      <c r="F55" s="197"/>
      <c r="G55" s="197"/>
      <c r="H55" s="197"/>
      <c r="I55" s="197"/>
      <c r="J55" s="197"/>
      <c r="K55" s="197"/>
      <c r="L55" s="197"/>
      <c r="M55" s="197"/>
      <c r="N55" s="197"/>
      <c r="O55" s="197"/>
      <c r="P55" s="197"/>
      <c r="Q55" s="197"/>
      <c r="R55" s="198"/>
      <c r="S55" s="33"/>
      <c r="T55" s="33"/>
      <c r="U55" s="33"/>
      <c r="V55" s="33"/>
    </row>
    <row r="56" spans="1:22" x14ac:dyDescent="0.3">
      <c r="A56" s="6"/>
      <c r="B56" s="195"/>
      <c r="C56" s="197"/>
      <c r="D56" s="197"/>
      <c r="E56" s="197"/>
      <c r="F56" s="197"/>
      <c r="G56" s="197"/>
      <c r="H56" s="197"/>
      <c r="I56" s="197"/>
      <c r="J56" s="197"/>
      <c r="K56" s="197"/>
      <c r="L56" s="197"/>
      <c r="M56" s="197"/>
      <c r="N56" s="197"/>
      <c r="O56" s="197"/>
      <c r="P56" s="197"/>
      <c r="Q56" s="197"/>
      <c r="R56" s="198"/>
      <c r="S56" s="33"/>
      <c r="T56" s="33"/>
      <c r="U56" s="33"/>
      <c r="V56" s="33"/>
    </row>
    <row r="57" spans="1:22" ht="15" thickBot="1" x14ac:dyDescent="0.35">
      <c r="A57" s="10"/>
      <c r="B57" s="11"/>
      <c r="C57" s="11"/>
      <c r="D57" s="11"/>
      <c r="E57" s="11"/>
      <c r="F57" s="11"/>
      <c r="G57" s="11"/>
      <c r="H57" s="11"/>
      <c r="I57" s="11"/>
      <c r="J57" s="11"/>
      <c r="K57" s="11"/>
      <c r="L57" s="11"/>
      <c r="M57" s="11"/>
      <c r="N57" s="11"/>
      <c r="O57" s="11"/>
      <c r="P57" s="11"/>
      <c r="Q57" s="11"/>
      <c r="R57" s="12"/>
    </row>
  </sheetData>
  <mergeCells count="2">
    <mergeCell ref="C1:D1"/>
    <mergeCell ref="H3:I3"/>
  </mergeCells>
  <conditionalFormatting sqref="B12:B56">
    <cfRule type="expression" dxfId="17" priority="7">
      <formula>B12&lt;&gt;""</formula>
    </cfRule>
  </conditionalFormatting>
  <conditionalFormatting sqref="B11:V56">
    <cfRule type="expression" dxfId="16" priority="2">
      <formula>OR(B11&lt;&gt;"",AND($B11&lt;&gt;"",B$11&lt;&gt;""))</formula>
    </cfRule>
  </conditionalFormatting>
  <conditionalFormatting sqref="C11:V11">
    <cfRule type="expression" dxfId="15" priority="4">
      <formula>C11&lt;&gt;""</formula>
    </cfRule>
  </conditionalFormatting>
  <conditionalFormatting sqref="C12:V56">
    <cfRule type="expression" dxfId="14" priority="11">
      <formula>$C$7="Time"</formula>
    </cfRule>
    <cfRule type="expression" dxfId="13" priority="12">
      <formula>C12&lt;0</formula>
    </cfRule>
  </conditionalFormatting>
  <dataValidations count="4">
    <dataValidation type="list" allowBlank="1" showInputMessage="1" showErrorMessage="1" sqref="C5" xr:uid="{B19F7C61-6C70-4CF9-B833-F7CDD58F0E47}">
      <formula1>$K$3:$K$6</formula1>
    </dataValidation>
    <dataValidation type="list" allowBlank="1" showInputMessage="1" showErrorMessage="1" sqref="C6" xr:uid="{2DFC5F64-D519-47DC-AA95-E924E00F1925}">
      <formula1>$L$3:$L$6</formula1>
    </dataValidation>
    <dataValidation type="list" allowBlank="1" showInputMessage="1" showErrorMessage="1" sqref="C7" xr:uid="{DC714A4E-A2BE-4D11-B519-0B97D6520502}">
      <formula1>$M$3:$M$8</formula1>
    </dataValidation>
    <dataValidation type="list" allowBlank="1" showInputMessage="1" showErrorMessage="1" sqref="C8" xr:uid="{C69E44EC-ECFF-45DD-A9A0-4A9A176E5308}">
      <formula1>$N$3:$N$8</formula1>
    </dataValidation>
  </dataValidation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O66"/>
  <sheetViews>
    <sheetView workbookViewId="0">
      <pane ySplit="1" topLeftCell="A2" activePane="bottomLeft" state="frozen"/>
      <selection pane="bottomLeft" activeCell="A2" sqref="A2"/>
    </sheetView>
  </sheetViews>
  <sheetFormatPr defaultRowHeight="14.4" x14ac:dyDescent="0.3"/>
  <cols>
    <col min="2" max="2" width="23.88671875" customWidth="1"/>
    <col min="3" max="4" width="22.88671875" customWidth="1"/>
    <col min="5" max="5" width="17.6640625" customWidth="1"/>
    <col min="6" max="6" width="14.5546875" bestFit="1" customWidth="1"/>
    <col min="7" max="7" width="17.44140625" customWidth="1"/>
  </cols>
  <sheetData>
    <row r="1" spans="1:15" ht="34.5" customHeight="1" thickBot="1" x14ac:dyDescent="0.35">
      <c r="A1" s="146" t="s">
        <v>255</v>
      </c>
      <c r="B1" s="207" t="e" vm="1">
        <v>#VALUE!</v>
      </c>
      <c r="C1" s="214" t="s">
        <v>123</v>
      </c>
      <c r="D1" s="215"/>
      <c r="E1" s="25"/>
      <c r="F1" s="5"/>
      <c r="G1" s="5"/>
      <c r="H1" s="5"/>
      <c r="I1" s="5"/>
      <c r="J1" s="5"/>
      <c r="K1" s="5"/>
      <c r="L1" s="5"/>
      <c r="M1" s="5"/>
      <c r="N1" s="5"/>
      <c r="O1" s="7"/>
    </row>
    <row r="2" spans="1:15" ht="15" customHeight="1" x14ac:dyDescent="0.3">
      <c r="A2" s="6"/>
      <c r="B2" s="13"/>
      <c r="C2" s="13"/>
      <c r="D2" s="9"/>
      <c r="E2" s="9"/>
      <c r="F2" s="9"/>
      <c r="G2" s="9"/>
      <c r="H2" s="9"/>
      <c r="I2" s="9"/>
      <c r="J2" s="9"/>
      <c r="K2" s="9"/>
      <c r="L2" s="9"/>
      <c r="M2" s="9"/>
      <c r="N2" s="9"/>
      <c r="O2" s="8"/>
    </row>
    <row r="3" spans="1:15" x14ac:dyDescent="0.3">
      <c r="A3" s="6"/>
      <c r="B3" s="9"/>
      <c r="C3" s="9"/>
      <c r="D3" s="9"/>
      <c r="E3" s="9"/>
      <c r="F3" s="9"/>
      <c r="G3" s="9"/>
      <c r="H3" s="9"/>
      <c r="I3" s="9"/>
      <c r="J3" s="9"/>
      <c r="K3" s="9"/>
      <c r="L3" s="9"/>
      <c r="M3" s="9"/>
      <c r="N3" s="9"/>
      <c r="O3" s="8"/>
    </row>
    <row r="4" spans="1:15" x14ac:dyDescent="0.3">
      <c r="A4" s="6"/>
      <c r="B4" s="9"/>
      <c r="C4" s="9"/>
      <c r="D4" s="9"/>
      <c r="E4" s="9"/>
      <c r="F4" s="3" t="s">
        <v>2</v>
      </c>
      <c r="G4" s="16" t="s">
        <v>100</v>
      </c>
      <c r="H4" s="9"/>
      <c r="I4" s="9"/>
      <c r="J4" s="9"/>
      <c r="K4" s="9"/>
      <c r="L4" s="9"/>
      <c r="M4" s="9"/>
      <c r="N4" s="9"/>
      <c r="O4" s="8"/>
    </row>
    <row r="5" spans="1:15" x14ac:dyDescent="0.3">
      <c r="A5" s="6"/>
      <c r="B5" s="9"/>
      <c r="C5" s="9"/>
      <c r="D5" s="9"/>
      <c r="E5" s="9"/>
      <c r="F5" s="3" t="s">
        <v>3</v>
      </c>
      <c r="G5" s="16" t="s">
        <v>127</v>
      </c>
      <c r="H5" s="9"/>
      <c r="I5" s="9"/>
      <c r="J5" s="9"/>
      <c r="K5" s="9"/>
      <c r="L5" s="9"/>
      <c r="M5" s="9"/>
      <c r="N5" s="9"/>
      <c r="O5" s="8"/>
    </row>
    <row r="6" spans="1:15" x14ac:dyDescent="0.3">
      <c r="A6" s="6"/>
      <c r="B6" s="9"/>
      <c r="C6" s="9"/>
      <c r="D6" s="9"/>
      <c r="E6" s="9"/>
      <c r="F6" s="9"/>
      <c r="G6" s="9"/>
      <c r="H6" s="9"/>
      <c r="I6" s="9"/>
      <c r="J6" s="9"/>
      <c r="K6" s="9"/>
      <c r="L6" s="9"/>
      <c r="M6" s="9"/>
      <c r="N6" s="9"/>
      <c r="O6" s="8"/>
    </row>
    <row r="7" spans="1:15" x14ac:dyDescent="0.3">
      <c r="A7" s="6"/>
      <c r="B7" s="9"/>
      <c r="C7" s="9"/>
      <c r="D7" s="9"/>
      <c r="E7" s="9"/>
      <c r="F7" s="3" t="s">
        <v>529</v>
      </c>
      <c r="G7" s="16">
        <v>5</v>
      </c>
      <c r="H7" s="9"/>
      <c r="I7" s="9"/>
      <c r="J7" s="9"/>
      <c r="K7" s="9"/>
      <c r="L7" s="9"/>
      <c r="M7" s="9"/>
      <c r="N7" s="9"/>
      <c r="O7" s="8"/>
    </row>
    <row r="8" spans="1:15" x14ac:dyDescent="0.3">
      <c r="A8" s="6"/>
      <c r="B8" s="9"/>
      <c r="C8" s="9"/>
      <c r="D8" s="9"/>
      <c r="E8" s="9"/>
      <c r="F8" s="3" t="s">
        <v>528</v>
      </c>
      <c r="G8" s="206" t="s">
        <v>533</v>
      </c>
      <c r="H8" s="9"/>
      <c r="I8" s="9"/>
      <c r="J8" s="9"/>
      <c r="K8" s="9"/>
      <c r="L8" s="9"/>
      <c r="M8" s="9"/>
      <c r="N8" s="9"/>
      <c r="O8" s="8"/>
    </row>
    <row r="9" spans="1:15" x14ac:dyDescent="0.3">
      <c r="A9" s="6"/>
      <c r="B9" s="9"/>
      <c r="C9" s="9"/>
      <c r="D9" s="9"/>
      <c r="E9" s="9"/>
      <c r="F9" s="9"/>
      <c r="G9" s="9"/>
      <c r="H9" s="9"/>
      <c r="I9" s="9"/>
      <c r="J9" s="9"/>
      <c r="K9" s="9"/>
      <c r="L9" s="9"/>
      <c r="M9" s="9"/>
      <c r="N9" s="9"/>
      <c r="O9" s="8"/>
    </row>
    <row r="10" spans="1:15" x14ac:dyDescent="0.3">
      <c r="A10" s="6"/>
      <c r="B10" s="9"/>
      <c r="C10" s="9"/>
      <c r="D10" s="9"/>
      <c r="E10" s="9"/>
      <c r="F10" s="4" t="s">
        <v>307</v>
      </c>
      <c r="G10" s="15" t="str" cm="1">
        <f t="array" ref="G10">_xll.U.REFRESH(G4,G5,,TRUE)</f>
        <v>UPTICK/RANDOM_DATA/VALS</v>
      </c>
      <c r="H10" s="9"/>
      <c r="I10" s="9"/>
      <c r="J10" s="9"/>
      <c r="K10" s="9"/>
      <c r="L10" s="9"/>
      <c r="M10" s="9"/>
      <c r="N10" s="9"/>
      <c r="O10" s="8"/>
    </row>
    <row r="11" spans="1:15" x14ac:dyDescent="0.3">
      <c r="A11" s="6"/>
      <c r="B11" s="9"/>
      <c r="C11" s="9"/>
      <c r="D11" s="9"/>
      <c r="E11" s="9"/>
      <c r="F11" s="9"/>
      <c r="G11" s="9"/>
      <c r="H11" s="9"/>
      <c r="I11" s="9"/>
      <c r="J11" s="9"/>
      <c r="K11" s="9"/>
      <c r="L11" s="9"/>
      <c r="M11" s="9"/>
      <c r="N11" s="9"/>
      <c r="O11" s="8"/>
    </row>
    <row r="12" spans="1:15" x14ac:dyDescent="0.3">
      <c r="A12" s="6"/>
      <c r="B12" s="9"/>
      <c r="C12" s="9"/>
      <c r="D12" s="9"/>
      <c r="E12" s="9"/>
      <c r="F12" s="9"/>
      <c r="G12" s="9"/>
      <c r="H12" s="9"/>
      <c r="I12" s="9"/>
      <c r="J12" s="9"/>
      <c r="K12" s="9"/>
      <c r="L12" s="9"/>
      <c r="M12" s="9"/>
      <c r="N12" s="9"/>
      <c r="O12" s="8"/>
    </row>
    <row r="13" spans="1:15" x14ac:dyDescent="0.3">
      <c r="A13" s="6"/>
      <c r="B13" s="9"/>
      <c r="C13" s="9"/>
      <c r="D13" s="9"/>
      <c r="E13" s="9"/>
      <c r="F13" s="9"/>
      <c r="G13" s="9"/>
      <c r="H13" s="9"/>
      <c r="I13" s="9"/>
      <c r="J13" s="9"/>
      <c r="K13" s="9"/>
      <c r="L13" s="9"/>
      <c r="M13" s="9"/>
      <c r="N13" s="9"/>
      <c r="O13" s="8"/>
    </row>
    <row r="14" spans="1:15" x14ac:dyDescent="0.3">
      <c r="A14" s="6"/>
      <c r="B14" s="9"/>
      <c r="C14" s="9"/>
      <c r="D14" s="9"/>
      <c r="E14" s="9"/>
      <c r="F14" s="9"/>
      <c r="G14" s="9"/>
      <c r="H14" s="9"/>
      <c r="I14" s="9"/>
      <c r="J14" s="9"/>
      <c r="K14" s="9"/>
      <c r="L14" s="9"/>
      <c r="M14" s="9"/>
      <c r="N14" s="9"/>
      <c r="O14" s="8"/>
    </row>
    <row r="15" spans="1:15" x14ac:dyDescent="0.3">
      <c r="A15" s="6"/>
      <c r="B15" s="9"/>
      <c r="C15" s="9"/>
      <c r="D15" s="9"/>
      <c r="E15" s="9"/>
      <c r="F15" s="9"/>
      <c r="G15" s="9"/>
      <c r="H15" s="9"/>
      <c r="I15" s="9"/>
      <c r="J15" s="9"/>
      <c r="K15" s="9"/>
      <c r="L15" s="9"/>
      <c r="M15" s="9"/>
      <c r="N15" s="9"/>
      <c r="O15" s="8"/>
    </row>
    <row r="16" spans="1:15" x14ac:dyDescent="0.3">
      <c r="A16" s="6"/>
      <c r="B16" s="9"/>
      <c r="C16" s="9"/>
      <c r="D16" s="9"/>
      <c r="E16" s="9"/>
      <c r="F16" s="9"/>
      <c r="G16" s="9"/>
      <c r="H16" s="9"/>
      <c r="I16" s="9"/>
      <c r="J16" s="9"/>
      <c r="K16" s="9"/>
      <c r="L16" s="9"/>
      <c r="M16" s="9"/>
      <c r="N16" s="9"/>
      <c r="O16" s="8"/>
    </row>
    <row r="17" spans="1:15" x14ac:dyDescent="0.3">
      <c r="A17" s="6"/>
      <c r="B17" s="9"/>
      <c r="C17" s="9"/>
      <c r="D17" s="9"/>
      <c r="E17" s="9"/>
      <c r="F17" s="9"/>
      <c r="G17" s="9"/>
      <c r="H17" s="9"/>
      <c r="I17" s="9"/>
      <c r="J17" s="9"/>
      <c r="K17" s="9"/>
      <c r="L17" s="9"/>
      <c r="M17" s="9"/>
      <c r="N17" s="9"/>
      <c r="O17" s="8"/>
    </row>
    <row r="18" spans="1:15" x14ac:dyDescent="0.3">
      <c r="A18" s="6"/>
      <c r="B18" s="9"/>
      <c r="C18" s="9"/>
      <c r="D18" s="9"/>
      <c r="E18" s="9"/>
      <c r="F18" s="9"/>
      <c r="G18" s="9"/>
      <c r="H18" s="9"/>
      <c r="I18" s="9"/>
      <c r="J18" s="9"/>
      <c r="K18" s="9"/>
      <c r="L18" s="9"/>
      <c r="M18" s="9"/>
      <c r="N18" s="9"/>
      <c r="O18" s="8"/>
    </row>
    <row r="19" spans="1:15" x14ac:dyDescent="0.3">
      <c r="A19" s="6"/>
      <c r="B19" s="9"/>
      <c r="C19" s="9"/>
      <c r="D19" s="9"/>
      <c r="E19" s="9"/>
      <c r="F19" s="9"/>
      <c r="G19" s="9"/>
      <c r="H19" s="9"/>
      <c r="I19" s="9"/>
      <c r="J19" s="9"/>
      <c r="K19" s="9"/>
      <c r="L19" s="9"/>
      <c r="M19" s="9"/>
      <c r="N19" s="9"/>
      <c r="O19" s="8"/>
    </row>
    <row r="20" spans="1:15" x14ac:dyDescent="0.3">
      <c r="A20" s="6"/>
      <c r="B20" s="9"/>
      <c r="C20" s="9"/>
      <c r="D20" s="9"/>
      <c r="E20" s="9"/>
      <c r="F20" s="9"/>
      <c r="G20" s="9"/>
      <c r="H20" s="9"/>
      <c r="I20" s="9"/>
      <c r="J20" s="9"/>
      <c r="K20" s="9"/>
      <c r="L20" s="9"/>
      <c r="M20" s="9"/>
      <c r="N20" s="9"/>
      <c r="O20" s="8"/>
    </row>
    <row r="21" spans="1:15" x14ac:dyDescent="0.3">
      <c r="A21" s="6"/>
      <c r="B21" s="9"/>
      <c r="C21" s="9"/>
      <c r="D21" s="9"/>
      <c r="E21" s="9"/>
      <c r="F21" s="9"/>
      <c r="G21" s="9"/>
      <c r="H21" s="9"/>
      <c r="I21" s="9"/>
      <c r="J21" s="9"/>
      <c r="K21" s="9"/>
      <c r="L21" s="9"/>
      <c r="M21" s="9"/>
      <c r="N21" s="9"/>
      <c r="O21" s="8"/>
    </row>
    <row r="22" spans="1:15" x14ac:dyDescent="0.3">
      <c r="A22" s="6"/>
      <c r="B22" s="9"/>
      <c r="C22" s="9"/>
      <c r="D22" s="9"/>
      <c r="E22" s="9"/>
      <c r="F22" s="9"/>
      <c r="G22" s="9"/>
      <c r="H22" s="9"/>
      <c r="I22" s="9"/>
      <c r="J22" s="9"/>
      <c r="K22" s="9"/>
      <c r="L22" s="9"/>
      <c r="M22" s="9"/>
      <c r="N22" s="9"/>
      <c r="O22" s="8"/>
    </row>
    <row r="23" spans="1:15" x14ac:dyDescent="0.3">
      <c r="A23" s="6"/>
      <c r="B23" s="9"/>
      <c r="C23" s="9"/>
      <c r="D23" s="9"/>
      <c r="E23" s="9"/>
      <c r="F23" s="9"/>
      <c r="G23" s="9"/>
      <c r="H23" s="9"/>
      <c r="I23" s="9"/>
      <c r="J23" s="9"/>
      <c r="K23" s="9"/>
      <c r="L23" s="9"/>
      <c r="M23" s="9"/>
      <c r="N23" s="9"/>
      <c r="O23" s="8"/>
    </row>
    <row r="24" spans="1:15" x14ac:dyDescent="0.3">
      <c r="A24" s="6"/>
      <c r="B24" s="9"/>
      <c r="C24" s="9"/>
      <c r="D24" s="9"/>
      <c r="E24" s="9"/>
      <c r="F24" s="9"/>
      <c r="G24" s="9"/>
      <c r="H24" s="9"/>
      <c r="I24" s="9"/>
      <c r="J24" s="9"/>
      <c r="K24" s="9"/>
      <c r="L24" s="9"/>
      <c r="M24" s="9"/>
      <c r="N24" s="9"/>
      <c r="O24" s="8"/>
    </row>
    <row r="25" spans="1:15" x14ac:dyDescent="0.3">
      <c r="A25" s="6"/>
      <c r="B25" s="9"/>
      <c r="C25" s="9"/>
      <c r="D25" s="9"/>
      <c r="E25" s="9"/>
      <c r="F25" s="9"/>
      <c r="G25" s="9"/>
      <c r="H25" s="9"/>
      <c r="I25" s="9"/>
      <c r="J25" s="9"/>
      <c r="K25" s="9"/>
      <c r="L25" s="9"/>
      <c r="M25" s="9"/>
      <c r="N25" s="9"/>
      <c r="O25" s="8"/>
    </row>
    <row r="26" spans="1:15" x14ac:dyDescent="0.3">
      <c r="A26" s="6"/>
      <c r="B26" s="9"/>
      <c r="C26" s="9"/>
      <c r="D26" s="9"/>
      <c r="E26" s="9"/>
      <c r="F26" s="9"/>
      <c r="G26" s="9"/>
      <c r="H26" s="9"/>
      <c r="I26" s="9"/>
      <c r="J26" s="9"/>
      <c r="K26" s="9"/>
      <c r="L26" s="9"/>
      <c r="M26" s="9"/>
      <c r="N26" s="9"/>
      <c r="O26" s="8"/>
    </row>
    <row r="27" spans="1:15" x14ac:dyDescent="0.3">
      <c r="A27" s="6"/>
      <c r="B27" s="9"/>
      <c r="C27" s="9"/>
      <c r="D27" s="9"/>
      <c r="E27" s="9"/>
      <c r="F27" s="9"/>
      <c r="G27" s="9"/>
      <c r="H27" s="9"/>
      <c r="I27" s="9"/>
      <c r="J27" s="9"/>
      <c r="K27" s="9"/>
      <c r="L27" s="9"/>
      <c r="M27" s="9"/>
      <c r="N27" s="9"/>
      <c r="O27" s="8"/>
    </row>
    <row r="28" spans="1:15" x14ac:dyDescent="0.3">
      <c r="A28" s="6"/>
      <c r="B28" s="9"/>
      <c r="C28" s="9"/>
      <c r="D28" s="9"/>
      <c r="E28" s="9"/>
      <c r="F28" s="9"/>
      <c r="G28" s="9"/>
      <c r="H28" s="9"/>
      <c r="I28" s="9"/>
      <c r="J28" s="9"/>
      <c r="K28" s="9"/>
      <c r="L28" s="9"/>
      <c r="M28" s="9"/>
      <c r="N28" s="9"/>
      <c r="O28" s="8"/>
    </row>
    <row r="29" spans="1:15" x14ac:dyDescent="0.3">
      <c r="A29" s="6"/>
      <c r="B29" s="9"/>
      <c r="C29" s="9"/>
      <c r="D29" s="9"/>
      <c r="E29" s="9"/>
      <c r="F29" s="9"/>
      <c r="G29" s="9"/>
      <c r="H29" s="9"/>
      <c r="I29" s="9"/>
      <c r="J29" s="9"/>
      <c r="K29" s="9"/>
      <c r="L29" s="9"/>
      <c r="M29" s="9"/>
      <c r="N29" s="9"/>
      <c r="O29" s="8"/>
    </row>
    <row r="30" spans="1:15" x14ac:dyDescent="0.3">
      <c r="A30" s="6"/>
      <c r="B30" s="9"/>
      <c r="C30" s="9"/>
      <c r="D30" s="9"/>
      <c r="E30" s="9"/>
      <c r="F30" s="4" t="s">
        <v>307</v>
      </c>
      <c r="G30" s="15" t="str" cm="1">
        <f t="array" ref="G30">_xll.U.DO(_xll.U.REFRESH(G4,G5),_xll.U.NOW(5))</f>
        <v>UPTICK/RANDOM_DATA/VALS</v>
      </c>
      <c r="H30" s="9"/>
      <c r="I30" s="9"/>
      <c r="J30" s="9"/>
      <c r="K30" s="9"/>
      <c r="L30" s="9"/>
      <c r="M30" s="9"/>
      <c r="N30" s="9"/>
      <c r="O30" s="8"/>
    </row>
    <row r="31" spans="1:15" x14ac:dyDescent="0.3">
      <c r="A31" s="6"/>
      <c r="B31" s="9"/>
      <c r="C31" s="9"/>
      <c r="D31" s="9"/>
      <c r="E31" s="9"/>
      <c r="F31" s="9"/>
      <c r="G31" s="9"/>
      <c r="H31" s="9"/>
      <c r="I31" s="9"/>
      <c r="J31" s="9"/>
      <c r="K31" s="9"/>
      <c r="L31" s="9"/>
      <c r="M31" s="9"/>
      <c r="N31" s="9"/>
      <c r="O31" s="8"/>
    </row>
    <row r="32" spans="1:15" x14ac:dyDescent="0.3">
      <c r="A32" s="6"/>
      <c r="B32" s="9"/>
      <c r="C32" s="9"/>
      <c r="D32" s="9"/>
      <c r="E32" s="9"/>
      <c r="F32" s="9"/>
      <c r="G32" s="9"/>
      <c r="H32" s="9"/>
      <c r="I32" s="9"/>
      <c r="J32" s="9"/>
      <c r="K32" s="9"/>
      <c r="L32" s="9"/>
      <c r="M32" s="9"/>
      <c r="N32" s="9"/>
      <c r="O32" s="8"/>
    </row>
    <row r="33" spans="1:15" x14ac:dyDescent="0.3">
      <c r="A33" s="6"/>
      <c r="B33" s="9"/>
      <c r="C33" s="9"/>
      <c r="D33" s="9"/>
      <c r="E33" s="9"/>
      <c r="F33" s="9"/>
      <c r="G33" s="9"/>
      <c r="H33" s="9"/>
      <c r="I33" s="9"/>
      <c r="J33" s="9"/>
      <c r="K33" s="9"/>
      <c r="L33" s="9"/>
      <c r="M33" s="9"/>
      <c r="N33" s="9"/>
      <c r="O33" s="8"/>
    </row>
    <row r="34" spans="1:15" x14ac:dyDescent="0.3">
      <c r="A34" s="6"/>
      <c r="B34" s="9"/>
      <c r="C34" s="9"/>
      <c r="D34" s="9"/>
      <c r="E34" s="9"/>
      <c r="F34" s="9"/>
      <c r="G34" s="9"/>
      <c r="H34" s="9"/>
      <c r="I34" s="9"/>
      <c r="J34" s="9"/>
      <c r="K34" s="9"/>
      <c r="L34" s="9"/>
      <c r="M34" s="9"/>
      <c r="N34" s="9"/>
      <c r="O34" s="8"/>
    </row>
    <row r="35" spans="1:15" x14ac:dyDescent="0.3">
      <c r="A35" s="6"/>
      <c r="B35" s="9"/>
      <c r="C35" s="9"/>
      <c r="D35" s="9"/>
      <c r="E35" s="9"/>
      <c r="F35" s="9"/>
      <c r="G35" s="9"/>
      <c r="H35" s="9"/>
      <c r="I35" s="9"/>
      <c r="J35" s="9"/>
      <c r="K35" s="9"/>
      <c r="L35" s="9"/>
      <c r="M35" s="9"/>
      <c r="N35" s="9"/>
      <c r="O35" s="8"/>
    </row>
    <row r="36" spans="1:15" x14ac:dyDescent="0.3">
      <c r="A36" s="6"/>
      <c r="B36" s="9"/>
      <c r="C36" s="9"/>
      <c r="D36" s="9"/>
      <c r="E36" s="9"/>
      <c r="F36" s="9"/>
      <c r="G36" s="9"/>
      <c r="H36" s="9"/>
      <c r="I36" s="9"/>
      <c r="J36" s="9"/>
      <c r="K36" s="9"/>
      <c r="L36" s="9"/>
      <c r="M36" s="9"/>
      <c r="N36" s="9"/>
      <c r="O36" s="8"/>
    </row>
    <row r="37" spans="1:15" x14ac:dyDescent="0.3">
      <c r="A37" s="6"/>
      <c r="B37" s="9"/>
      <c r="C37" s="9"/>
      <c r="D37" s="9"/>
      <c r="E37" s="9"/>
      <c r="F37" s="4" t="s">
        <v>307</v>
      </c>
      <c r="G37" s="15" t="str" cm="1">
        <f t="array" ref="G37">_xll.U.DO(_xll.U.REFRESH(G4,G5,,-G7),_xll.U.NOW(1))</f>
        <v>UPTICK/RANDOM_DATA/VALS</v>
      </c>
      <c r="H37" s="9"/>
      <c r="I37" s="9"/>
      <c r="J37" s="9"/>
      <c r="K37" s="9"/>
      <c r="L37" s="9"/>
      <c r="M37" s="9"/>
      <c r="N37" s="9"/>
      <c r="O37" s="8"/>
    </row>
    <row r="38" spans="1:15" x14ac:dyDescent="0.3">
      <c r="A38" s="6"/>
      <c r="B38" s="9"/>
      <c r="C38" s="9"/>
      <c r="D38" s="9"/>
      <c r="E38" s="9"/>
      <c r="F38" s="9"/>
      <c r="G38" s="9"/>
      <c r="H38" s="9"/>
      <c r="I38" s="9"/>
      <c r="J38" s="9"/>
      <c r="K38" s="9"/>
      <c r="L38" s="9"/>
      <c r="M38" s="9"/>
      <c r="N38" s="9"/>
      <c r="O38" s="8"/>
    </row>
    <row r="39" spans="1:15" x14ac:dyDescent="0.3">
      <c r="A39" s="6"/>
      <c r="B39" s="9"/>
      <c r="C39" s="9"/>
      <c r="D39" s="9"/>
      <c r="E39" s="9"/>
      <c r="F39" s="9"/>
      <c r="G39" s="9"/>
      <c r="H39" s="9"/>
      <c r="I39" s="9"/>
      <c r="J39" s="9"/>
      <c r="K39" s="9"/>
      <c r="L39" s="9"/>
      <c r="M39" s="9"/>
      <c r="N39" s="9"/>
      <c r="O39" s="8"/>
    </row>
    <row r="40" spans="1:15" x14ac:dyDescent="0.3">
      <c r="A40" s="6"/>
      <c r="B40" s="9"/>
      <c r="C40" s="9"/>
      <c r="D40" s="9"/>
      <c r="E40" s="9"/>
      <c r="F40" s="9"/>
      <c r="G40" s="9"/>
      <c r="H40" s="9"/>
      <c r="I40" s="9"/>
      <c r="J40" s="9"/>
      <c r="K40" s="9"/>
      <c r="L40" s="9"/>
      <c r="M40" s="9"/>
      <c r="N40" s="9"/>
      <c r="O40" s="8"/>
    </row>
    <row r="41" spans="1:15" x14ac:dyDescent="0.3">
      <c r="A41" s="6"/>
      <c r="B41" s="9"/>
      <c r="C41" s="9"/>
      <c r="D41" s="9"/>
      <c r="E41" s="9"/>
      <c r="F41" s="9"/>
      <c r="G41" s="9"/>
      <c r="H41" s="9"/>
      <c r="I41" s="9"/>
      <c r="J41" s="9"/>
      <c r="K41" s="9"/>
      <c r="L41" s="9"/>
      <c r="M41" s="9"/>
      <c r="N41" s="9"/>
      <c r="O41" s="8"/>
    </row>
    <row r="42" spans="1:15" x14ac:dyDescent="0.3">
      <c r="A42" s="6"/>
      <c r="B42" s="9"/>
      <c r="C42" s="9"/>
      <c r="D42" s="9"/>
      <c r="E42" s="9"/>
      <c r="F42" s="9"/>
      <c r="G42" s="9"/>
      <c r="H42" s="9"/>
      <c r="I42" s="9"/>
      <c r="J42" s="9"/>
      <c r="K42" s="9"/>
      <c r="L42" s="9"/>
      <c r="M42" s="9"/>
      <c r="N42" s="9"/>
      <c r="O42" s="8"/>
    </row>
    <row r="43" spans="1:15" x14ac:dyDescent="0.3">
      <c r="A43" s="6"/>
      <c r="B43" s="9"/>
      <c r="C43" s="9"/>
      <c r="D43" s="9"/>
      <c r="E43" s="9"/>
      <c r="F43" s="9"/>
      <c r="G43" s="9"/>
      <c r="H43" s="9"/>
      <c r="I43" s="9"/>
      <c r="J43" s="9"/>
      <c r="K43" s="9"/>
      <c r="L43" s="9"/>
      <c r="M43" s="9"/>
      <c r="N43" s="9"/>
      <c r="O43" s="8"/>
    </row>
    <row r="44" spans="1:15" x14ac:dyDescent="0.3">
      <c r="A44" s="6"/>
      <c r="B44" s="9"/>
      <c r="C44" s="9"/>
      <c r="D44" s="9"/>
      <c r="E44" s="9"/>
      <c r="F44" s="9"/>
      <c r="G44" s="9"/>
      <c r="H44" s="9"/>
      <c r="I44" s="9"/>
      <c r="J44" s="9"/>
      <c r="K44" s="9"/>
      <c r="L44" s="9"/>
      <c r="M44" s="9"/>
      <c r="N44" s="9"/>
      <c r="O44" s="8"/>
    </row>
    <row r="45" spans="1:15" x14ac:dyDescent="0.3">
      <c r="A45" s="6"/>
      <c r="B45" s="9"/>
      <c r="C45" s="9"/>
      <c r="D45" s="9"/>
      <c r="E45" s="9"/>
      <c r="F45" s="9"/>
      <c r="G45" s="9"/>
      <c r="H45" s="9"/>
      <c r="I45" s="9"/>
      <c r="J45" s="9"/>
      <c r="K45" s="9"/>
      <c r="L45" s="9"/>
      <c r="M45" s="9"/>
      <c r="N45" s="9"/>
      <c r="O45" s="8"/>
    </row>
    <row r="46" spans="1:15" x14ac:dyDescent="0.3">
      <c r="A46" s="6"/>
      <c r="B46" s="9"/>
      <c r="C46" s="9"/>
      <c r="D46" s="9"/>
      <c r="E46" s="9"/>
      <c r="F46" s="9"/>
      <c r="G46" s="9"/>
      <c r="H46" s="9"/>
      <c r="I46" s="9"/>
      <c r="J46" s="9"/>
      <c r="K46" s="9"/>
      <c r="L46" s="9"/>
      <c r="M46" s="9"/>
      <c r="N46" s="9"/>
      <c r="O46" s="8"/>
    </row>
    <row r="47" spans="1:15" x14ac:dyDescent="0.3">
      <c r="A47" s="6"/>
      <c r="B47" s="20" t="s">
        <v>1</v>
      </c>
      <c r="C47" s="20" t="s">
        <v>126</v>
      </c>
      <c r="D47" s="9"/>
      <c r="E47" s="9"/>
      <c r="F47" s="9"/>
      <c r="G47" s="9"/>
      <c r="H47" s="9"/>
      <c r="I47" s="9"/>
      <c r="J47" s="9"/>
      <c r="K47" s="9"/>
      <c r="L47" s="9"/>
      <c r="M47" s="9"/>
      <c r="N47" s="9"/>
      <c r="O47" s="8"/>
    </row>
    <row r="48" spans="1:15" x14ac:dyDescent="0.3">
      <c r="A48" s="6"/>
      <c r="B48" s="78" t="s">
        <v>7</v>
      </c>
      <c r="C48" s="79" cm="1">
        <f t="array" ref="C48">VALUE(RIGHT(_xll.U.NOW(1),3))</f>
        <v>259</v>
      </c>
      <c r="D48" s="9"/>
      <c r="E48" s="9"/>
      <c r="F48" s="3" t="s">
        <v>2</v>
      </c>
      <c r="G48" s="16" t="s">
        <v>100</v>
      </c>
      <c r="H48" s="9"/>
      <c r="I48" s="9"/>
      <c r="J48" s="9"/>
      <c r="K48" s="9"/>
      <c r="L48" s="9"/>
      <c r="M48" s="9"/>
      <c r="N48" s="9"/>
      <c r="O48" s="8"/>
    </row>
    <row r="49" spans="1:15" x14ac:dyDescent="0.3">
      <c r="A49" s="6"/>
      <c r="B49" s="78" t="s">
        <v>8</v>
      </c>
      <c r="C49" s="79">
        <f>C48*CHOOSE(MOD(ROW(),2)+1,0.5*RIGHT(C48,1),-0.5)</f>
        <v>-129.5</v>
      </c>
      <c r="D49" s="9"/>
      <c r="E49" s="9"/>
      <c r="F49" s="3" t="s">
        <v>3</v>
      </c>
      <c r="G49" s="16" t="s">
        <v>308</v>
      </c>
      <c r="H49" s="9"/>
      <c r="I49" s="9"/>
      <c r="J49" s="9"/>
      <c r="K49" s="9"/>
      <c r="L49" s="9"/>
      <c r="M49" s="9"/>
      <c r="N49" s="9"/>
      <c r="O49" s="8"/>
    </row>
    <row r="50" spans="1:15" x14ac:dyDescent="0.3">
      <c r="A50" s="6"/>
      <c r="B50" s="78" t="s">
        <v>15</v>
      </c>
      <c r="C50" s="79">
        <f t="shared" ref="C50:C52" si="0">C49*CHOOSE(MOD(ROW(),2)+1,0.5*RIGHT(C49,1),-0.5)</f>
        <v>-323.75</v>
      </c>
      <c r="D50" s="9"/>
      <c r="E50" s="9"/>
      <c r="F50" s="9"/>
      <c r="G50" s="9"/>
      <c r="H50" s="9"/>
      <c r="I50" s="9"/>
      <c r="J50" s="9"/>
      <c r="K50" s="9"/>
      <c r="L50" s="9"/>
      <c r="M50" s="9"/>
      <c r="N50" s="9"/>
      <c r="O50" s="8"/>
    </row>
    <row r="51" spans="1:15" x14ac:dyDescent="0.3">
      <c r="A51" s="6"/>
      <c r="B51" s="78" t="s">
        <v>47</v>
      </c>
      <c r="C51" s="79">
        <f t="shared" si="0"/>
        <v>161.875</v>
      </c>
      <c r="D51" s="9"/>
      <c r="E51" s="9"/>
      <c r="F51" s="4" t="s">
        <v>9</v>
      </c>
      <c r="G51" s="22" cm="1">
        <f t="array" ref="G51">_xll.U.PUBLISH(G48,G49,B47:C52)</f>
        <v>46072.453739293982</v>
      </c>
      <c r="H51" s="9"/>
      <c r="I51" s="9"/>
      <c r="J51" s="9"/>
      <c r="K51" s="9"/>
      <c r="L51" s="9"/>
      <c r="M51" s="9"/>
      <c r="N51" s="9"/>
      <c r="O51" s="8"/>
    </row>
    <row r="52" spans="1:15" x14ac:dyDescent="0.3">
      <c r="A52" s="6"/>
      <c r="B52" s="78" t="s">
        <v>13</v>
      </c>
      <c r="C52" s="79">
        <f t="shared" si="0"/>
        <v>404.6875</v>
      </c>
      <c r="D52" s="9"/>
      <c r="E52" s="9"/>
      <c r="F52" s="9"/>
      <c r="G52" s="9"/>
      <c r="H52" s="9"/>
      <c r="I52" s="9"/>
      <c r="J52" s="9"/>
      <c r="K52" s="9"/>
      <c r="L52" s="9"/>
      <c r="M52" s="9"/>
      <c r="N52" s="9"/>
      <c r="O52" s="8"/>
    </row>
    <row r="53" spans="1:15" x14ac:dyDescent="0.3">
      <c r="A53" s="9"/>
      <c r="B53" s="9"/>
      <c r="C53" s="9"/>
      <c r="D53" s="9"/>
      <c r="E53" s="9"/>
      <c r="F53" s="4" t="s">
        <v>10</v>
      </c>
      <c r="G53" s="15" t="str" cm="1">
        <f t="array" ref="G53">_xll.U.SUBSCRIBE(G48,G49)</f>
        <v>UPTICK/RANDOM_DATA/VALS_2 | 2026-02-19 10:53:23.103</v>
      </c>
      <c r="H53" s="9"/>
      <c r="I53" s="9"/>
      <c r="J53" s="9"/>
      <c r="K53" s="9"/>
      <c r="L53" s="9"/>
      <c r="M53" s="9"/>
      <c r="N53" s="9"/>
      <c r="O53" s="8"/>
    </row>
    <row r="54" spans="1:15" x14ac:dyDescent="0.3">
      <c r="A54" s="9"/>
      <c r="B54" s="9"/>
      <c r="C54" s="9"/>
      <c r="D54" s="9"/>
      <c r="E54" s="9"/>
      <c r="F54" s="4" t="s">
        <v>125</v>
      </c>
      <c r="G54" s="15" t="str" cm="1">
        <f t="array" ref="G54">_xll.U.DO(_xll.U.TOPIC(G48,G49),_xll.U.NOW(5))</f>
        <v>UPTICK/RANDOM_DATA/VALS_2</v>
      </c>
      <c r="H54" s="9"/>
      <c r="I54" s="9"/>
      <c r="J54" s="9"/>
      <c r="K54" s="9"/>
      <c r="L54" s="9"/>
      <c r="M54" s="9"/>
      <c r="N54" s="9"/>
      <c r="O54" s="8"/>
    </row>
    <row r="55" spans="1:15" x14ac:dyDescent="0.3">
      <c r="A55" s="9"/>
      <c r="B55" s="9"/>
      <c r="C55" s="9"/>
      <c r="D55" s="9"/>
      <c r="E55" s="9"/>
      <c r="F55" s="9"/>
      <c r="G55" s="9"/>
      <c r="H55" s="9"/>
      <c r="I55" s="9"/>
      <c r="J55" s="9"/>
      <c r="K55" s="9"/>
      <c r="L55" s="9"/>
      <c r="M55" s="9"/>
      <c r="N55" s="9"/>
      <c r="O55" s="8"/>
    </row>
    <row r="56" spans="1:15" x14ac:dyDescent="0.3">
      <c r="A56" s="9"/>
      <c r="B56" s="9"/>
      <c r="C56" s="9"/>
      <c r="D56" s="9"/>
      <c r="E56" s="9"/>
      <c r="F56" s="9"/>
      <c r="G56" s="9"/>
      <c r="H56" s="9"/>
      <c r="I56" s="9"/>
      <c r="J56" s="9"/>
      <c r="K56" s="9"/>
      <c r="L56" s="9"/>
      <c r="M56" s="9"/>
      <c r="N56" s="9"/>
      <c r="O56" s="8"/>
    </row>
    <row r="57" spans="1:15" x14ac:dyDescent="0.3">
      <c r="A57" s="9"/>
      <c r="B57" s="26" t="str">
        <f t="array" ref="B57:C62">_xll.U.GET(G54)</f>
        <v>Symbol</v>
      </c>
      <c r="C57" s="26" t="str">
        <v>Value</v>
      </c>
      <c r="D57" s="9"/>
      <c r="E57" s="9"/>
      <c r="F57" s="9"/>
      <c r="G57" s="9"/>
      <c r="H57" s="9"/>
      <c r="I57" s="9"/>
      <c r="J57" s="9"/>
      <c r="K57" s="9"/>
      <c r="L57" s="9"/>
      <c r="M57" s="9"/>
      <c r="N57" s="9"/>
      <c r="O57" s="8"/>
    </row>
    <row r="58" spans="1:15" x14ac:dyDescent="0.3">
      <c r="A58" s="9"/>
      <c r="B58" s="86" t="str">
        <v>AAPL</v>
      </c>
      <c r="C58" s="94">
        <v>296</v>
      </c>
      <c r="D58" s="9"/>
      <c r="E58" s="9"/>
      <c r="F58" s="9"/>
      <c r="G58" s="9"/>
      <c r="H58" s="9"/>
      <c r="I58" s="9"/>
      <c r="J58" s="9"/>
      <c r="K58" s="9"/>
      <c r="L58" s="9"/>
      <c r="M58" s="9"/>
      <c r="N58" s="9"/>
      <c r="O58" s="8"/>
    </row>
    <row r="59" spans="1:15" x14ac:dyDescent="0.3">
      <c r="A59" s="9"/>
      <c r="B59" s="86" t="str">
        <v>IBM</v>
      </c>
      <c r="C59" s="94">
        <v>-148</v>
      </c>
      <c r="D59" s="9"/>
      <c r="E59" s="9"/>
      <c r="F59" s="9"/>
      <c r="G59" s="9"/>
      <c r="H59" s="9"/>
      <c r="I59" s="9"/>
      <c r="J59" s="9"/>
      <c r="K59" s="9"/>
      <c r="L59" s="9"/>
      <c r="M59" s="9"/>
      <c r="N59" s="9"/>
      <c r="O59" s="8"/>
    </row>
    <row r="60" spans="1:15" x14ac:dyDescent="0.3">
      <c r="A60" s="9"/>
      <c r="B60" s="86" t="str">
        <v>FB</v>
      </c>
      <c r="C60" s="94">
        <v>-592</v>
      </c>
      <c r="D60" s="9"/>
      <c r="E60" s="9"/>
      <c r="F60" s="9"/>
      <c r="G60" s="9"/>
      <c r="H60" s="9"/>
      <c r="I60" s="9"/>
      <c r="J60" s="9"/>
      <c r="K60" s="9"/>
      <c r="L60" s="9"/>
      <c r="M60" s="9"/>
      <c r="N60" s="9"/>
      <c r="O60" s="8"/>
    </row>
    <row r="61" spans="1:15" x14ac:dyDescent="0.3">
      <c r="A61" s="9"/>
      <c r="B61" s="86" t="str">
        <v>MSFT</v>
      </c>
      <c r="C61" s="94">
        <v>296</v>
      </c>
      <c r="D61" s="9"/>
      <c r="E61" s="9"/>
      <c r="F61" s="9"/>
      <c r="G61" s="9"/>
      <c r="H61" s="9"/>
      <c r="I61" s="9"/>
      <c r="J61" s="9"/>
      <c r="K61" s="9"/>
      <c r="L61" s="9"/>
      <c r="M61" s="9"/>
      <c r="N61" s="9"/>
      <c r="O61" s="8"/>
    </row>
    <row r="62" spans="1:15" x14ac:dyDescent="0.3">
      <c r="A62" s="9"/>
      <c r="B62" s="86" t="str">
        <v>GOOG</v>
      </c>
      <c r="C62" s="94">
        <v>888</v>
      </c>
      <c r="D62" s="9"/>
      <c r="E62" s="9"/>
      <c r="F62" s="9"/>
      <c r="G62" s="9"/>
      <c r="H62" s="9"/>
      <c r="I62" s="9"/>
      <c r="J62" s="9"/>
      <c r="K62" s="9"/>
      <c r="L62" s="9"/>
      <c r="M62" s="9"/>
      <c r="N62" s="9"/>
      <c r="O62" s="8"/>
    </row>
    <row r="63" spans="1:15" x14ac:dyDescent="0.3">
      <c r="A63" s="9"/>
      <c r="B63" s="9"/>
      <c r="C63" s="9"/>
      <c r="D63" s="9"/>
      <c r="E63" s="9"/>
      <c r="F63" s="9"/>
      <c r="G63" s="9"/>
      <c r="H63" s="9"/>
      <c r="I63" s="9"/>
      <c r="J63" s="9"/>
      <c r="K63" s="9"/>
      <c r="L63" s="9"/>
      <c r="M63" s="9"/>
      <c r="N63" s="9"/>
      <c r="O63" s="8"/>
    </row>
    <row r="64" spans="1:15" x14ac:dyDescent="0.3">
      <c r="A64" s="9"/>
      <c r="B64" s="9"/>
      <c r="C64" s="9"/>
      <c r="D64" s="9"/>
      <c r="E64" s="9"/>
      <c r="F64" s="9"/>
      <c r="G64" s="9"/>
      <c r="H64" s="9"/>
      <c r="I64" s="9"/>
      <c r="J64" s="9"/>
      <c r="K64" s="9"/>
      <c r="L64" s="9"/>
      <c r="M64" s="9"/>
      <c r="N64" s="9"/>
      <c r="O64" s="8"/>
    </row>
    <row r="65" spans="1:15" x14ac:dyDescent="0.3">
      <c r="A65" s="9"/>
      <c r="B65" s="9"/>
      <c r="C65" s="9"/>
      <c r="D65" s="9"/>
      <c r="E65" s="9"/>
      <c r="F65" s="9"/>
      <c r="G65" s="9"/>
      <c r="H65" s="9"/>
      <c r="I65" s="9"/>
      <c r="J65" s="9"/>
      <c r="K65" s="9"/>
      <c r="L65" s="9"/>
      <c r="M65" s="9"/>
      <c r="N65" s="9"/>
      <c r="O65" s="8"/>
    </row>
    <row r="66" spans="1:15" ht="15" thickBot="1" x14ac:dyDescent="0.35">
      <c r="A66" s="10"/>
      <c r="B66" s="11"/>
      <c r="C66" s="11"/>
      <c r="D66" s="11"/>
      <c r="E66" s="11"/>
      <c r="F66" s="11"/>
      <c r="G66" s="11"/>
      <c r="H66" s="11"/>
      <c r="I66" s="11"/>
      <c r="J66" s="11"/>
      <c r="K66" s="11"/>
      <c r="L66" s="11"/>
      <c r="M66" s="11"/>
      <c r="N66" s="11"/>
      <c r="O66" s="12"/>
    </row>
  </sheetData>
  <mergeCells count="1">
    <mergeCell ref="C1:D1"/>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O35"/>
  <sheetViews>
    <sheetView workbookViewId="0">
      <pane ySplit="1" topLeftCell="A2" activePane="bottomLeft" state="frozen"/>
      <selection pane="bottomLeft" activeCell="A2" sqref="A2"/>
    </sheetView>
  </sheetViews>
  <sheetFormatPr defaultRowHeight="14.4" x14ac:dyDescent="0.3"/>
  <cols>
    <col min="2" max="2" width="23.88671875" customWidth="1"/>
    <col min="3" max="4" width="22.88671875" customWidth="1"/>
    <col min="5" max="5" width="17.6640625" customWidth="1"/>
    <col min="6" max="6" width="16.44140625" bestFit="1" customWidth="1"/>
    <col min="7" max="7" width="19.109375" customWidth="1"/>
    <col min="8" max="15" width="11" customWidth="1"/>
  </cols>
  <sheetData>
    <row r="1" spans="1:15" ht="34.5" customHeight="1" thickBot="1" x14ac:dyDescent="0.35">
      <c r="A1" s="146" t="s">
        <v>255</v>
      </c>
      <c r="B1" s="207" t="e" vm="1">
        <v>#VALUE!</v>
      </c>
      <c r="C1" s="214" t="s">
        <v>98</v>
      </c>
      <c r="D1" s="215"/>
      <c r="E1" s="25"/>
      <c r="F1" s="5"/>
      <c r="G1" s="5"/>
      <c r="H1" s="5"/>
      <c r="I1" s="5"/>
      <c r="J1" s="5"/>
      <c r="K1" s="5"/>
      <c r="L1" s="5"/>
      <c r="M1" s="5"/>
      <c r="N1" s="5"/>
      <c r="O1" s="7"/>
    </row>
    <row r="2" spans="1:15" ht="15" customHeight="1" x14ac:dyDescent="0.3">
      <c r="A2" s="6"/>
      <c r="B2" s="13"/>
      <c r="C2" s="13"/>
      <c r="D2" s="9"/>
      <c r="E2" s="9"/>
      <c r="F2" s="9"/>
      <c r="G2" s="9"/>
      <c r="H2" s="9"/>
      <c r="I2" s="9"/>
      <c r="J2" s="9"/>
      <c r="K2" s="9"/>
      <c r="L2" s="9"/>
      <c r="M2" s="9"/>
      <c r="N2" s="9"/>
      <c r="O2" s="8"/>
    </row>
    <row r="3" spans="1:15" x14ac:dyDescent="0.3">
      <c r="A3" s="6"/>
      <c r="B3" s="9"/>
      <c r="C3" s="9"/>
      <c r="D3" s="9"/>
      <c r="E3" s="9"/>
      <c r="F3" s="9"/>
      <c r="G3" s="9"/>
      <c r="H3" s="9"/>
      <c r="I3" s="9"/>
      <c r="J3" s="9"/>
      <c r="K3" s="9"/>
      <c r="L3" s="9"/>
      <c r="M3" s="9"/>
      <c r="N3" s="9"/>
      <c r="O3" s="8"/>
    </row>
    <row r="4" spans="1:15" x14ac:dyDescent="0.3">
      <c r="A4" s="6"/>
      <c r="B4" s="9"/>
      <c r="C4" s="9"/>
      <c r="D4" s="9"/>
      <c r="E4" s="9"/>
      <c r="F4" s="9"/>
      <c r="G4" s="9"/>
      <c r="H4" s="9"/>
      <c r="I4" s="9"/>
      <c r="J4" s="9"/>
      <c r="K4" s="9"/>
      <c r="L4" s="9"/>
      <c r="M4" s="9"/>
      <c r="N4" s="9"/>
      <c r="O4" s="8"/>
    </row>
    <row r="5" spans="1:15" x14ac:dyDescent="0.3">
      <c r="A5" s="6"/>
      <c r="B5" s="20" t="s">
        <v>1</v>
      </c>
      <c r="C5" s="20" t="s">
        <v>4</v>
      </c>
      <c r="D5" s="9"/>
      <c r="E5" s="9"/>
      <c r="F5" s="9"/>
      <c r="G5" s="9"/>
      <c r="H5" s="9"/>
      <c r="I5" s="9"/>
      <c r="J5" s="9"/>
      <c r="K5" s="9"/>
      <c r="L5" s="9"/>
      <c r="M5" s="9"/>
      <c r="N5" s="9"/>
      <c r="O5" s="8"/>
    </row>
    <row r="6" spans="1:15" x14ac:dyDescent="0.3">
      <c r="A6" s="6"/>
      <c r="B6" s="78" t="s">
        <v>7</v>
      </c>
      <c r="C6" s="79" cm="1">
        <f t="array" ref="C6">VALUE(RIGHT(_xll.U.NOW(1),3))</f>
        <v>259</v>
      </c>
      <c r="D6" s="9"/>
      <c r="E6" s="9"/>
      <c r="F6" s="3" t="s">
        <v>2</v>
      </c>
      <c r="G6" s="16" t="s">
        <v>100</v>
      </c>
      <c r="H6" s="9"/>
      <c r="I6" s="9"/>
      <c r="J6" s="9"/>
      <c r="K6" s="9"/>
      <c r="L6" s="9"/>
      <c r="M6" s="9"/>
      <c r="N6" s="9"/>
      <c r="O6" s="8"/>
    </row>
    <row r="7" spans="1:15" x14ac:dyDescent="0.3">
      <c r="A7" s="6"/>
      <c r="B7" s="78" t="s">
        <v>8</v>
      </c>
      <c r="C7" s="79">
        <f>C6*CHOOSE(MOD(ROW(),2)+1,0.5*RIGHT(C6,1),-0.5)</f>
        <v>-129.5</v>
      </c>
      <c r="D7" s="9"/>
      <c r="E7" s="9"/>
      <c r="F7" s="3" t="s">
        <v>3</v>
      </c>
      <c r="G7" s="16" t="s">
        <v>128</v>
      </c>
      <c r="H7" s="9"/>
      <c r="I7" s="9"/>
      <c r="J7" s="9"/>
      <c r="K7" s="9"/>
      <c r="L7" s="9"/>
      <c r="M7" s="9"/>
      <c r="N7" s="9"/>
      <c r="O7" s="8"/>
    </row>
    <row r="8" spans="1:15" x14ac:dyDescent="0.3">
      <c r="A8" s="6"/>
      <c r="B8" s="78" t="s">
        <v>15</v>
      </c>
      <c r="C8" s="79">
        <f t="shared" ref="C8:C10" si="0">C7*CHOOSE(MOD(ROW(),2)+1,0.5*RIGHT(C7,1),-0.5)</f>
        <v>-323.75</v>
      </c>
      <c r="D8" s="9"/>
      <c r="E8" s="9"/>
      <c r="F8" s="9"/>
      <c r="G8" s="9"/>
      <c r="H8" s="9"/>
      <c r="I8" s="9"/>
      <c r="J8" s="9"/>
      <c r="K8" s="9"/>
      <c r="L8" s="9"/>
      <c r="M8" s="9"/>
      <c r="N8" s="9"/>
      <c r="O8" s="8"/>
    </row>
    <row r="9" spans="1:15" x14ac:dyDescent="0.3">
      <c r="A9" s="6"/>
      <c r="B9" s="78" t="s">
        <v>47</v>
      </c>
      <c r="C9" s="79">
        <f t="shared" si="0"/>
        <v>161.875</v>
      </c>
      <c r="D9" s="9"/>
      <c r="E9" s="9"/>
      <c r="F9" s="3" t="s">
        <v>101</v>
      </c>
      <c r="G9" s="16">
        <v>5</v>
      </c>
      <c r="H9" s="9"/>
      <c r="I9" s="9"/>
      <c r="J9" s="9"/>
      <c r="K9" s="9"/>
      <c r="L9" s="9"/>
      <c r="M9" s="9"/>
      <c r="N9" s="9"/>
      <c r="O9" s="8"/>
    </row>
    <row r="10" spans="1:15" x14ac:dyDescent="0.3">
      <c r="A10" s="6"/>
      <c r="B10" s="78" t="s">
        <v>13</v>
      </c>
      <c r="C10" s="79">
        <f t="shared" si="0"/>
        <v>404.6875</v>
      </c>
      <c r="D10" s="9"/>
      <c r="E10" s="9"/>
      <c r="F10" s="3" t="s">
        <v>528</v>
      </c>
      <c r="G10" s="206" t="s">
        <v>534</v>
      </c>
      <c r="H10" s="9"/>
      <c r="I10" s="9"/>
      <c r="J10" s="9"/>
      <c r="K10" s="9"/>
      <c r="L10" s="9"/>
      <c r="M10" s="9"/>
      <c r="N10" s="9"/>
      <c r="O10" s="8"/>
    </row>
    <row r="11" spans="1:15" x14ac:dyDescent="0.3">
      <c r="A11" s="9"/>
      <c r="B11" s="9"/>
      <c r="C11" s="9"/>
      <c r="D11" s="9"/>
      <c r="E11" s="9"/>
      <c r="F11" s="9"/>
      <c r="G11" s="9"/>
      <c r="H11" s="9"/>
      <c r="I11" s="9"/>
      <c r="J11" s="9"/>
      <c r="K11" s="9"/>
      <c r="L11" s="9"/>
      <c r="M11" s="9"/>
      <c r="N11" s="9"/>
      <c r="O11" s="8"/>
    </row>
    <row r="12" spans="1:15" x14ac:dyDescent="0.3">
      <c r="A12" s="9"/>
      <c r="B12" s="9"/>
      <c r="C12" s="9"/>
      <c r="D12" s="9"/>
      <c r="E12" s="9"/>
      <c r="F12" s="4" t="s">
        <v>9</v>
      </c>
      <c r="G12" s="22" t="str" cm="1">
        <f t="array" ref="G12">_xll.U.PUBLISH(G6,G7,B5:C10,,TRUE)</f>
        <v>Blocked by self</v>
      </c>
      <c r="H12" s="9"/>
      <c r="I12" s="9"/>
      <c r="J12" s="9"/>
      <c r="K12" s="9"/>
      <c r="L12" s="9"/>
      <c r="M12" s="9"/>
      <c r="N12" s="9"/>
      <c r="O12" s="8"/>
    </row>
    <row r="13" spans="1:15" x14ac:dyDescent="0.3">
      <c r="A13" s="9"/>
      <c r="B13" s="9"/>
      <c r="C13" s="9"/>
      <c r="D13" s="9"/>
      <c r="E13" s="9"/>
      <c r="F13" s="9"/>
      <c r="G13" s="9"/>
      <c r="H13" s="9"/>
      <c r="I13" s="9"/>
      <c r="J13" s="9"/>
      <c r="K13" s="9"/>
      <c r="L13" s="9"/>
      <c r="M13" s="9"/>
      <c r="N13" s="9"/>
      <c r="O13" s="8"/>
    </row>
    <row r="14" spans="1:15" x14ac:dyDescent="0.3">
      <c r="A14" s="9"/>
      <c r="B14" s="9"/>
      <c r="C14" s="9"/>
      <c r="D14" s="9"/>
      <c r="E14" s="9"/>
      <c r="F14" s="9"/>
      <c r="G14" s="9"/>
      <c r="H14" s="9"/>
      <c r="I14" s="9"/>
      <c r="J14" s="9"/>
      <c r="K14" s="9"/>
      <c r="L14" s="9"/>
      <c r="M14" s="9"/>
      <c r="N14" s="9"/>
      <c r="O14" s="8"/>
    </row>
    <row r="15" spans="1:15" x14ac:dyDescent="0.3">
      <c r="A15" s="9"/>
      <c r="B15" s="9"/>
      <c r="C15" s="9"/>
      <c r="D15" s="9"/>
      <c r="E15" s="9"/>
      <c r="F15" s="9"/>
      <c r="G15" s="9"/>
      <c r="H15" s="9"/>
      <c r="I15" s="9"/>
      <c r="J15" s="9"/>
      <c r="K15" s="9"/>
      <c r="L15" s="9"/>
      <c r="M15" s="9"/>
      <c r="N15" s="9"/>
      <c r="O15" s="8"/>
    </row>
    <row r="16" spans="1:15" x14ac:dyDescent="0.3">
      <c r="A16" s="9"/>
      <c r="B16" s="9"/>
      <c r="C16" s="9"/>
      <c r="D16" s="9"/>
      <c r="E16" s="9"/>
      <c r="F16" s="9"/>
      <c r="G16" s="9"/>
      <c r="H16" s="9"/>
      <c r="I16" s="9"/>
      <c r="J16" s="9"/>
      <c r="K16" s="9"/>
      <c r="L16" s="9"/>
      <c r="M16" s="9"/>
      <c r="N16" s="9"/>
      <c r="O16" s="8"/>
    </row>
    <row r="17" spans="1:15" x14ac:dyDescent="0.3">
      <c r="A17" s="9"/>
      <c r="B17" s="9"/>
      <c r="C17" s="9"/>
      <c r="D17" s="9"/>
      <c r="E17" s="9"/>
      <c r="F17" s="9"/>
      <c r="G17" s="9"/>
      <c r="H17" s="9"/>
      <c r="I17" s="9"/>
      <c r="J17" s="9"/>
      <c r="K17" s="9"/>
      <c r="L17" s="9"/>
      <c r="M17" s="9"/>
      <c r="N17" s="9"/>
      <c r="O17" s="8"/>
    </row>
    <row r="18" spans="1:15" x14ac:dyDescent="0.3">
      <c r="A18" s="9"/>
      <c r="B18" s="9"/>
      <c r="C18" s="9"/>
      <c r="D18" s="9"/>
      <c r="E18" s="9"/>
      <c r="F18" s="9"/>
      <c r="G18" s="9"/>
      <c r="H18" s="9"/>
      <c r="I18" s="9"/>
      <c r="J18" s="9"/>
      <c r="K18" s="9"/>
      <c r="L18" s="9"/>
      <c r="M18" s="9"/>
      <c r="N18" s="9"/>
      <c r="O18" s="8"/>
    </row>
    <row r="19" spans="1:15" x14ac:dyDescent="0.3">
      <c r="A19" s="9"/>
      <c r="B19" s="9"/>
      <c r="C19" s="9"/>
      <c r="D19" s="9"/>
      <c r="E19" s="9"/>
      <c r="F19" s="9"/>
      <c r="G19" s="9"/>
      <c r="H19" s="9"/>
      <c r="I19" s="9"/>
      <c r="J19" s="9"/>
      <c r="K19" s="9"/>
      <c r="L19" s="9"/>
      <c r="M19" s="9"/>
      <c r="N19" s="9"/>
      <c r="O19" s="8"/>
    </row>
    <row r="20" spans="1:15" x14ac:dyDescent="0.3">
      <c r="A20" s="9"/>
      <c r="B20" s="9"/>
      <c r="C20" s="9"/>
      <c r="D20" s="9"/>
      <c r="E20" s="9"/>
      <c r="F20" s="9"/>
      <c r="G20" s="9"/>
      <c r="H20" s="9"/>
      <c r="I20" s="9"/>
      <c r="J20" s="9"/>
      <c r="K20" s="9"/>
      <c r="L20" s="9"/>
      <c r="M20" s="9"/>
      <c r="N20" s="9"/>
      <c r="O20" s="8"/>
    </row>
    <row r="21" spans="1:15" x14ac:dyDescent="0.3">
      <c r="A21" s="9"/>
      <c r="B21" s="9"/>
      <c r="C21" s="9"/>
      <c r="D21" s="9"/>
      <c r="E21" s="9"/>
      <c r="F21" s="9"/>
      <c r="G21" s="9"/>
      <c r="H21" s="9"/>
      <c r="I21" s="9"/>
      <c r="J21" s="9"/>
      <c r="K21" s="9"/>
      <c r="L21" s="9"/>
      <c r="M21" s="9"/>
      <c r="N21" s="9"/>
      <c r="O21" s="8"/>
    </row>
    <row r="22" spans="1:15" x14ac:dyDescent="0.3">
      <c r="A22" s="9"/>
      <c r="B22" s="9"/>
      <c r="C22" s="9"/>
      <c r="D22" s="9"/>
      <c r="E22" s="9"/>
      <c r="F22" s="9"/>
      <c r="G22" s="9"/>
      <c r="H22" s="9"/>
      <c r="I22" s="9"/>
      <c r="J22" s="9"/>
      <c r="K22" s="9"/>
      <c r="L22" s="9"/>
      <c r="M22" s="9"/>
      <c r="N22" s="9"/>
      <c r="O22" s="8"/>
    </row>
    <row r="23" spans="1:15" x14ac:dyDescent="0.3">
      <c r="A23" s="9"/>
      <c r="B23" s="9"/>
      <c r="C23" s="9"/>
      <c r="D23" s="9"/>
      <c r="E23" s="9"/>
      <c r="F23" s="9"/>
      <c r="G23" s="9"/>
      <c r="H23" s="9"/>
      <c r="I23" s="9"/>
      <c r="J23" s="9"/>
      <c r="K23" s="9"/>
      <c r="L23" s="9"/>
      <c r="M23" s="9"/>
      <c r="N23" s="9"/>
      <c r="O23" s="8"/>
    </row>
    <row r="24" spans="1:15" x14ac:dyDescent="0.3">
      <c r="A24" s="9"/>
      <c r="B24" s="9"/>
      <c r="C24" s="9"/>
      <c r="D24" s="9"/>
      <c r="E24" s="9"/>
      <c r="F24" s="9"/>
      <c r="G24" s="9"/>
      <c r="H24" s="9"/>
      <c r="I24" s="9"/>
      <c r="J24" s="9"/>
      <c r="K24" s="9"/>
      <c r="L24" s="9"/>
      <c r="M24" s="9"/>
      <c r="N24" s="9"/>
      <c r="O24" s="8"/>
    </row>
    <row r="25" spans="1:15" x14ac:dyDescent="0.3">
      <c r="A25" s="9"/>
      <c r="B25" s="9"/>
      <c r="C25" s="9"/>
      <c r="D25" s="9"/>
      <c r="E25" s="9"/>
      <c r="F25" s="3" t="s">
        <v>101</v>
      </c>
      <c r="G25" s="16">
        <v>-5</v>
      </c>
      <c r="H25" s="9"/>
      <c r="I25" s="9"/>
      <c r="J25" s="9"/>
      <c r="K25" s="9"/>
      <c r="L25" s="9"/>
      <c r="M25" s="9"/>
      <c r="N25" s="9"/>
      <c r="O25" s="8"/>
    </row>
    <row r="26" spans="1:15" x14ac:dyDescent="0.3">
      <c r="A26" s="9"/>
      <c r="B26" s="9"/>
      <c r="C26" s="9"/>
      <c r="D26" s="9"/>
      <c r="E26" s="9"/>
      <c r="F26" s="9"/>
      <c r="G26" s="9"/>
      <c r="H26" s="9"/>
      <c r="I26" s="9"/>
      <c r="J26" s="9"/>
      <c r="K26" s="9"/>
      <c r="L26" s="9"/>
      <c r="M26" s="9"/>
      <c r="N26" s="9"/>
      <c r="O26" s="8"/>
    </row>
    <row r="27" spans="1:15" x14ac:dyDescent="0.3">
      <c r="A27" s="9"/>
      <c r="B27" s="9"/>
      <c r="C27" s="9"/>
      <c r="D27" s="9"/>
      <c r="E27" s="9"/>
      <c r="F27" s="4" t="s">
        <v>9</v>
      </c>
      <c r="G27" s="22" t="str" cm="1">
        <f t="array" ref="G27">_xll.U.PUBLISH(G6,G7,B5:C10,,G25)</f>
        <v>Blocked by self throttle</v>
      </c>
      <c r="H27" s="9"/>
      <c r="I27" s="9"/>
      <c r="J27" s="9"/>
      <c r="K27" s="9"/>
      <c r="L27" s="9"/>
      <c r="M27" s="9"/>
      <c r="N27" s="9"/>
      <c r="O27" s="8"/>
    </row>
    <row r="28" spans="1:15" x14ac:dyDescent="0.3">
      <c r="A28" s="9"/>
      <c r="B28" s="9"/>
      <c r="C28" s="9"/>
      <c r="D28" s="9"/>
      <c r="E28" s="9"/>
      <c r="F28" s="9"/>
      <c r="G28" s="9"/>
      <c r="H28" s="9"/>
      <c r="I28" s="9"/>
      <c r="J28" s="9"/>
      <c r="K28" s="9"/>
      <c r="L28" s="9"/>
      <c r="M28" s="9"/>
      <c r="N28" s="9"/>
      <c r="O28" s="8"/>
    </row>
    <row r="29" spans="1:15" x14ac:dyDescent="0.3">
      <c r="A29" s="9"/>
      <c r="B29" s="9"/>
      <c r="C29" s="9"/>
      <c r="D29" s="9"/>
      <c r="E29" s="9"/>
      <c r="F29" s="9"/>
      <c r="G29" s="9"/>
      <c r="H29" s="9"/>
      <c r="I29" s="9"/>
      <c r="J29" s="9"/>
      <c r="K29" s="9"/>
      <c r="L29" s="9"/>
      <c r="M29" s="9"/>
      <c r="N29" s="9"/>
      <c r="O29" s="8"/>
    </row>
    <row r="30" spans="1:15" x14ac:dyDescent="0.3">
      <c r="A30" s="9"/>
      <c r="B30" s="9"/>
      <c r="C30" s="9"/>
      <c r="D30" s="9"/>
      <c r="E30" s="9"/>
      <c r="F30" s="9"/>
      <c r="G30" s="9"/>
      <c r="H30" s="9"/>
      <c r="I30" s="9"/>
      <c r="J30" s="9"/>
      <c r="K30" s="9"/>
      <c r="L30" s="9"/>
      <c r="M30" s="9"/>
      <c r="N30" s="9"/>
      <c r="O30" s="8"/>
    </row>
    <row r="31" spans="1:15" x14ac:dyDescent="0.3">
      <c r="A31" s="9"/>
      <c r="B31" s="9"/>
      <c r="C31" s="9"/>
      <c r="D31" s="9"/>
      <c r="E31" s="9"/>
      <c r="F31" s="9"/>
      <c r="G31" s="9"/>
      <c r="H31" s="9"/>
      <c r="I31" s="9"/>
      <c r="J31" s="9"/>
      <c r="K31" s="9"/>
      <c r="L31" s="9"/>
      <c r="M31" s="9"/>
      <c r="N31" s="9"/>
      <c r="O31" s="8"/>
    </row>
    <row r="32" spans="1:15" x14ac:dyDescent="0.3">
      <c r="A32" s="9"/>
      <c r="B32" s="9"/>
      <c r="C32" s="9"/>
      <c r="D32" s="9"/>
      <c r="E32" s="9"/>
      <c r="F32" s="9"/>
      <c r="G32" s="9"/>
      <c r="H32" s="9"/>
      <c r="I32" s="9"/>
      <c r="J32" s="9"/>
      <c r="K32" s="9"/>
      <c r="L32" s="9"/>
      <c r="M32" s="9"/>
      <c r="N32" s="9"/>
      <c r="O32" s="8"/>
    </row>
    <row r="33" spans="1:15" x14ac:dyDescent="0.3">
      <c r="A33" s="9"/>
      <c r="B33" s="9"/>
      <c r="C33" s="9"/>
      <c r="D33" s="9"/>
      <c r="E33" s="9"/>
      <c r="F33" s="9"/>
      <c r="G33" s="9"/>
      <c r="H33" s="9"/>
      <c r="I33" s="9"/>
      <c r="J33" s="9"/>
      <c r="K33" s="9"/>
      <c r="L33" s="9"/>
      <c r="M33" s="9"/>
      <c r="N33" s="9"/>
      <c r="O33" s="8"/>
    </row>
    <row r="34" spans="1:15" x14ac:dyDescent="0.3">
      <c r="A34" s="9"/>
      <c r="B34" s="9"/>
      <c r="C34" s="9"/>
      <c r="D34" s="9"/>
      <c r="E34" s="9"/>
      <c r="F34" s="9"/>
      <c r="G34" s="9"/>
      <c r="H34" s="9"/>
      <c r="I34" s="9"/>
      <c r="J34" s="9"/>
      <c r="K34" s="9"/>
      <c r="L34" s="9"/>
      <c r="M34" s="9"/>
      <c r="N34" s="9"/>
      <c r="O34" s="8"/>
    </row>
    <row r="35" spans="1:15" ht="15" thickBot="1" x14ac:dyDescent="0.35">
      <c r="A35" s="10"/>
      <c r="B35" s="11"/>
      <c r="C35" s="11"/>
      <c r="D35" s="11"/>
      <c r="E35" s="11"/>
      <c r="F35" s="11"/>
      <c r="G35" s="11"/>
      <c r="H35" s="11"/>
      <c r="I35" s="11"/>
      <c r="J35" s="11"/>
      <c r="K35" s="11"/>
      <c r="L35" s="11"/>
      <c r="M35" s="11"/>
      <c r="N35" s="11"/>
      <c r="O35" s="12"/>
    </row>
  </sheetData>
  <mergeCells count="1">
    <mergeCell ref="C1:D1"/>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O54"/>
  <sheetViews>
    <sheetView workbookViewId="0">
      <pane ySplit="1" topLeftCell="A2" activePane="bottomLeft" state="frozen"/>
      <selection pane="bottomLeft" activeCell="A2" sqref="A2"/>
    </sheetView>
  </sheetViews>
  <sheetFormatPr defaultRowHeight="14.4" x14ac:dyDescent="0.3"/>
  <cols>
    <col min="2" max="2" width="23.88671875" customWidth="1"/>
    <col min="3" max="4" width="22.88671875" customWidth="1"/>
    <col min="5" max="5" width="17.6640625" customWidth="1"/>
    <col min="6" max="6" width="14.5546875" bestFit="1" customWidth="1"/>
    <col min="7" max="7" width="18.44140625" customWidth="1"/>
    <col min="9" max="9" width="10.5546875" customWidth="1"/>
    <col min="10" max="15" width="13" customWidth="1"/>
  </cols>
  <sheetData>
    <row r="1" spans="1:15" ht="34.5" customHeight="1" thickBot="1" x14ac:dyDescent="0.35">
      <c r="A1" s="146" t="s">
        <v>255</v>
      </c>
      <c r="B1" s="207" t="e" vm="1">
        <v>#VALUE!</v>
      </c>
      <c r="C1" s="214" t="s">
        <v>103</v>
      </c>
      <c r="D1" s="215"/>
      <c r="E1" s="25"/>
      <c r="F1" s="5"/>
      <c r="G1" s="5"/>
      <c r="H1" s="5"/>
      <c r="I1" s="5"/>
      <c r="J1" s="5"/>
      <c r="K1" s="5"/>
      <c r="L1" s="5"/>
      <c r="M1" s="5"/>
      <c r="N1" s="5"/>
      <c r="O1" s="7"/>
    </row>
    <row r="2" spans="1:15" ht="15" customHeight="1" x14ac:dyDescent="0.3">
      <c r="A2" s="6"/>
      <c r="B2" s="13"/>
      <c r="C2" s="13"/>
      <c r="D2" s="9"/>
      <c r="E2" s="9"/>
      <c r="F2" s="9"/>
      <c r="G2" s="9"/>
      <c r="H2" s="9"/>
      <c r="I2" s="9"/>
      <c r="J2" s="9"/>
      <c r="K2" s="9"/>
      <c r="L2" s="9"/>
      <c r="M2" s="9"/>
      <c r="N2" s="9"/>
      <c r="O2" s="8"/>
    </row>
    <row r="3" spans="1:15" x14ac:dyDescent="0.3">
      <c r="A3" s="6"/>
      <c r="B3" s="9"/>
      <c r="C3" s="9"/>
      <c r="D3" s="9"/>
      <c r="E3" s="9"/>
      <c r="F3" s="9"/>
      <c r="G3" s="9"/>
      <c r="H3" s="9"/>
      <c r="I3" s="9"/>
      <c r="J3" s="9"/>
      <c r="K3" s="9"/>
      <c r="L3" s="9"/>
      <c r="M3" s="9"/>
      <c r="N3" s="9"/>
      <c r="O3" s="8"/>
    </row>
    <row r="4" spans="1:15" x14ac:dyDescent="0.3">
      <c r="A4" s="6"/>
      <c r="B4" s="9"/>
      <c r="C4" s="9"/>
      <c r="D4" s="9"/>
      <c r="E4" s="9"/>
      <c r="F4" s="9"/>
      <c r="G4" s="3" t="s">
        <v>107</v>
      </c>
      <c r="H4" s="3" t="s">
        <v>105</v>
      </c>
      <c r="I4" s="9"/>
      <c r="J4" s="9"/>
      <c r="K4" s="9"/>
      <c r="L4" s="9"/>
      <c r="M4" s="9"/>
      <c r="N4" s="9"/>
      <c r="O4" s="8"/>
    </row>
    <row r="5" spans="1:15" x14ac:dyDescent="0.3">
      <c r="A5" s="6"/>
      <c r="B5" s="20" t="s">
        <v>1</v>
      </c>
      <c r="C5" s="20" t="s">
        <v>82</v>
      </c>
      <c r="D5" s="9"/>
      <c r="E5" s="9"/>
      <c r="F5" s="3" t="s">
        <v>106</v>
      </c>
      <c r="G5" s="60">
        <v>4000</v>
      </c>
      <c r="H5" s="60">
        <v>1</v>
      </c>
      <c r="I5" s="9"/>
      <c r="J5" s="9"/>
      <c r="K5" s="9"/>
      <c r="L5" s="9"/>
      <c r="M5" s="9"/>
      <c r="N5" s="9"/>
      <c r="O5" s="8"/>
    </row>
    <row r="6" spans="1:15" x14ac:dyDescent="0.3">
      <c r="A6" s="6"/>
      <c r="B6" s="78" t="s">
        <v>7</v>
      </c>
      <c r="C6" s="78">
        <v>2217</v>
      </c>
      <c r="D6" s="9"/>
      <c r="E6" s="9"/>
      <c r="F6" s="3" t="s">
        <v>108</v>
      </c>
      <c r="G6" s="60">
        <v>1</v>
      </c>
      <c r="H6" s="9"/>
      <c r="I6" s="9"/>
      <c r="J6" s="9"/>
      <c r="K6" s="9"/>
      <c r="L6" s="9"/>
      <c r="M6" s="9"/>
      <c r="N6" s="9"/>
      <c r="O6" s="8"/>
    </row>
    <row r="7" spans="1:15" x14ac:dyDescent="0.3">
      <c r="A7" s="6"/>
      <c r="B7" s="78" t="s">
        <v>8</v>
      </c>
      <c r="C7" s="78">
        <v>1500</v>
      </c>
      <c r="D7" s="9"/>
      <c r="E7" s="9"/>
      <c r="F7" s="3" t="s">
        <v>109</v>
      </c>
      <c r="G7" s="60" t="b">
        <v>0</v>
      </c>
      <c r="H7" s="9"/>
      <c r="I7" s="9"/>
      <c r="J7" s="9"/>
      <c r="K7" s="9"/>
      <c r="L7" s="9"/>
      <c r="M7" s="9"/>
      <c r="N7" s="9"/>
      <c r="O7" s="8"/>
    </row>
    <row r="8" spans="1:15" x14ac:dyDescent="0.3">
      <c r="A8" s="6"/>
      <c r="B8" s="78" t="s">
        <v>15</v>
      </c>
      <c r="C8" s="78">
        <f>3825</f>
        <v>3825</v>
      </c>
      <c r="D8" s="9"/>
      <c r="E8" s="9"/>
      <c r="F8" s="9"/>
      <c r="G8" s="9"/>
      <c r="H8" s="9"/>
      <c r="I8" s="9"/>
      <c r="J8" s="9"/>
      <c r="K8" s="9"/>
      <c r="L8" s="9"/>
      <c r="M8" s="9"/>
      <c r="N8" s="9"/>
      <c r="O8" s="8"/>
    </row>
    <row r="9" spans="1:15" x14ac:dyDescent="0.3">
      <c r="A9" s="6"/>
      <c r="B9" s="78" t="s">
        <v>47</v>
      </c>
      <c r="C9" s="78">
        <v>40</v>
      </c>
      <c r="D9" s="9"/>
      <c r="E9" s="9"/>
      <c r="F9" s="3" t="s">
        <v>104</v>
      </c>
      <c r="G9" s="86" t="b">
        <f t="array" ref="G9">_xll.U.EVENT(ABS(C6:C10),G5:H5,,,G6,,G7,G14)</f>
        <v>0</v>
      </c>
      <c r="H9" s="9"/>
      <c r="I9" s="9"/>
      <c r="J9" s="9"/>
      <c r="K9" s="9"/>
      <c r="L9" s="9"/>
      <c r="M9" s="9"/>
      <c r="N9" s="9"/>
      <c r="O9" s="8"/>
    </row>
    <row r="10" spans="1:15" x14ac:dyDescent="0.3">
      <c r="A10" s="6"/>
      <c r="B10" s="78" t="s">
        <v>13</v>
      </c>
      <c r="C10" s="78">
        <v>-850</v>
      </c>
      <c r="D10" s="9"/>
      <c r="E10" s="9"/>
      <c r="F10" s="9"/>
      <c r="G10" s="9"/>
      <c r="H10" s="9"/>
      <c r="I10" s="9"/>
      <c r="J10" s="9"/>
      <c r="K10" s="9"/>
      <c r="L10" s="9"/>
      <c r="M10" s="9"/>
      <c r="N10" s="9"/>
      <c r="O10" s="8"/>
    </row>
    <row r="11" spans="1:15" x14ac:dyDescent="0.3">
      <c r="A11" s="9"/>
      <c r="B11" s="9"/>
      <c r="C11" s="9"/>
      <c r="D11" s="9"/>
      <c r="E11" s="9"/>
      <c r="F11" s="3" t="s">
        <v>110</v>
      </c>
      <c r="G11" s="87" t="s">
        <v>111</v>
      </c>
      <c r="H11" s="9"/>
      <c r="I11" s="9"/>
      <c r="J11" s="9"/>
      <c r="K11" s="9"/>
      <c r="L11" s="9"/>
      <c r="M11" s="9"/>
      <c r="N11" s="9"/>
      <c r="O11" s="8"/>
    </row>
    <row r="12" spans="1:15" x14ac:dyDescent="0.3">
      <c r="A12" s="9"/>
      <c r="B12" s="9"/>
      <c r="C12" s="9"/>
      <c r="D12" s="9"/>
      <c r="E12" s="9"/>
      <c r="F12" s="3" t="s">
        <v>113</v>
      </c>
      <c r="G12" s="60" t="s">
        <v>114</v>
      </c>
      <c r="H12" s="9"/>
      <c r="I12" s="9"/>
      <c r="J12" s="9"/>
      <c r="K12" s="9"/>
      <c r="L12" s="9"/>
      <c r="M12" s="9"/>
      <c r="N12" s="9"/>
      <c r="O12" s="8"/>
    </row>
    <row r="13" spans="1:15" x14ac:dyDescent="0.3">
      <c r="A13" s="9"/>
      <c r="B13" s="9"/>
      <c r="C13" s="9"/>
      <c r="D13" s="9"/>
      <c r="E13" s="9"/>
      <c r="H13" s="9"/>
      <c r="I13" s="9"/>
      <c r="J13" s="9"/>
      <c r="K13" s="9"/>
      <c r="L13" s="9"/>
      <c r="M13" s="9"/>
      <c r="N13" s="9"/>
      <c r="O13" s="8"/>
    </row>
    <row r="14" spans="1:15" x14ac:dyDescent="0.3">
      <c r="A14" s="9"/>
      <c r="B14" s="9"/>
      <c r="C14" s="9"/>
      <c r="D14" s="9"/>
      <c r="E14" s="9"/>
      <c r="F14" s="4" t="s">
        <v>112</v>
      </c>
      <c r="G14" s="22" t="s">
        <v>540</v>
      </c>
      <c r="H14" s="9"/>
      <c r="I14" s="9"/>
      <c r="J14" s="9"/>
      <c r="K14" s="9"/>
      <c r="L14" s="9"/>
      <c r="M14" s="9"/>
      <c r="N14" s="9"/>
      <c r="O14" s="8"/>
    </row>
    <row r="15" spans="1:15" x14ac:dyDescent="0.3">
      <c r="A15" s="9"/>
      <c r="B15" s="9"/>
      <c r="C15" s="9"/>
      <c r="D15" s="9"/>
      <c r="E15" s="9"/>
      <c r="F15" s="9"/>
      <c r="G15" s="9"/>
      <c r="H15" s="9"/>
      <c r="I15" s="9"/>
      <c r="J15" s="9"/>
      <c r="K15" s="9"/>
      <c r="L15" s="9"/>
      <c r="M15" s="9"/>
      <c r="N15" s="9"/>
      <c r="O15" s="8"/>
    </row>
    <row r="16" spans="1:15" x14ac:dyDescent="0.3">
      <c r="A16" s="9"/>
      <c r="B16" s="9"/>
      <c r="C16" s="9"/>
      <c r="D16" s="9"/>
      <c r="E16" s="9"/>
      <c r="F16" s="9"/>
      <c r="G16" s="9"/>
      <c r="H16" s="9"/>
      <c r="I16" s="9"/>
      <c r="J16" s="9"/>
      <c r="K16" s="9"/>
      <c r="L16" s="9"/>
      <c r="M16" s="9"/>
      <c r="N16" s="9"/>
      <c r="O16" s="8"/>
    </row>
    <row r="17" spans="1:15" x14ac:dyDescent="0.3">
      <c r="A17" s="9"/>
      <c r="B17" s="9"/>
      <c r="C17" s="9"/>
      <c r="D17" s="9"/>
      <c r="E17" s="9"/>
      <c r="F17" s="9"/>
      <c r="G17" s="9"/>
      <c r="H17" s="9"/>
      <c r="I17" s="9"/>
      <c r="J17" s="9"/>
      <c r="K17" s="9"/>
      <c r="L17" s="9"/>
      <c r="M17" s="9"/>
      <c r="N17" s="9"/>
      <c r="O17" s="8"/>
    </row>
    <row r="18" spans="1:15" x14ac:dyDescent="0.3">
      <c r="A18" s="9"/>
      <c r="B18" s="9"/>
      <c r="C18" s="9"/>
      <c r="D18" s="9"/>
      <c r="E18" s="9"/>
      <c r="F18" s="9"/>
      <c r="G18" s="9"/>
      <c r="H18" s="9"/>
      <c r="I18" s="9"/>
      <c r="J18" s="9"/>
      <c r="K18" s="9"/>
      <c r="L18" s="9"/>
      <c r="M18" s="9"/>
      <c r="N18" s="9"/>
      <c r="O18" s="8"/>
    </row>
    <row r="19" spans="1:15" x14ac:dyDescent="0.3">
      <c r="A19" s="9"/>
      <c r="B19" s="9"/>
      <c r="C19" s="9"/>
      <c r="D19" s="9"/>
      <c r="E19" s="9"/>
      <c r="F19" s="9"/>
      <c r="G19" s="9"/>
      <c r="H19" s="9"/>
      <c r="I19" s="9"/>
      <c r="J19" s="9"/>
      <c r="K19" s="9"/>
      <c r="L19" s="9"/>
      <c r="M19" s="9"/>
      <c r="N19" s="9"/>
      <c r="O19" s="8"/>
    </row>
    <row r="20" spans="1:15" x14ac:dyDescent="0.3">
      <c r="A20" s="9"/>
      <c r="B20" s="9"/>
      <c r="C20" s="9"/>
      <c r="D20" s="9"/>
      <c r="E20" s="9"/>
      <c r="F20" s="9"/>
      <c r="G20" s="9"/>
      <c r="H20" s="9"/>
      <c r="I20" s="9"/>
      <c r="J20" s="9"/>
      <c r="K20" s="9"/>
      <c r="L20" s="9"/>
      <c r="M20" s="9"/>
      <c r="N20" s="9"/>
      <c r="O20" s="8"/>
    </row>
    <row r="21" spans="1:15" x14ac:dyDescent="0.3">
      <c r="A21" s="9"/>
      <c r="B21" s="9"/>
      <c r="C21" s="9"/>
      <c r="D21" s="9"/>
      <c r="E21" s="9"/>
      <c r="F21" s="9"/>
      <c r="G21" s="9"/>
      <c r="H21" s="9"/>
      <c r="I21" s="9"/>
      <c r="J21" s="9"/>
      <c r="K21" s="9"/>
      <c r="L21" s="9"/>
      <c r="M21" s="9"/>
      <c r="N21" s="9"/>
      <c r="O21" s="8"/>
    </row>
    <row r="22" spans="1:15" x14ac:dyDescent="0.3">
      <c r="A22" s="9"/>
      <c r="B22" s="9"/>
      <c r="C22" s="9"/>
      <c r="D22" s="9"/>
      <c r="E22" s="9"/>
      <c r="F22" s="9"/>
      <c r="G22" s="9"/>
      <c r="H22" s="9"/>
      <c r="I22" s="9"/>
      <c r="J22" s="9"/>
      <c r="K22" s="9"/>
      <c r="L22" s="9"/>
      <c r="M22" s="9"/>
      <c r="N22" s="9"/>
      <c r="O22" s="8"/>
    </row>
    <row r="23" spans="1:15" x14ac:dyDescent="0.3">
      <c r="A23" s="9"/>
      <c r="B23" s="9"/>
      <c r="C23" s="9"/>
      <c r="D23" s="9"/>
      <c r="E23" s="9"/>
      <c r="F23" s="9"/>
      <c r="G23" s="9"/>
      <c r="H23" s="9"/>
      <c r="I23" s="9"/>
      <c r="J23" s="9"/>
      <c r="K23" s="9"/>
      <c r="L23" s="9"/>
      <c r="M23" s="9"/>
      <c r="N23" s="9"/>
      <c r="O23" s="8"/>
    </row>
    <row r="24" spans="1:15" x14ac:dyDescent="0.3">
      <c r="A24" s="9"/>
      <c r="B24" s="9"/>
      <c r="C24" s="9"/>
      <c r="D24" s="9"/>
      <c r="E24" s="9"/>
      <c r="F24" s="9"/>
      <c r="G24" s="9"/>
      <c r="H24" s="9"/>
      <c r="I24" s="9"/>
      <c r="J24" s="9"/>
      <c r="K24" s="9"/>
      <c r="L24" s="9"/>
      <c r="M24" s="9"/>
      <c r="N24" s="9"/>
      <c r="O24" s="8"/>
    </row>
    <row r="25" spans="1:15" x14ac:dyDescent="0.3">
      <c r="A25" s="9"/>
      <c r="B25" s="9"/>
      <c r="C25" s="9"/>
      <c r="D25" s="9"/>
      <c r="E25" s="9"/>
      <c r="F25" s="9"/>
      <c r="G25" s="9"/>
      <c r="H25" s="9"/>
      <c r="I25" s="9"/>
      <c r="J25" s="9"/>
      <c r="K25" s="9"/>
      <c r="L25" s="9"/>
      <c r="M25" s="9"/>
      <c r="N25" s="9"/>
      <c r="O25" s="8"/>
    </row>
    <row r="26" spans="1:15" x14ac:dyDescent="0.3">
      <c r="A26" s="6"/>
      <c r="B26" s="9"/>
      <c r="C26" s="9"/>
      <c r="D26" s="9"/>
      <c r="E26" s="9"/>
      <c r="F26" s="9"/>
      <c r="G26" s="9"/>
      <c r="H26" s="9"/>
      <c r="I26" s="9"/>
      <c r="J26" s="9"/>
      <c r="K26" s="9"/>
      <c r="L26" s="9"/>
      <c r="M26" s="9"/>
      <c r="N26" s="9"/>
      <c r="O26" s="8"/>
    </row>
    <row r="27" spans="1:15" x14ac:dyDescent="0.3">
      <c r="A27" s="6"/>
      <c r="B27" s="9"/>
      <c r="C27" s="9"/>
      <c r="D27" s="9"/>
      <c r="E27" s="9"/>
      <c r="F27" s="9"/>
      <c r="G27" s="9"/>
      <c r="H27" s="9"/>
      <c r="I27" s="9"/>
      <c r="J27" s="9"/>
      <c r="K27" s="9"/>
      <c r="L27" s="9"/>
      <c r="M27" s="9"/>
      <c r="N27" s="9"/>
      <c r="O27" s="8"/>
    </row>
    <row r="28" spans="1:15" x14ac:dyDescent="0.3">
      <c r="A28" s="6"/>
      <c r="B28" s="9"/>
      <c r="C28" s="9"/>
      <c r="D28" s="9"/>
      <c r="E28" s="9"/>
      <c r="F28" s="9"/>
      <c r="G28" s="9"/>
      <c r="H28" s="9"/>
      <c r="I28" s="9"/>
      <c r="J28" s="9"/>
      <c r="K28" s="9"/>
      <c r="L28" s="9"/>
      <c r="M28" s="9"/>
      <c r="N28" s="9"/>
      <c r="O28" s="8"/>
    </row>
    <row r="29" spans="1:15" x14ac:dyDescent="0.3">
      <c r="A29" s="6"/>
      <c r="B29" s="9"/>
      <c r="C29" s="9"/>
      <c r="D29" s="9"/>
      <c r="E29" s="9"/>
      <c r="F29" s="3" t="s">
        <v>115</v>
      </c>
      <c r="G29" s="88">
        <v>0.66666666666666663</v>
      </c>
      <c r="H29" s="9"/>
      <c r="I29" s="9"/>
      <c r="J29" s="9"/>
      <c r="K29" s="9"/>
      <c r="L29" s="9"/>
      <c r="M29" s="9"/>
      <c r="N29" s="9"/>
      <c r="O29" s="8"/>
    </row>
    <row r="30" spans="1:15" x14ac:dyDescent="0.3">
      <c r="A30" s="6"/>
      <c r="B30" s="9"/>
      <c r="C30" s="9"/>
      <c r="D30" s="9"/>
      <c r="E30" s="9"/>
      <c r="F30" s="9"/>
      <c r="G30" s="9"/>
      <c r="H30" s="9"/>
      <c r="I30" s="9"/>
      <c r="J30" s="9"/>
      <c r="K30" s="9"/>
      <c r="L30" s="9"/>
      <c r="M30" s="9"/>
      <c r="N30" s="9"/>
      <c r="O30" s="8"/>
    </row>
    <row r="31" spans="1:15" x14ac:dyDescent="0.3">
      <c r="A31" s="6"/>
      <c r="B31" s="9"/>
      <c r="C31" s="9"/>
      <c r="D31" s="9"/>
      <c r="E31" s="9"/>
      <c r="F31" s="3" t="s">
        <v>104</v>
      </c>
      <c r="G31" s="86" t="b" cm="1">
        <f t="array" ref="G31">_xll.U.EVENT(_xll.U.TIME(5),_xll.U.HAPPEND(G29-TRUNC(G29),1),,,{0,0,1},,,G33)</f>
        <v>0</v>
      </c>
      <c r="H31" s="9"/>
      <c r="I31" s="9"/>
      <c r="J31" s="9"/>
      <c r="K31" s="9"/>
      <c r="L31" s="9"/>
      <c r="M31" s="9"/>
      <c r="N31" s="9"/>
      <c r="O31" s="8"/>
    </row>
    <row r="32" spans="1:15" x14ac:dyDescent="0.3">
      <c r="A32" s="6"/>
      <c r="B32" s="9"/>
      <c r="C32" s="9"/>
      <c r="D32" s="9"/>
      <c r="E32" s="9"/>
      <c r="F32" s="9"/>
      <c r="G32" s="9"/>
      <c r="H32" s="9"/>
      <c r="I32" s="9"/>
      <c r="J32" s="9"/>
      <c r="K32" s="9"/>
      <c r="L32" s="9"/>
      <c r="M32" s="9"/>
      <c r="N32" s="9"/>
      <c r="O32" s="8"/>
    </row>
    <row r="33" spans="1:15" x14ac:dyDescent="0.3">
      <c r="A33" s="6"/>
      <c r="B33" s="9"/>
      <c r="C33" s="9"/>
      <c r="D33" s="9"/>
      <c r="E33" s="9"/>
      <c r="F33" s="4" t="s">
        <v>112</v>
      </c>
      <c r="G33" s="22" t="s">
        <v>540</v>
      </c>
      <c r="H33" s="9"/>
      <c r="I33" s="9"/>
      <c r="J33" s="9"/>
      <c r="K33" s="9"/>
      <c r="L33" s="9"/>
      <c r="M33" s="9"/>
      <c r="N33" s="9"/>
      <c r="O33" s="8"/>
    </row>
    <row r="34" spans="1:15" x14ac:dyDescent="0.3">
      <c r="A34" s="6"/>
      <c r="B34" s="9"/>
      <c r="C34" s="9"/>
      <c r="D34" s="9"/>
      <c r="E34" s="9"/>
      <c r="F34" s="9"/>
      <c r="G34" s="9"/>
      <c r="H34" s="9"/>
      <c r="I34" s="9"/>
      <c r="J34" s="9"/>
      <c r="K34" s="9"/>
      <c r="L34" s="9"/>
      <c r="M34" s="9"/>
      <c r="N34" s="9"/>
      <c r="O34" s="8"/>
    </row>
    <row r="35" spans="1:15" x14ac:dyDescent="0.3">
      <c r="A35" s="6"/>
      <c r="B35" s="9"/>
      <c r="C35" s="9"/>
      <c r="D35" s="9"/>
      <c r="E35" s="9"/>
      <c r="F35" s="9"/>
      <c r="G35" s="9"/>
      <c r="H35" s="9"/>
      <c r="I35" s="9"/>
      <c r="J35" s="9"/>
      <c r="K35" s="9"/>
      <c r="L35" s="9"/>
      <c r="M35" s="9"/>
      <c r="N35" s="9"/>
      <c r="O35" s="8"/>
    </row>
    <row r="36" spans="1:15" x14ac:dyDescent="0.3">
      <c r="A36" s="6"/>
      <c r="B36" s="9"/>
      <c r="C36" s="9"/>
      <c r="D36" s="9"/>
      <c r="E36" s="9"/>
      <c r="F36" s="9"/>
      <c r="G36" s="9"/>
      <c r="H36" s="9"/>
      <c r="I36" s="9"/>
      <c r="J36" s="9"/>
      <c r="K36" s="9"/>
      <c r="L36" s="9"/>
      <c r="M36" s="9"/>
      <c r="N36" s="9"/>
      <c r="O36" s="8"/>
    </row>
    <row r="37" spans="1:15" x14ac:dyDescent="0.3">
      <c r="A37" s="6"/>
      <c r="B37" s="9"/>
      <c r="C37" s="9"/>
      <c r="D37" s="9"/>
      <c r="E37" s="9"/>
      <c r="F37" s="9"/>
      <c r="G37" s="9"/>
      <c r="H37" s="9"/>
      <c r="I37" s="9"/>
      <c r="J37" s="9"/>
      <c r="K37" s="9"/>
      <c r="L37" s="9"/>
      <c r="M37" s="9"/>
      <c r="N37" s="9"/>
      <c r="O37" s="8"/>
    </row>
    <row r="38" spans="1:15" x14ac:dyDescent="0.3">
      <c r="A38" s="6"/>
      <c r="B38" s="9"/>
      <c r="C38" s="9"/>
      <c r="D38" s="9"/>
      <c r="E38" s="9"/>
      <c r="F38" s="9"/>
      <c r="G38" s="9"/>
      <c r="H38" s="9"/>
      <c r="I38" s="9"/>
      <c r="J38" s="9"/>
      <c r="K38" s="9"/>
      <c r="L38" s="9"/>
      <c r="M38" s="9"/>
      <c r="N38" s="9"/>
      <c r="O38" s="8"/>
    </row>
    <row r="39" spans="1:15" x14ac:dyDescent="0.3">
      <c r="A39" s="6"/>
      <c r="B39" s="9"/>
      <c r="C39" s="9"/>
      <c r="D39" s="9"/>
      <c r="E39" s="9"/>
      <c r="F39" s="9"/>
      <c r="G39" s="9"/>
      <c r="H39" s="9"/>
      <c r="I39" s="9"/>
      <c r="J39" s="9"/>
      <c r="K39" s="9"/>
      <c r="L39" s="9"/>
      <c r="M39" s="9"/>
      <c r="N39" s="9"/>
      <c r="O39" s="8"/>
    </row>
    <row r="40" spans="1:15" x14ac:dyDescent="0.3">
      <c r="A40" s="6"/>
      <c r="B40" s="9"/>
      <c r="C40" s="9"/>
      <c r="D40" s="9"/>
      <c r="E40" s="9"/>
      <c r="F40" s="9"/>
      <c r="G40" s="9"/>
      <c r="H40" s="9"/>
      <c r="I40" s="9"/>
      <c r="J40" s="9"/>
      <c r="K40" s="9"/>
      <c r="L40" s="9"/>
      <c r="M40" s="9"/>
      <c r="N40" s="9"/>
      <c r="O40" s="8"/>
    </row>
    <row r="41" spans="1:15" x14ac:dyDescent="0.3">
      <c r="A41" s="6"/>
      <c r="B41" s="9"/>
      <c r="C41" s="9"/>
      <c r="D41" s="9"/>
      <c r="E41" s="9"/>
      <c r="F41" s="9"/>
      <c r="G41" s="9"/>
      <c r="H41" s="9"/>
      <c r="I41" s="9"/>
      <c r="J41" s="9"/>
      <c r="K41" s="9"/>
      <c r="L41" s="9"/>
      <c r="M41" s="9"/>
      <c r="N41" s="9"/>
      <c r="O41" s="8"/>
    </row>
    <row r="42" spans="1:15" x14ac:dyDescent="0.3">
      <c r="A42" s="6"/>
      <c r="B42" s="9"/>
      <c r="C42" s="9"/>
      <c r="D42" s="9"/>
      <c r="E42" s="9"/>
      <c r="F42" s="9"/>
      <c r="G42" s="9"/>
      <c r="H42" s="9"/>
      <c r="I42" s="9"/>
      <c r="J42" s="9"/>
      <c r="K42" s="9"/>
      <c r="L42" s="9"/>
      <c r="M42" s="9"/>
      <c r="N42" s="9"/>
      <c r="O42" s="8"/>
    </row>
    <row r="43" spans="1:15" x14ac:dyDescent="0.3">
      <c r="A43" s="6"/>
      <c r="B43" s="9"/>
      <c r="C43" s="9"/>
      <c r="D43" s="9"/>
      <c r="E43" s="9"/>
      <c r="F43" s="9"/>
      <c r="G43" s="9"/>
      <c r="H43" s="9"/>
      <c r="I43" s="9"/>
      <c r="J43" s="9"/>
      <c r="K43" s="9"/>
      <c r="L43" s="9"/>
      <c r="M43" s="9"/>
      <c r="N43" s="9"/>
      <c r="O43" s="8"/>
    </row>
    <row r="44" spans="1:15" x14ac:dyDescent="0.3">
      <c r="A44" s="6"/>
      <c r="B44" s="9"/>
      <c r="C44" s="9"/>
      <c r="D44" s="9"/>
      <c r="E44" s="9"/>
      <c r="F44" s="9"/>
      <c r="G44" s="9"/>
      <c r="H44" s="9"/>
      <c r="I44" s="9"/>
      <c r="J44" s="9"/>
      <c r="K44" s="9"/>
      <c r="L44" s="9"/>
      <c r="M44" s="9"/>
      <c r="N44" s="9"/>
      <c r="O44" s="8"/>
    </row>
    <row r="45" spans="1:15" x14ac:dyDescent="0.3">
      <c r="A45" s="6"/>
      <c r="B45" s="9"/>
      <c r="C45" s="9"/>
      <c r="D45" s="9"/>
      <c r="E45" s="9"/>
      <c r="F45" s="9"/>
      <c r="G45" s="9"/>
      <c r="H45" s="9"/>
      <c r="I45" s="9"/>
      <c r="J45" s="9"/>
      <c r="K45" s="9"/>
      <c r="L45" s="9"/>
      <c r="M45" s="9"/>
      <c r="N45" s="9"/>
      <c r="O45" s="8"/>
    </row>
    <row r="46" spans="1:15" x14ac:dyDescent="0.3">
      <c r="A46" s="6"/>
      <c r="B46" s="9"/>
      <c r="C46" s="9"/>
      <c r="D46" s="9"/>
      <c r="E46" s="9"/>
      <c r="F46" s="9"/>
      <c r="G46" s="9"/>
      <c r="H46" s="9"/>
      <c r="I46" s="9"/>
      <c r="J46" s="9"/>
      <c r="K46" s="9"/>
      <c r="L46" s="9"/>
      <c r="M46" s="9"/>
      <c r="N46" s="9"/>
      <c r="O46" s="8"/>
    </row>
    <row r="47" spans="1:15" x14ac:dyDescent="0.3">
      <c r="A47" s="6"/>
      <c r="B47" s="9"/>
      <c r="C47" s="9"/>
      <c r="D47" s="9"/>
      <c r="E47" s="9"/>
      <c r="F47" s="9"/>
      <c r="G47" s="9"/>
      <c r="H47" s="9"/>
      <c r="I47" s="9"/>
      <c r="J47" s="9"/>
      <c r="K47" s="9"/>
      <c r="L47" s="9"/>
      <c r="M47" s="9"/>
      <c r="N47" s="9"/>
      <c r="O47" s="8"/>
    </row>
    <row r="48" spans="1:15" x14ac:dyDescent="0.3">
      <c r="A48" s="6"/>
      <c r="B48" s="9"/>
      <c r="C48" s="9"/>
      <c r="D48" s="9"/>
      <c r="E48" s="9"/>
      <c r="F48" s="9"/>
      <c r="G48" s="9"/>
      <c r="H48" s="9"/>
      <c r="I48" s="9"/>
      <c r="J48" s="9"/>
      <c r="K48" s="9"/>
      <c r="L48" s="9"/>
      <c r="M48" s="9"/>
      <c r="N48" s="9"/>
      <c r="O48" s="8"/>
    </row>
    <row r="49" spans="1:15" x14ac:dyDescent="0.3">
      <c r="A49" s="6"/>
      <c r="B49" s="9"/>
      <c r="C49" s="9"/>
      <c r="D49" s="9"/>
      <c r="E49" s="9"/>
      <c r="F49" s="9"/>
      <c r="G49" s="9"/>
      <c r="H49" s="9"/>
      <c r="I49" s="9"/>
      <c r="J49" s="9"/>
      <c r="K49" s="9"/>
      <c r="L49" s="9"/>
      <c r="M49" s="9"/>
      <c r="N49" s="9"/>
      <c r="O49" s="8"/>
    </row>
    <row r="50" spans="1:15" x14ac:dyDescent="0.3">
      <c r="A50" s="6"/>
      <c r="B50" s="9"/>
      <c r="C50" s="9"/>
      <c r="D50" s="9"/>
      <c r="E50" s="9"/>
      <c r="F50" s="9"/>
      <c r="G50" s="9"/>
      <c r="H50" s="9"/>
      <c r="I50" s="9"/>
      <c r="J50" s="9"/>
      <c r="K50" s="9"/>
      <c r="L50" s="9"/>
      <c r="M50" s="9"/>
      <c r="N50" s="9"/>
      <c r="O50" s="8"/>
    </row>
    <row r="51" spans="1:15" x14ac:dyDescent="0.3">
      <c r="A51" s="6"/>
      <c r="B51" s="9"/>
      <c r="C51" s="9"/>
      <c r="D51" s="9"/>
      <c r="E51" s="9"/>
      <c r="F51" s="9"/>
      <c r="G51" s="9"/>
      <c r="H51" s="9"/>
      <c r="I51" s="9"/>
      <c r="J51" s="9"/>
      <c r="K51" s="9"/>
      <c r="L51" s="9"/>
      <c r="M51" s="9"/>
      <c r="N51" s="9"/>
      <c r="O51" s="8"/>
    </row>
    <row r="52" spans="1:15" x14ac:dyDescent="0.3">
      <c r="A52" s="6"/>
      <c r="B52" s="9"/>
      <c r="C52" s="9"/>
      <c r="D52" s="9"/>
      <c r="E52" s="9"/>
      <c r="F52" s="9"/>
      <c r="G52" s="9"/>
      <c r="H52" s="9"/>
      <c r="I52" s="9"/>
      <c r="J52" s="9"/>
      <c r="K52" s="9"/>
      <c r="L52" s="9"/>
      <c r="M52" s="9"/>
      <c r="N52" s="9"/>
      <c r="O52" s="8"/>
    </row>
    <row r="53" spans="1:15" x14ac:dyDescent="0.3">
      <c r="A53" s="6"/>
      <c r="B53" s="9"/>
      <c r="C53" s="9"/>
      <c r="D53" s="9"/>
      <c r="E53" s="9"/>
      <c r="F53" s="9"/>
      <c r="G53" s="9"/>
      <c r="H53" s="9"/>
      <c r="I53" s="9"/>
      <c r="J53" s="9"/>
      <c r="K53" s="9"/>
      <c r="L53" s="9"/>
      <c r="M53" s="9"/>
      <c r="N53" s="9"/>
      <c r="O53" s="8"/>
    </row>
    <row r="54" spans="1:15" ht="15" thickBot="1" x14ac:dyDescent="0.35">
      <c r="A54" s="10"/>
      <c r="B54" s="11"/>
      <c r="C54" s="11"/>
      <c r="D54" s="11"/>
      <c r="E54" s="11"/>
      <c r="F54" s="11"/>
      <c r="G54" s="11"/>
      <c r="H54" s="11"/>
      <c r="I54" s="11"/>
      <c r="J54" s="11"/>
      <c r="K54" s="11"/>
      <c r="L54" s="11"/>
      <c r="M54" s="11"/>
      <c r="N54" s="11"/>
      <c r="O54" s="12"/>
    </row>
  </sheetData>
  <mergeCells count="1">
    <mergeCell ref="C1:D1"/>
  </mergeCells>
  <hyperlinks>
    <hyperlink ref="G11" r:id="rId1" xr:uid="{00000000-0004-0000-0500-000000000000}"/>
  </hyperlinks>
  <pageMargins left="0.7" right="0.7" top="0.75" bottom="0.75" header="0.3" footer="0.3"/>
  <pageSetup orientation="portrait"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J54"/>
  <sheetViews>
    <sheetView workbookViewId="0">
      <pane ySplit="1" topLeftCell="A2" activePane="bottomLeft" state="frozen"/>
      <selection pane="bottomLeft" activeCell="A2" sqref="A2"/>
    </sheetView>
  </sheetViews>
  <sheetFormatPr defaultRowHeight="14.4" x14ac:dyDescent="0.3"/>
  <cols>
    <col min="2" max="2" width="23.88671875" customWidth="1"/>
    <col min="3" max="4" width="25.88671875" customWidth="1"/>
    <col min="5" max="5" width="17.6640625" customWidth="1"/>
    <col min="6" max="8" width="16.88671875" customWidth="1"/>
  </cols>
  <sheetData>
    <row r="1" spans="1:10" ht="34.5" customHeight="1" thickBot="1" x14ac:dyDescent="0.35">
      <c r="A1" s="146" t="s">
        <v>255</v>
      </c>
      <c r="B1" s="207" t="e" vm="1">
        <v>#VALUE!</v>
      </c>
      <c r="C1" s="214" t="s">
        <v>92</v>
      </c>
      <c r="D1" s="215"/>
      <c r="E1" s="25"/>
      <c r="F1" s="5"/>
      <c r="G1" s="5"/>
      <c r="H1" s="5"/>
      <c r="I1" s="5"/>
      <c r="J1" s="7"/>
    </row>
    <row r="2" spans="1:10" ht="15" customHeight="1" x14ac:dyDescent="0.3">
      <c r="A2" s="6"/>
      <c r="B2" s="13"/>
      <c r="C2" s="13"/>
      <c r="D2" s="9"/>
      <c r="E2" s="9"/>
      <c r="F2" s="9"/>
      <c r="G2" s="9"/>
      <c r="H2" s="9"/>
      <c r="I2" s="9"/>
      <c r="J2" s="8"/>
    </row>
    <row r="3" spans="1:10" x14ac:dyDescent="0.3">
      <c r="A3" s="6"/>
      <c r="B3" s="3" t="s">
        <v>2</v>
      </c>
      <c r="C3" s="16" t="s">
        <v>18</v>
      </c>
      <c r="D3" s="9"/>
      <c r="E3" s="9"/>
      <c r="F3" s="9"/>
      <c r="G3" s="9"/>
      <c r="H3" s="9"/>
      <c r="I3" s="9"/>
      <c r="J3" s="8"/>
    </row>
    <row r="4" spans="1:10" x14ac:dyDescent="0.3">
      <c r="A4" s="6"/>
      <c r="B4" s="3" t="s">
        <v>3</v>
      </c>
      <c r="C4" s="16" t="s">
        <v>93</v>
      </c>
      <c r="D4" s="9"/>
      <c r="E4" s="9"/>
      <c r="F4" s="9"/>
      <c r="G4" s="9"/>
      <c r="H4" s="9"/>
      <c r="I4" s="9"/>
      <c r="J4" s="8"/>
    </row>
    <row r="5" spans="1:10" x14ac:dyDescent="0.3">
      <c r="A5" s="6"/>
      <c r="B5" s="4" t="s">
        <v>9</v>
      </c>
      <c r="C5" s="22" cm="1">
        <f t="array" ref="C5">_xll.U.DO(_xll.U.PUBLISH(C3,C4,_xll.U.REGION(B7:D7)),_xll.U.NOW(5))</f>
        <v>46072.453704004627</v>
      </c>
      <c r="D5" s="9"/>
      <c r="E5" s="9"/>
      <c r="F5" s="9"/>
      <c r="G5" s="9"/>
      <c r="H5" s="9"/>
      <c r="I5" s="9"/>
      <c r="J5" s="8"/>
    </row>
    <row r="6" spans="1:10" x14ac:dyDescent="0.3">
      <c r="A6" s="6"/>
      <c r="B6" s="9"/>
      <c r="C6" s="9"/>
      <c r="D6" s="9"/>
      <c r="E6" s="9"/>
      <c r="F6" s="9"/>
      <c r="G6" s="9"/>
      <c r="H6" s="9"/>
      <c r="I6" s="9"/>
      <c r="J6" s="8"/>
    </row>
    <row r="7" spans="1:10" x14ac:dyDescent="0.3">
      <c r="A7" s="6"/>
      <c r="B7" s="20" t="s">
        <v>1</v>
      </c>
      <c r="C7" s="20" t="s">
        <v>94</v>
      </c>
      <c r="D7" s="20" t="s">
        <v>95</v>
      </c>
      <c r="E7" s="9"/>
      <c r="F7" s="9"/>
      <c r="G7" s="9"/>
      <c r="H7" s="9"/>
      <c r="I7" s="9"/>
      <c r="J7" s="8"/>
    </row>
    <row r="8" spans="1:10" x14ac:dyDescent="0.3">
      <c r="A8" s="6"/>
      <c r="B8" s="78" t="s">
        <v>8</v>
      </c>
      <c r="C8" s="79" t="b">
        <v>1</v>
      </c>
      <c r="D8" s="82">
        <v>43084</v>
      </c>
      <c r="E8" s="9"/>
      <c r="F8" s="9"/>
      <c r="G8" s="9"/>
      <c r="H8" s="9"/>
      <c r="I8" s="9"/>
      <c r="J8" s="8"/>
    </row>
    <row r="9" spans="1:10" x14ac:dyDescent="0.3">
      <c r="A9" s="6"/>
      <c r="B9" s="78" t="s">
        <v>7</v>
      </c>
      <c r="C9" s="79" t="b">
        <v>0</v>
      </c>
      <c r="D9" s="82">
        <v>43084</v>
      </c>
      <c r="E9" s="9"/>
      <c r="F9" s="9"/>
      <c r="G9" s="9"/>
      <c r="H9" s="9"/>
      <c r="I9" s="9"/>
      <c r="J9" s="8"/>
    </row>
    <row r="10" spans="1:10" x14ac:dyDescent="0.3">
      <c r="A10" s="6"/>
      <c r="B10" s="78" t="s">
        <v>96</v>
      </c>
      <c r="C10" s="79" t="b">
        <v>1</v>
      </c>
      <c r="D10" s="82">
        <v>43084</v>
      </c>
      <c r="E10" s="9"/>
      <c r="F10" s="9"/>
      <c r="G10" s="9"/>
      <c r="H10" s="9"/>
      <c r="I10" s="9"/>
      <c r="J10" s="8"/>
    </row>
    <row r="11" spans="1:10" x14ac:dyDescent="0.3">
      <c r="A11" s="6"/>
      <c r="B11" s="78" t="s">
        <v>5</v>
      </c>
      <c r="C11" s="79"/>
      <c r="D11" s="82" t="s">
        <v>5</v>
      </c>
      <c r="E11" s="9"/>
      <c r="F11" s="9"/>
      <c r="G11" s="9"/>
      <c r="H11" s="9"/>
      <c r="I11" s="9"/>
      <c r="J11" s="8"/>
    </row>
    <row r="12" spans="1:10" x14ac:dyDescent="0.3">
      <c r="A12" s="6"/>
      <c r="B12" s="78" t="s">
        <v>5</v>
      </c>
      <c r="C12" s="79" t="s">
        <v>5</v>
      </c>
      <c r="D12" s="82" t="s">
        <v>5</v>
      </c>
      <c r="E12" s="9"/>
      <c r="F12" s="9"/>
      <c r="G12" s="9"/>
      <c r="H12" s="9"/>
      <c r="I12" s="9"/>
      <c r="J12" s="8"/>
    </row>
    <row r="13" spans="1:10" x14ac:dyDescent="0.3">
      <c r="A13" s="6"/>
      <c r="B13" s="78"/>
      <c r="C13" s="79"/>
      <c r="D13" s="82"/>
      <c r="E13" s="9"/>
      <c r="F13" s="9"/>
      <c r="G13" s="9"/>
      <c r="H13" s="9"/>
      <c r="I13" s="9"/>
      <c r="J13" s="8"/>
    </row>
    <row r="14" spans="1:10" x14ac:dyDescent="0.3">
      <c r="A14" s="6"/>
      <c r="B14" s="78"/>
      <c r="C14" s="79"/>
      <c r="D14" s="82"/>
      <c r="E14" s="9"/>
      <c r="F14" s="9"/>
      <c r="G14" s="9"/>
      <c r="H14" s="9"/>
      <c r="I14" s="9"/>
      <c r="J14" s="8"/>
    </row>
    <row r="15" spans="1:10" x14ac:dyDescent="0.3">
      <c r="A15" s="6"/>
      <c r="B15" s="78"/>
      <c r="C15" s="79"/>
      <c r="D15" s="82"/>
      <c r="E15" s="9"/>
      <c r="F15" s="9"/>
      <c r="G15" s="9"/>
      <c r="H15" s="9"/>
      <c r="I15" s="9"/>
      <c r="J15" s="8"/>
    </row>
    <row r="16" spans="1:10" x14ac:dyDescent="0.3">
      <c r="A16" s="6"/>
      <c r="B16" s="78"/>
      <c r="C16" s="79"/>
      <c r="D16" s="82"/>
      <c r="E16" s="9"/>
      <c r="F16" s="9"/>
      <c r="G16" s="9"/>
      <c r="H16" s="9"/>
      <c r="I16" s="9"/>
      <c r="J16" s="8"/>
    </row>
    <row r="17" spans="1:10" x14ac:dyDescent="0.3">
      <c r="A17" s="6"/>
      <c r="B17" s="78"/>
      <c r="C17" s="79"/>
      <c r="D17" s="82"/>
      <c r="E17" s="9"/>
      <c r="F17" s="9"/>
      <c r="G17" s="9"/>
      <c r="H17" s="9"/>
      <c r="I17" s="9"/>
      <c r="J17" s="8"/>
    </row>
    <row r="18" spans="1:10" x14ac:dyDescent="0.3">
      <c r="A18" s="6"/>
      <c r="B18" s="78"/>
      <c r="C18" s="79"/>
      <c r="D18" s="82"/>
      <c r="E18" s="9"/>
      <c r="F18" s="9"/>
      <c r="G18" s="9"/>
      <c r="H18" s="9"/>
      <c r="I18" s="9"/>
      <c r="J18" s="8"/>
    </row>
    <row r="19" spans="1:10" x14ac:dyDescent="0.3">
      <c r="A19" s="6"/>
      <c r="B19" s="78"/>
      <c r="C19" s="79"/>
      <c r="D19" s="82"/>
      <c r="E19" s="9"/>
      <c r="F19" s="9"/>
      <c r="G19" s="9"/>
      <c r="H19" s="9"/>
      <c r="I19" s="9"/>
      <c r="J19" s="8"/>
    </row>
    <row r="20" spans="1:10" x14ac:dyDescent="0.3">
      <c r="A20" s="6"/>
      <c r="B20" s="78"/>
      <c r="C20" s="79"/>
      <c r="D20" s="82"/>
      <c r="E20" s="9"/>
      <c r="F20" s="9"/>
      <c r="G20" s="9"/>
      <c r="H20" s="9"/>
      <c r="I20" s="9"/>
      <c r="J20" s="8"/>
    </row>
    <row r="21" spans="1:10" x14ac:dyDescent="0.3">
      <c r="A21" s="6"/>
      <c r="B21" s="78"/>
      <c r="C21" s="79"/>
      <c r="D21" s="82"/>
      <c r="E21" s="9"/>
      <c r="F21" s="9"/>
      <c r="G21" s="9"/>
      <c r="H21" s="9"/>
      <c r="I21" s="9"/>
      <c r="J21" s="8"/>
    </row>
    <row r="22" spans="1:10" x14ac:dyDescent="0.3">
      <c r="A22" s="6"/>
      <c r="B22" s="78" t="s">
        <v>5</v>
      </c>
      <c r="C22" s="79" t="s">
        <v>5</v>
      </c>
      <c r="D22" s="82" t="s">
        <v>5</v>
      </c>
      <c r="E22" s="9"/>
      <c r="F22" s="9"/>
      <c r="G22" s="9"/>
      <c r="H22" s="9"/>
      <c r="I22" s="9"/>
      <c r="J22" s="8"/>
    </row>
    <row r="23" spans="1:10" x14ac:dyDescent="0.3">
      <c r="A23" s="6"/>
      <c r="B23" s="78" t="s">
        <v>5</v>
      </c>
      <c r="C23" s="79" t="s">
        <v>5</v>
      </c>
      <c r="D23" s="82" t="s">
        <v>5</v>
      </c>
      <c r="E23" s="9"/>
      <c r="F23" s="9"/>
      <c r="G23" s="9"/>
      <c r="H23" s="9"/>
      <c r="I23" s="9"/>
      <c r="J23" s="8"/>
    </row>
    <row r="24" spans="1:10" x14ac:dyDescent="0.3">
      <c r="A24" s="6"/>
      <c r="B24" s="78" t="s">
        <v>5</v>
      </c>
      <c r="C24" s="79" t="s">
        <v>5</v>
      </c>
      <c r="D24" s="82" t="s">
        <v>5</v>
      </c>
      <c r="E24" s="9"/>
      <c r="F24" s="9"/>
      <c r="G24" s="9"/>
      <c r="H24" s="9"/>
      <c r="I24" s="9"/>
      <c r="J24" s="8"/>
    </row>
    <row r="25" spans="1:10" x14ac:dyDescent="0.3">
      <c r="A25" s="6"/>
      <c r="B25" s="9" t="s">
        <v>5</v>
      </c>
      <c r="C25" s="9" t="s">
        <v>5</v>
      </c>
      <c r="D25" s="9" t="s">
        <v>5</v>
      </c>
      <c r="E25" s="9"/>
      <c r="F25" s="9"/>
      <c r="G25" s="9"/>
      <c r="H25" s="9"/>
      <c r="I25" s="9"/>
      <c r="J25" s="8"/>
    </row>
    <row r="26" spans="1:10" x14ac:dyDescent="0.3">
      <c r="A26" s="6"/>
      <c r="B26" s="9"/>
      <c r="C26" s="9"/>
      <c r="D26" s="9"/>
      <c r="E26" s="9"/>
      <c r="F26" s="9"/>
      <c r="G26" s="9"/>
      <c r="H26" s="9"/>
      <c r="I26" s="9"/>
      <c r="J26" s="8"/>
    </row>
    <row r="27" spans="1:10" x14ac:dyDescent="0.3">
      <c r="A27" s="6"/>
      <c r="B27" s="9"/>
      <c r="C27" s="9"/>
      <c r="D27" s="9"/>
      <c r="E27" s="9"/>
      <c r="F27" s="9"/>
      <c r="G27" s="9"/>
      <c r="H27" s="9"/>
      <c r="I27" s="9"/>
      <c r="J27" s="8"/>
    </row>
    <row r="28" spans="1:10" x14ac:dyDescent="0.3">
      <c r="A28" s="6"/>
      <c r="B28" s="9"/>
      <c r="C28" s="9"/>
      <c r="D28" s="9"/>
      <c r="E28" s="9"/>
      <c r="F28" s="9"/>
      <c r="G28" s="9"/>
      <c r="H28" s="9"/>
      <c r="I28" s="9"/>
      <c r="J28" s="8"/>
    </row>
    <row r="29" spans="1:10" x14ac:dyDescent="0.3">
      <c r="A29" s="6"/>
      <c r="B29" s="9"/>
      <c r="C29" s="9"/>
      <c r="D29" s="9"/>
      <c r="E29" s="9"/>
      <c r="F29" s="9"/>
      <c r="G29" s="9"/>
      <c r="H29" s="9"/>
      <c r="I29" s="9"/>
      <c r="J29" s="8"/>
    </row>
    <row r="30" spans="1:10" x14ac:dyDescent="0.3">
      <c r="A30" s="6"/>
      <c r="B30" s="9"/>
      <c r="C30" s="9"/>
      <c r="D30" s="9"/>
      <c r="E30" s="9"/>
      <c r="F30" s="9"/>
      <c r="G30" s="9"/>
      <c r="H30" s="9"/>
      <c r="I30" s="9"/>
      <c r="J30" s="8"/>
    </row>
    <row r="31" spans="1:10" x14ac:dyDescent="0.3">
      <c r="A31" s="6"/>
      <c r="B31" s="9"/>
      <c r="C31" s="9"/>
      <c r="D31" s="9"/>
      <c r="E31" s="9"/>
      <c r="F31" s="9"/>
      <c r="G31" s="9"/>
      <c r="H31" s="9"/>
      <c r="I31" s="9"/>
      <c r="J31" s="8"/>
    </row>
    <row r="32" spans="1:10" x14ac:dyDescent="0.3">
      <c r="A32" s="6"/>
      <c r="B32" s="4" t="s">
        <v>10</v>
      </c>
      <c r="C32" s="15" t="str" cm="1">
        <f t="array" ref="C32">_xll.U.SUBSCRIBE(C3,C4)</f>
        <v>UPTICK/EQUITIES/REF_DATA | 2026-02-19 10:53:05.170</v>
      </c>
      <c r="D32" s="9"/>
      <c r="E32" s="9"/>
      <c r="F32" s="9"/>
      <c r="G32" s="9"/>
      <c r="H32" s="9"/>
      <c r="I32" s="9"/>
      <c r="J32" s="8"/>
    </row>
    <row r="33" spans="1:10" x14ac:dyDescent="0.3">
      <c r="A33" s="6"/>
      <c r="B33" s="9"/>
      <c r="C33" s="9"/>
      <c r="D33" s="9"/>
      <c r="E33" s="9"/>
      <c r="F33" s="9"/>
      <c r="G33" s="9"/>
      <c r="H33" s="9"/>
      <c r="I33" s="9"/>
      <c r="J33" s="8"/>
    </row>
    <row r="34" spans="1:10" x14ac:dyDescent="0.3">
      <c r="A34" s="6"/>
      <c r="B34" s="83" t="str">
        <f t="array" ref="B34:D51">_xll.U.PAD(C32)</f>
        <v>Symbol</v>
      </c>
      <c r="C34" s="83" t="str">
        <v>Dividends</v>
      </c>
      <c r="D34" s="83" t="str">
        <v>Next Option Expiry</v>
      </c>
      <c r="E34" s="9"/>
      <c r="F34" s="9"/>
      <c r="G34" s="9"/>
      <c r="H34" s="9"/>
      <c r="I34" s="9"/>
      <c r="J34" s="8"/>
    </row>
    <row r="35" spans="1:10" x14ac:dyDescent="0.3">
      <c r="A35" s="6"/>
      <c r="B35" s="84" t="str">
        <v>IBM</v>
      </c>
      <c r="C35" s="84" t="b">
        <v>1</v>
      </c>
      <c r="D35" s="85">
        <v>43084</v>
      </c>
      <c r="E35" s="9"/>
      <c r="F35" s="9"/>
      <c r="G35" s="9"/>
      <c r="H35" s="9"/>
      <c r="I35" s="9"/>
      <c r="J35" s="8"/>
    </row>
    <row r="36" spans="1:10" x14ac:dyDescent="0.3">
      <c r="A36" s="6"/>
      <c r="B36" s="84" t="str">
        <v>AAPL</v>
      </c>
      <c r="C36" s="84" t="b">
        <v>0</v>
      </c>
      <c r="D36" s="85">
        <v>43084</v>
      </c>
      <c r="E36" s="9"/>
      <c r="F36" s="9"/>
      <c r="G36" s="9"/>
      <c r="H36" s="9"/>
      <c r="I36" s="9"/>
      <c r="J36" s="8"/>
    </row>
    <row r="37" spans="1:10" x14ac:dyDescent="0.3">
      <c r="A37" s="6"/>
      <c r="B37" s="84" t="str">
        <v>C</v>
      </c>
      <c r="C37" s="84" t="b">
        <v>1</v>
      </c>
      <c r="D37" s="85">
        <v>43084</v>
      </c>
      <c r="E37" s="9"/>
      <c r="F37" s="9"/>
      <c r="G37" s="9"/>
      <c r="H37" s="9"/>
      <c r="I37" s="9"/>
      <c r="J37" s="8"/>
    </row>
    <row r="38" spans="1:10" x14ac:dyDescent="0.3">
      <c r="A38" s="6"/>
      <c r="B38" s="84" t="str">
        <v/>
      </c>
      <c r="C38" s="84" t="str">
        <v/>
      </c>
      <c r="D38" s="85" t="str">
        <v/>
      </c>
      <c r="E38" s="9"/>
      <c r="F38" s="9"/>
      <c r="G38" s="9"/>
      <c r="H38" s="9"/>
      <c r="I38" s="9"/>
      <c r="J38" s="8"/>
    </row>
    <row r="39" spans="1:10" x14ac:dyDescent="0.3">
      <c r="A39" s="6"/>
      <c r="B39" s="84" t="str">
        <v/>
      </c>
      <c r="C39" s="84" t="str">
        <v/>
      </c>
      <c r="D39" s="85" t="str">
        <v/>
      </c>
      <c r="E39" s="9"/>
      <c r="F39" s="9"/>
      <c r="G39" s="9"/>
      <c r="H39" s="9"/>
      <c r="I39" s="9"/>
      <c r="J39" s="8"/>
    </row>
    <row r="40" spans="1:10" x14ac:dyDescent="0.3">
      <c r="A40" s="6"/>
      <c r="B40" s="84" t="str">
        <v/>
      </c>
      <c r="C40" s="84" t="str">
        <v/>
      </c>
      <c r="D40" s="85" t="str">
        <v/>
      </c>
      <c r="E40" s="9"/>
      <c r="F40" s="9"/>
      <c r="G40" s="9"/>
      <c r="H40" s="9"/>
      <c r="I40" s="9"/>
      <c r="J40" s="8"/>
    </row>
    <row r="41" spans="1:10" x14ac:dyDescent="0.3">
      <c r="A41" s="6"/>
      <c r="B41" s="84" t="str">
        <v/>
      </c>
      <c r="C41" s="84" t="str">
        <v/>
      </c>
      <c r="D41" s="85" t="str">
        <v/>
      </c>
      <c r="E41" s="9"/>
      <c r="F41" s="9"/>
      <c r="G41" s="9"/>
      <c r="H41" s="9"/>
      <c r="I41" s="9"/>
      <c r="J41" s="8"/>
    </row>
    <row r="42" spans="1:10" x14ac:dyDescent="0.3">
      <c r="A42" s="6"/>
      <c r="B42" s="84" t="str">
        <v/>
      </c>
      <c r="C42" s="84" t="str">
        <v/>
      </c>
      <c r="D42" s="85" t="str">
        <v/>
      </c>
      <c r="E42" s="9"/>
      <c r="F42" s="9"/>
      <c r="G42" s="9"/>
      <c r="H42" s="9"/>
      <c r="I42" s="9"/>
      <c r="J42" s="8"/>
    </row>
    <row r="43" spans="1:10" x14ac:dyDescent="0.3">
      <c r="A43" s="6"/>
      <c r="B43" s="84" t="str">
        <v/>
      </c>
      <c r="C43" s="84" t="str">
        <v/>
      </c>
      <c r="D43" s="85" t="str">
        <v/>
      </c>
      <c r="E43" s="9"/>
      <c r="F43" s="9"/>
      <c r="G43" s="9"/>
      <c r="H43" s="9"/>
      <c r="I43" s="9"/>
      <c r="J43" s="8"/>
    </row>
    <row r="44" spans="1:10" x14ac:dyDescent="0.3">
      <c r="A44" s="6"/>
      <c r="B44" s="84" t="str">
        <v/>
      </c>
      <c r="C44" s="84" t="str">
        <v/>
      </c>
      <c r="D44" s="85" t="str">
        <v/>
      </c>
      <c r="E44" s="9"/>
      <c r="F44" s="9"/>
      <c r="G44" s="9"/>
      <c r="H44" s="9"/>
      <c r="I44" s="9"/>
      <c r="J44" s="8"/>
    </row>
    <row r="45" spans="1:10" x14ac:dyDescent="0.3">
      <c r="A45" s="6"/>
      <c r="B45" s="84" t="str">
        <v/>
      </c>
      <c r="C45" s="84" t="str">
        <v/>
      </c>
      <c r="D45" s="85" t="str">
        <v/>
      </c>
      <c r="E45" s="9"/>
      <c r="F45" s="9"/>
      <c r="G45" s="9"/>
      <c r="H45" s="9"/>
      <c r="I45" s="9"/>
      <c r="J45" s="8"/>
    </row>
    <row r="46" spans="1:10" x14ac:dyDescent="0.3">
      <c r="A46" s="6"/>
      <c r="B46" s="84" t="str">
        <v/>
      </c>
      <c r="C46" s="84" t="str">
        <v/>
      </c>
      <c r="D46" s="85" t="str">
        <v/>
      </c>
      <c r="E46" s="9"/>
      <c r="F46" s="9"/>
      <c r="G46" s="9"/>
      <c r="H46" s="9"/>
      <c r="I46" s="9"/>
      <c r="J46" s="8"/>
    </row>
    <row r="47" spans="1:10" x14ac:dyDescent="0.3">
      <c r="A47" s="6"/>
      <c r="B47" s="84" t="str">
        <v/>
      </c>
      <c r="C47" s="84" t="str">
        <v/>
      </c>
      <c r="D47" s="85" t="str">
        <v/>
      </c>
      <c r="E47" s="9"/>
      <c r="F47" s="9"/>
      <c r="G47" s="9"/>
      <c r="H47" s="9"/>
      <c r="I47" s="9"/>
      <c r="J47" s="8"/>
    </row>
    <row r="48" spans="1:10" x14ac:dyDescent="0.3">
      <c r="A48" s="6"/>
      <c r="B48" s="84" t="str">
        <v/>
      </c>
      <c r="C48" s="84" t="str">
        <v/>
      </c>
      <c r="D48" s="85" t="str">
        <v/>
      </c>
      <c r="E48" s="9"/>
      <c r="F48" s="9"/>
      <c r="G48" s="9"/>
      <c r="H48" s="9"/>
      <c r="I48" s="9"/>
      <c r="J48" s="8"/>
    </row>
    <row r="49" spans="1:10" x14ac:dyDescent="0.3">
      <c r="A49" s="6"/>
      <c r="B49" s="84" t="str">
        <v/>
      </c>
      <c r="C49" s="84" t="str">
        <v/>
      </c>
      <c r="D49" s="85" t="str">
        <v/>
      </c>
      <c r="E49" s="9"/>
      <c r="F49" s="9"/>
      <c r="G49" s="9"/>
      <c r="H49" s="9"/>
      <c r="I49" s="9"/>
      <c r="J49" s="8"/>
    </row>
    <row r="50" spans="1:10" x14ac:dyDescent="0.3">
      <c r="A50" s="6"/>
      <c r="B50" s="84" t="str">
        <v/>
      </c>
      <c r="C50" s="84" t="str">
        <v/>
      </c>
      <c r="D50" s="85" t="str">
        <v/>
      </c>
      <c r="E50" s="9"/>
      <c r="F50" s="9"/>
      <c r="G50" s="9"/>
      <c r="H50" s="9"/>
      <c r="I50" s="9"/>
      <c r="J50" s="8"/>
    </row>
    <row r="51" spans="1:10" x14ac:dyDescent="0.3">
      <c r="A51" s="6"/>
      <c r="B51" s="84" t="str">
        <v/>
      </c>
      <c r="C51" s="84" t="str">
        <v/>
      </c>
      <c r="D51" s="85" t="str">
        <v/>
      </c>
      <c r="E51" s="9"/>
      <c r="F51" s="9"/>
      <c r="G51" s="9"/>
      <c r="H51" s="9"/>
      <c r="I51" s="9"/>
      <c r="J51" s="8"/>
    </row>
    <row r="52" spans="1:10" x14ac:dyDescent="0.3">
      <c r="A52" s="6"/>
      <c r="B52" s="9"/>
      <c r="C52" s="9"/>
      <c r="D52" s="9"/>
      <c r="E52" s="9"/>
      <c r="F52" s="9"/>
      <c r="G52" s="9"/>
      <c r="H52" s="9"/>
      <c r="I52" s="9"/>
      <c r="J52" s="8"/>
    </row>
    <row r="53" spans="1:10" x14ac:dyDescent="0.3">
      <c r="A53" s="6"/>
      <c r="B53" s="9"/>
      <c r="C53" s="9"/>
      <c r="D53" s="9"/>
      <c r="E53" s="9"/>
      <c r="F53" s="9"/>
      <c r="G53" s="9"/>
      <c r="H53" s="9"/>
      <c r="I53" s="9"/>
      <c r="J53" s="8"/>
    </row>
    <row r="54" spans="1:10" ht="15" thickBot="1" x14ac:dyDescent="0.35">
      <c r="A54" s="10"/>
      <c r="B54" s="11"/>
      <c r="C54" s="11"/>
      <c r="D54" s="11"/>
      <c r="E54" s="11"/>
      <c r="F54" s="11"/>
      <c r="G54" s="11"/>
      <c r="H54" s="11"/>
      <c r="I54" s="11"/>
      <c r="J54" s="12"/>
    </row>
  </sheetData>
  <mergeCells count="1">
    <mergeCell ref="C1:D1"/>
  </mergeCells>
  <pageMargins left="0.7" right="0.7" top="0.75" bottom="0.75" header="0.3" footer="0.3"/>
  <pageSetup orientation="portrait" verticalDpi="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S40"/>
  <sheetViews>
    <sheetView workbookViewId="0">
      <pane ySplit="1" topLeftCell="A2" activePane="bottomLeft" state="frozen"/>
      <selection pane="bottomLeft"/>
    </sheetView>
  </sheetViews>
  <sheetFormatPr defaultRowHeight="14.4" x14ac:dyDescent="0.3"/>
  <cols>
    <col min="2" max="2" width="23.88671875" customWidth="1"/>
    <col min="3" max="4" width="22.88671875" customWidth="1"/>
    <col min="5" max="5" width="17.6640625" customWidth="1"/>
    <col min="6" max="6" width="16.88671875" customWidth="1"/>
    <col min="9" max="9" width="11.88671875" bestFit="1" customWidth="1"/>
    <col min="10" max="10" width="14.5546875" bestFit="1" customWidth="1"/>
    <col min="11" max="11" width="55" bestFit="1" customWidth="1"/>
  </cols>
  <sheetData>
    <row r="1" spans="1:19" ht="34.5" customHeight="1" thickBot="1" x14ac:dyDescent="0.35">
      <c r="A1" s="146" t="s">
        <v>255</v>
      </c>
      <c r="B1" s="207" t="e" vm="1">
        <v>#VALUE!</v>
      </c>
      <c r="C1" s="214" t="s">
        <v>20</v>
      </c>
      <c r="D1" s="215"/>
      <c r="E1" s="25"/>
      <c r="F1" s="5"/>
      <c r="G1" s="5"/>
      <c r="H1" s="5"/>
      <c r="I1" s="5"/>
      <c r="J1" s="5"/>
      <c r="K1" s="5"/>
      <c r="L1" s="5"/>
      <c r="M1" s="5"/>
      <c r="N1" s="5"/>
      <c r="O1" s="5"/>
      <c r="P1" s="5"/>
      <c r="Q1" s="5"/>
      <c r="R1" s="5"/>
      <c r="S1" s="7"/>
    </row>
    <row r="2" spans="1:19" ht="15" customHeight="1" x14ac:dyDescent="0.3">
      <c r="A2" s="6"/>
      <c r="B2" s="13"/>
      <c r="C2" s="13"/>
      <c r="D2" s="9"/>
      <c r="E2" s="9"/>
      <c r="F2" s="9"/>
      <c r="G2" s="9"/>
      <c r="H2" s="9"/>
      <c r="I2" s="9"/>
      <c r="J2" s="9"/>
      <c r="K2" s="9"/>
      <c r="L2" s="9"/>
      <c r="M2" s="9"/>
      <c r="N2" s="9"/>
      <c r="O2" s="9"/>
      <c r="P2" s="9"/>
      <c r="Q2" s="9"/>
      <c r="R2" s="9"/>
      <c r="S2" s="8"/>
    </row>
    <row r="3" spans="1:19" x14ac:dyDescent="0.3">
      <c r="A3" s="6"/>
      <c r="B3" s="9"/>
      <c r="C3" s="9"/>
      <c r="D3" s="9"/>
      <c r="E3" s="9"/>
      <c r="F3" s="9"/>
      <c r="G3" s="9"/>
      <c r="H3" s="9"/>
      <c r="I3" s="9"/>
      <c r="J3" s="9"/>
      <c r="K3" s="9"/>
      <c r="L3" s="9"/>
      <c r="M3" s="9"/>
      <c r="N3" s="9"/>
      <c r="O3" s="9"/>
      <c r="P3" s="9"/>
      <c r="Q3" s="9"/>
      <c r="R3" s="9"/>
      <c r="S3" s="8"/>
    </row>
    <row r="4" spans="1:19" x14ac:dyDescent="0.3">
      <c r="A4" s="6"/>
      <c r="B4" s="9"/>
      <c r="C4" s="9"/>
      <c r="D4" s="9"/>
      <c r="E4" s="9"/>
      <c r="F4" s="9"/>
      <c r="G4" s="9"/>
      <c r="H4" s="9"/>
      <c r="I4" s="9"/>
      <c r="J4" s="4" t="s">
        <v>14</v>
      </c>
      <c r="K4" s="15" cm="1">
        <f t="array" ref="K4">_xll.U.INCREMENT(C6:C22,D6:D22,B26:F36)</f>
        <v>46072.453602997688</v>
      </c>
      <c r="L4" s="9"/>
      <c r="M4" s="9"/>
      <c r="N4" s="9"/>
      <c r="O4" s="9"/>
      <c r="P4" s="9"/>
      <c r="Q4" s="9"/>
      <c r="R4" s="9"/>
      <c r="S4" s="8"/>
    </row>
    <row r="5" spans="1:19" x14ac:dyDescent="0.3">
      <c r="A5" s="6"/>
      <c r="B5" s="20" t="s">
        <v>1</v>
      </c>
      <c r="C5" s="20" t="s">
        <v>11</v>
      </c>
      <c r="D5" s="20" t="s">
        <v>14</v>
      </c>
      <c r="E5" s="9"/>
      <c r="F5" s="9"/>
      <c r="G5" s="9"/>
      <c r="H5" s="9"/>
      <c r="I5" s="9"/>
      <c r="J5" s="9"/>
      <c r="K5" s="9"/>
      <c r="L5" s="9"/>
      <c r="M5" s="9"/>
      <c r="N5" s="9"/>
      <c r="O5" s="9"/>
      <c r="P5" s="9"/>
      <c r="Q5" s="9"/>
      <c r="R5" s="9"/>
      <c r="S5" s="8"/>
    </row>
    <row r="6" spans="1:19" x14ac:dyDescent="0.3">
      <c r="A6" s="6"/>
      <c r="B6" s="21" t="s">
        <v>7</v>
      </c>
      <c r="C6" s="21">
        <v>530</v>
      </c>
      <c r="D6" s="21" t="s">
        <v>5</v>
      </c>
      <c r="E6" s="9"/>
      <c r="F6" s="9"/>
      <c r="G6" s="9"/>
      <c r="H6" s="9"/>
      <c r="I6" s="9"/>
      <c r="J6" s="3" t="s">
        <v>2</v>
      </c>
      <c r="K6" s="16" t="s">
        <v>18</v>
      </c>
      <c r="L6" s="9"/>
      <c r="M6" s="9"/>
      <c r="N6" s="9"/>
      <c r="O6" s="9"/>
      <c r="P6" s="9"/>
      <c r="Q6" s="9"/>
      <c r="R6" s="9"/>
      <c r="S6" s="8"/>
    </row>
    <row r="7" spans="1:19" x14ac:dyDescent="0.3">
      <c r="A7" s="6"/>
      <c r="B7" s="21" t="s">
        <v>8</v>
      </c>
      <c r="C7" s="21">
        <v>500</v>
      </c>
      <c r="D7" s="21" t="s">
        <v>5</v>
      </c>
      <c r="E7" s="9"/>
      <c r="F7" s="9"/>
      <c r="G7" s="9"/>
      <c r="H7" s="9"/>
      <c r="I7" s="9"/>
      <c r="J7" s="3" t="s">
        <v>3</v>
      </c>
      <c r="K7" s="16" t="s">
        <v>19</v>
      </c>
      <c r="L7" s="9"/>
      <c r="M7" s="9"/>
      <c r="N7" s="9"/>
      <c r="O7" s="9"/>
      <c r="P7" s="9"/>
      <c r="Q7" s="9"/>
      <c r="R7" s="9"/>
      <c r="S7" s="8"/>
    </row>
    <row r="8" spans="1:19" x14ac:dyDescent="0.3">
      <c r="A8" s="6"/>
      <c r="B8" s="21" t="s">
        <v>15</v>
      </c>
      <c r="C8" s="21">
        <v>350</v>
      </c>
      <c r="D8" s="21" t="s">
        <v>5</v>
      </c>
      <c r="E8" s="9"/>
      <c r="F8" s="9"/>
      <c r="G8" s="9"/>
      <c r="H8" s="9"/>
      <c r="I8" s="9"/>
      <c r="L8" s="9"/>
      <c r="M8" s="9"/>
      <c r="N8" s="9"/>
      <c r="O8" s="9"/>
      <c r="P8" s="9"/>
      <c r="Q8" s="9"/>
      <c r="R8" s="9"/>
      <c r="S8" s="8"/>
    </row>
    <row r="9" spans="1:19" x14ac:dyDescent="0.3">
      <c r="A9" s="6"/>
      <c r="B9" s="21" t="s">
        <v>47</v>
      </c>
      <c r="C9" s="21">
        <v>450</v>
      </c>
      <c r="D9" s="21" t="s">
        <v>5</v>
      </c>
      <c r="E9" s="9"/>
      <c r="F9" s="9"/>
      <c r="G9" s="9"/>
      <c r="H9" s="9"/>
      <c r="I9" s="9"/>
      <c r="J9" s="4" t="s">
        <v>129</v>
      </c>
      <c r="K9" s="22" t="str" cm="1">
        <f t="array" ref="K9">_xll.U.TWO_WAY_DATA(K6,K7,B6:C22)</f>
        <v>TOPIC = UPTICK/EQUITIES/OTC_POSITIONS; TWO WAY ID = BPCLM</v>
      </c>
      <c r="L9" s="9"/>
      <c r="M9" s="9"/>
      <c r="N9" s="9"/>
      <c r="O9" s="9"/>
      <c r="P9" s="9"/>
      <c r="Q9" s="9"/>
      <c r="R9" s="9"/>
      <c r="S9" s="8"/>
    </row>
    <row r="10" spans="1:19" x14ac:dyDescent="0.3">
      <c r="A10" s="6"/>
      <c r="B10" s="21" t="s">
        <v>13</v>
      </c>
      <c r="C10" s="21">
        <v>0</v>
      </c>
      <c r="D10" s="21" t="s">
        <v>5</v>
      </c>
      <c r="E10" s="9"/>
      <c r="F10" s="9"/>
      <c r="G10" s="9"/>
      <c r="H10" s="9"/>
      <c r="I10" s="9"/>
      <c r="J10" s="9"/>
      <c r="K10" s="9"/>
      <c r="L10" s="9"/>
      <c r="M10" s="9"/>
      <c r="N10" s="9"/>
      <c r="O10" s="9"/>
      <c r="P10" s="9"/>
      <c r="Q10" s="9"/>
      <c r="R10" s="9"/>
      <c r="S10" s="8"/>
    </row>
    <row r="11" spans="1:19" x14ac:dyDescent="0.3">
      <c r="A11" s="6"/>
      <c r="B11" s="21" t="s">
        <v>5</v>
      </c>
      <c r="C11" s="21" t="s">
        <v>5</v>
      </c>
      <c r="D11" s="21" t="s">
        <v>5</v>
      </c>
      <c r="E11" s="9"/>
      <c r="F11" s="9"/>
      <c r="G11" s="9"/>
      <c r="H11" s="9"/>
      <c r="I11" s="9"/>
      <c r="J11" s="9"/>
      <c r="K11" s="9"/>
      <c r="L11" s="9"/>
      <c r="M11" s="9"/>
      <c r="N11" s="9"/>
      <c r="O11" s="9"/>
      <c r="P11" s="9"/>
      <c r="Q11" s="9"/>
      <c r="R11" s="9"/>
      <c r="S11" s="8"/>
    </row>
    <row r="12" spans="1:19" x14ac:dyDescent="0.3">
      <c r="A12" s="6"/>
      <c r="B12" s="21" t="s">
        <v>5</v>
      </c>
      <c r="C12" s="21" t="s">
        <v>5</v>
      </c>
      <c r="D12" s="21" t="s">
        <v>5</v>
      </c>
      <c r="E12" s="9"/>
      <c r="F12" s="9"/>
      <c r="G12" s="9"/>
      <c r="H12" s="9"/>
      <c r="I12" s="9"/>
      <c r="J12" s="9"/>
      <c r="K12" s="9"/>
      <c r="L12" s="9"/>
      <c r="M12" s="9"/>
      <c r="N12" s="9"/>
      <c r="O12" s="9"/>
      <c r="P12" s="9"/>
      <c r="Q12" s="9"/>
      <c r="R12" s="9"/>
      <c r="S12" s="8"/>
    </row>
    <row r="13" spans="1:19" x14ac:dyDescent="0.3">
      <c r="A13" s="6"/>
      <c r="B13" s="21" t="s">
        <v>5</v>
      </c>
      <c r="C13" s="21" t="s">
        <v>5</v>
      </c>
      <c r="D13" s="21" t="s">
        <v>5</v>
      </c>
      <c r="E13" s="9"/>
      <c r="F13" s="9"/>
      <c r="G13" s="9"/>
      <c r="H13" s="9"/>
      <c r="I13" s="9"/>
      <c r="J13" s="9"/>
      <c r="K13" s="9"/>
      <c r="L13" s="9"/>
      <c r="M13" s="9"/>
      <c r="N13" s="9"/>
      <c r="O13" s="9"/>
      <c r="P13" s="9"/>
      <c r="Q13" s="9"/>
      <c r="R13" s="9"/>
      <c r="S13" s="8"/>
    </row>
    <row r="14" spans="1:19" x14ac:dyDescent="0.3">
      <c r="A14" s="6"/>
      <c r="B14" s="21" t="s">
        <v>5</v>
      </c>
      <c r="C14" s="21" t="s">
        <v>5</v>
      </c>
      <c r="D14" s="21" t="s">
        <v>5</v>
      </c>
      <c r="E14" s="9"/>
      <c r="F14" s="9"/>
      <c r="G14" s="9"/>
      <c r="H14" s="9"/>
      <c r="I14" s="9"/>
      <c r="J14" s="9"/>
      <c r="K14" s="9"/>
      <c r="L14" s="9"/>
      <c r="M14" s="9"/>
      <c r="N14" s="9"/>
      <c r="O14" s="9"/>
      <c r="P14" s="9"/>
      <c r="Q14" s="9"/>
      <c r="R14" s="9"/>
      <c r="S14" s="8"/>
    </row>
    <row r="15" spans="1:19" x14ac:dyDescent="0.3">
      <c r="A15" s="6"/>
      <c r="B15" s="21" t="s">
        <v>5</v>
      </c>
      <c r="C15" s="21" t="s">
        <v>5</v>
      </c>
      <c r="D15" s="21" t="s">
        <v>5</v>
      </c>
      <c r="E15" s="9"/>
      <c r="F15" s="9"/>
      <c r="G15" s="9"/>
      <c r="H15" s="9"/>
      <c r="I15" s="9"/>
      <c r="J15" s="9"/>
      <c r="K15" s="9"/>
      <c r="L15" s="9"/>
      <c r="M15" s="9"/>
      <c r="N15" s="9"/>
      <c r="O15" s="9"/>
      <c r="P15" s="9"/>
      <c r="Q15" s="9"/>
      <c r="R15" s="9"/>
      <c r="S15" s="8"/>
    </row>
    <row r="16" spans="1:19" x14ac:dyDescent="0.3">
      <c r="A16" s="6"/>
      <c r="B16" s="21" t="s">
        <v>5</v>
      </c>
      <c r="C16" s="21" t="s">
        <v>5</v>
      </c>
      <c r="D16" s="21" t="s">
        <v>5</v>
      </c>
      <c r="E16" s="9"/>
      <c r="F16" s="9"/>
      <c r="G16" s="9"/>
      <c r="H16" s="9"/>
      <c r="I16" s="9"/>
      <c r="J16" s="9"/>
      <c r="K16" s="9"/>
      <c r="L16" s="9"/>
      <c r="M16" s="9"/>
      <c r="N16" s="9"/>
      <c r="O16" s="9"/>
      <c r="P16" s="9"/>
      <c r="Q16" s="9"/>
      <c r="R16" s="9"/>
      <c r="S16" s="8"/>
    </row>
    <row r="17" spans="1:19" x14ac:dyDescent="0.3">
      <c r="A17" s="6"/>
      <c r="B17" s="21" t="s">
        <v>5</v>
      </c>
      <c r="C17" s="21" t="s">
        <v>5</v>
      </c>
      <c r="D17" s="21" t="s">
        <v>5</v>
      </c>
      <c r="E17" s="9"/>
      <c r="F17" s="9"/>
      <c r="G17" s="9"/>
      <c r="H17" s="9"/>
      <c r="I17" s="9"/>
      <c r="J17" s="9"/>
      <c r="K17" s="9"/>
      <c r="L17" s="9"/>
      <c r="M17" s="9"/>
      <c r="N17" s="9"/>
      <c r="O17" s="9"/>
      <c r="P17" s="9"/>
      <c r="Q17" s="9"/>
      <c r="R17" s="9"/>
      <c r="S17" s="8"/>
    </row>
    <row r="18" spans="1:19" x14ac:dyDescent="0.3">
      <c r="A18" s="6"/>
      <c r="B18" s="21" t="s">
        <v>5</v>
      </c>
      <c r="C18" s="21" t="s">
        <v>5</v>
      </c>
      <c r="D18" s="21" t="s">
        <v>5</v>
      </c>
      <c r="E18" s="9"/>
      <c r="F18" s="9"/>
      <c r="G18" s="9"/>
      <c r="H18" s="9"/>
      <c r="I18" s="9"/>
      <c r="J18" s="9"/>
      <c r="K18" s="9"/>
      <c r="L18" s="9"/>
      <c r="M18" s="9"/>
      <c r="N18" s="9"/>
      <c r="O18" s="9"/>
      <c r="P18" s="9"/>
      <c r="Q18" s="9"/>
      <c r="R18" s="9"/>
      <c r="S18" s="8"/>
    </row>
    <row r="19" spans="1:19" x14ac:dyDescent="0.3">
      <c r="A19" s="6"/>
      <c r="B19" s="21" t="s">
        <v>5</v>
      </c>
      <c r="C19" s="21" t="s">
        <v>5</v>
      </c>
      <c r="D19" s="21" t="s">
        <v>5</v>
      </c>
      <c r="E19" s="9"/>
      <c r="F19" s="9"/>
      <c r="G19" s="9"/>
      <c r="H19" s="9"/>
      <c r="I19" s="9"/>
      <c r="J19" s="9"/>
      <c r="K19" s="9"/>
      <c r="L19" s="9"/>
      <c r="M19" s="9"/>
      <c r="N19" s="9"/>
      <c r="O19" s="9"/>
      <c r="P19" s="9"/>
      <c r="Q19" s="9"/>
      <c r="R19" s="9"/>
      <c r="S19" s="8"/>
    </row>
    <row r="20" spans="1:19" x14ac:dyDescent="0.3">
      <c r="A20" s="6"/>
      <c r="B20" s="21" t="s">
        <v>5</v>
      </c>
      <c r="C20" s="21" t="s">
        <v>5</v>
      </c>
      <c r="D20" s="21" t="s">
        <v>5</v>
      </c>
      <c r="E20" s="9"/>
      <c r="F20" s="9"/>
      <c r="G20" s="9"/>
      <c r="H20" s="9"/>
      <c r="I20" s="9"/>
      <c r="J20" s="9"/>
      <c r="K20" s="9"/>
      <c r="L20" s="9"/>
      <c r="M20" s="9"/>
      <c r="N20" s="9"/>
      <c r="O20" s="9"/>
      <c r="P20" s="9"/>
      <c r="Q20" s="9"/>
      <c r="R20" s="9"/>
      <c r="S20" s="8"/>
    </row>
    <row r="21" spans="1:19" x14ac:dyDescent="0.3">
      <c r="A21" s="6"/>
      <c r="B21" s="21" t="s">
        <v>5</v>
      </c>
      <c r="C21" s="21" t="s">
        <v>5</v>
      </c>
      <c r="D21" s="21" t="s">
        <v>5</v>
      </c>
      <c r="E21" s="9"/>
      <c r="F21" s="9"/>
      <c r="G21" s="9"/>
      <c r="H21" s="9"/>
      <c r="I21" s="9"/>
      <c r="J21" s="9"/>
      <c r="K21" s="9"/>
      <c r="L21" s="9"/>
      <c r="M21" s="9"/>
      <c r="N21" s="9"/>
      <c r="O21" s="9"/>
      <c r="P21" s="9"/>
      <c r="Q21" s="9"/>
      <c r="R21" s="9"/>
      <c r="S21" s="8"/>
    </row>
    <row r="22" spans="1:19" x14ac:dyDescent="0.3">
      <c r="A22" s="6"/>
      <c r="B22" s="21" t="s">
        <v>5</v>
      </c>
      <c r="C22" s="21" t="s">
        <v>5</v>
      </c>
      <c r="D22" s="21" t="s">
        <v>5</v>
      </c>
      <c r="E22" s="9"/>
      <c r="F22" s="9"/>
      <c r="G22" s="9"/>
      <c r="H22" s="9"/>
      <c r="I22" s="9"/>
      <c r="J22" s="9"/>
      <c r="K22" s="9"/>
      <c r="L22" s="9"/>
      <c r="M22" s="9"/>
      <c r="N22" s="9"/>
      <c r="O22" s="9"/>
      <c r="P22" s="9"/>
      <c r="Q22" s="9"/>
      <c r="R22" s="9"/>
      <c r="S22" s="8"/>
    </row>
    <row r="23" spans="1:19" x14ac:dyDescent="0.3">
      <c r="A23" s="6"/>
      <c r="B23" s="9"/>
      <c r="C23" s="9"/>
      <c r="D23" s="9"/>
      <c r="E23" s="9"/>
      <c r="F23" s="9"/>
      <c r="G23" s="9"/>
      <c r="H23" s="9"/>
      <c r="I23" s="9"/>
      <c r="J23" s="9"/>
      <c r="K23" s="9"/>
      <c r="L23" s="9"/>
      <c r="M23" s="9"/>
      <c r="N23" s="9"/>
      <c r="O23" s="9"/>
      <c r="P23" s="9"/>
      <c r="Q23" s="9"/>
      <c r="R23" s="9"/>
      <c r="S23" s="8"/>
    </row>
    <row r="24" spans="1:19" x14ac:dyDescent="0.3">
      <c r="A24" s="6"/>
      <c r="B24" s="9"/>
      <c r="C24" s="9"/>
      <c r="D24" s="9"/>
      <c r="E24" s="9"/>
      <c r="F24" s="9"/>
      <c r="G24" s="9"/>
      <c r="H24" s="9"/>
      <c r="I24" s="9"/>
      <c r="J24" s="9"/>
      <c r="K24" s="9"/>
      <c r="L24" s="9"/>
      <c r="M24" s="9"/>
      <c r="N24" s="9"/>
      <c r="O24" s="9"/>
      <c r="P24" s="9"/>
      <c r="Q24" s="9"/>
      <c r="R24" s="9"/>
      <c r="S24" s="8"/>
    </row>
    <row r="25" spans="1:19" x14ac:dyDescent="0.3">
      <c r="A25" s="6"/>
      <c r="B25" s="220" t="s">
        <v>27</v>
      </c>
      <c r="C25" s="220"/>
      <c r="D25" s="220"/>
      <c r="E25" s="220"/>
      <c r="F25" s="220"/>
      <c r="G25" s="9"/>
      <c r="H25" s="9"/>
      <c r="I25" s="9"/>
      <c r="J25" s="9"/>
      <c r="K25" s="9"/>
      <c r="L25" s="9"/>
      <c r="M25" s="9"/>
      <c r="N25" s="9"/>
      <c r="O25" s="9"/>
      <c r="P25" s="9"/>
      <c r="Q25" s="9"/>
      <c r="R25" s="9"/>
      <c r="S25" s="8"/>
    </row>
    <row r="26" spans="1:19" x14ac:dyDescent="0.3">
      <c r="A26" s="6"/>
      <c r="B26" s="26" t="s">
        <v>22</v>
      </c>
      <c r="C26" s="26" t="s">
        <v>23</v>
      </c>
      <c r="D26" s="26" t="s">
        <v>24</v>
      </c>
      <c r="E26" s="26" t="s">
        <v>25</v>
      </c>
      <c r="F26" s="26" t="s">
        <v>26</v>
      </c>
      <c r="G26" s="9"/>
      <c r="H26" s="9"/>
      <c r="I26" s="9"/>
      <c r="J26" s="9"/>
      <c r="K26" s="9"/>
      <c r="L26" s="9"/>
      <c r="M26" s="9"/>
      <c r="N26" s="9"/>
      <c r="O26" s="9"/>
      <c r="P26" s="9"/>
      <c r="Q26" s="9"/>
      <c r="R26" s="9"/>
      <c r="S26" s="8"/>
    </row>
    <row r="27" spans="1:19" x14ac:dyDescent="0.3">
      <c r="A27" s="6"/>
      <c r="B27" s="27"/>
      <c r="C27" s="27"/>
      <c r="D27" s="27"/>
      <c r="E27" s="23"/>
      <c r="F27" s="28"/>
      <c r="G27" s="9"/>
      <c r="H27" s="9"/>
      <c r="I27" s="9"/>
      <c r="J27" s="9"/>
      <c r="K27" s="9"/>
      <c r="L27" s="9"/>
      <c r="M27" s="9"/>
      <c r="N27" s="9"/>
      <c r="O27" s="9"/>
      <c r="P27" s="9"/>
      <c r="Q27" s="9"/>
      <c r="R27" s="9"/>
      <c r="S27" s="8"/>
    </row>
    <row r="28" spans="1:19" x14ac:dyDescent="0.3">
      <c r="A28" s="6"/>
      <c r="B28" s="27"/>
      <c r="C28" s="27"/>
      <c r="D28" s="23"/>
      <c r="E28" s="23"/>
      <c r="F28" s="28"/>
      <c r="G28" s="9"/>
      <c r="H28" s="9"/>
      <c r="I28" s="9"/>
      <c r="J28" s="9"/>
      <c r="K28" s="9"/>
      <c r="L28" s="9"/>
      <c r="M28" s="9"/>
      <c r="N28" s="9"/>
      <c r="O28" s="9"/>
      <c r="P28" s="9"/>
      <c r="Q28" s="9"/>
      <c r="R28" s="9"/>
      <c r="S28" s="8"/>
    </row>
    <row r="29" spans="1:19" x14ac:dyDescent="0.3">
      <c r="A29" s="6"/>
      <c r="B29" s="27"/>
      <c r="C29" s="27"/>
      <c r="D29" s="23"/>
      <c r="E29" s="23"/>
      <c r="F29" s="28"/>
      <c r="G29" s="9"/>
      <c r="H29" s="9"/>
      <c r="I29" s="9"/>
      <c r="J29" s="9"/>
      <c r="K29" s="9"/>
      <c r="L29" s="9"/>
      <c r="M29" s="9"/>
      <c r="N29" s="9"/>
      <c r="O29" s="9"/>
      <c r="P29" s="9"/>
      <c r="Q29" s="9"/>
      <c r="R29" s="9"/>
      <c r="S29" s="8"/>
    </row>
    <row r="30" spans="1:19" x14ac:dyDescent="0.3">
      <c r="A30" s="6"/>
      <c r="B30" s="27"/>
      <c r="C30" s="27"/>
      <c r="D30" s="23"/>
      <c r="E30" s="23"/>
      <c r="F30" s="28"/>
      <c r="G30" s="9"/>
      <c r="H30" s="9"/>
      <c r="I30" s="9"/>
      <c r="J30" s="9"/>
      <c r="K30" s="9"/>
      <c r="L30" s="9"/>
      <c r="M30" s="9"/>
      <c r="N30" s="9"/>
      <c r="O30" s="9"/>
      <c r="P30" s="9"/>
      <c r="Q30" s="9"/>
      <c r="R30" s="9"/>
      <c r="S30" s="8"/>
    </row>
    <row r="31" spans="1:19" x14ac:dyDescent="0.3">
      <c r="A31" s="6"/>
      <c r="B31" s="27"/>
      <c r="C31" s="27"/>
      <c r="D31" s="23"/>
      <c r="E31" s="23"/>
      <c r="F31" s="28"/>
      <c r="G31" s="9"/>
      <c r="H31" s="9"/>
      <c r="I31" s="9"/>
      <c r="J31" s="9"/>
      <c r="K31" s="9"/>
      <c r="L31" s="9"/>
      <c r="M31" s="9"/>
      <c r="N31" s="9"/>
      <c r="O31" s="9"/>
      <c r="P31" s="9"/>
      <c r="Q31" s="9"/>
      <c r="R31" s="9"/>
      <c r="S31" s="8"/>
    </row>
    <row r="32" spans="1:19" x14ac:dyDescent="0.3">
      <c r="A32" s="6"/>
      <c r="B32" s="27"/>
      <c r="C32" s="27"/>
      <c r="D32" s="23"/>
      <c r="E32" s="23"/>
      <c r="F32" s="28"/>
      <c r="G32" s="9"/>
      <c r="H32" s="9"/>
      <c r="I32" s="9"/>
      <c r="J32" s="9"/>
      <c r="K32" s="9"/>
      <c r="L32" s="9"/>
      <c r="M32" s="9"/>
      <c r="N32" s="9"/>
      <c r="O32" s="9"/>
      <c r="P32" s="9"/>
      <c r="Q32" s="9"/>
      <c r="R32" s="9"/>
      <c r="S32" s="8"/>
    </row>
    <row r="33" spans="1:19" x14ac:dyDescent="0.3">
      <c r="A33" s="6"/>
      <c r="B33" s="27"/>
      <c r="C33" s="27"/>
      <c r="D33" s="23"/>
      <c r="E33" s="23"/>
      <c r="F33" s="28"/>
      <c r="G33" s="9"/>
      <c r="H33" s="9"/>
      <c r="I33" s="9"/>
      <c r="J33" s="9"/>
      <c r="K33" s="9"/>
      <c r="L33" s="9"/>
      <c r="M33" s="9"/>
      <c r="N33" s="9"/>
      <c r="O33" s="9"/>
      <c r="P33" s="9"/>
      <c r="Q33" s="9"/>
      <c r="R33" s="9"/>
      <c r="S33" s="8"/>
    </row>
    <row r="34" spans="1:19" x14ac:dyDescent="0.3">
      <c r="A34" s="6"/>
      <c r="B34" s="27"/>
      <c r="C34" s="27"/>
      <c r="D34" s="23"/>
      <c r="E34" s="23"/>
      <c r="F34" s="28"/>
      <c r="G34" s="9"/>
      <c r="H34" s="9"/>
      <c r="I34" s="9"/>
      <c r="J34" s="9"/>
      <c r="K34" s="9"/>
      <c r="L34" s="9"/>
      <c r="M34" s="9"/>
      <c r="N34" s="9"/>
      <c r="O34" s="9"/>
      <c r="P34" s="9"/>
      <c r="Q34" s="9"/>
      <c r="R34" s="9"/>
      <c r="S34" s="8"/>
    </row>
    <row r="35" spans="1:19" x14ac:dyDescent="0.3">
      <c r="A35" s="6"/>
      <c r="B35" s="27"/>
      <c r="C35" s="27"/>
      <c r="D35" s="23"/>
      <c r="E35" s="23"/>
      <c r="F35" s="28"/>
      <c r="G35" s="9"/>
      <c r="H35" s="9"/>
      <c r="I35" s="9"/>
      <c r="J35" s="9"/>
      <c r="K35" s="9"/>
      <c r="L35" s="9"/>
      <c r="M35" s="9"/>
      <c r="N35" s="9"/>
      <c r="O35" s="9"/>
      <c r="P35" s="9"/>
      <c r="Q35" s="9"/>
      <c r="R35" s="9"/>
      <c r="S35" s="8"/>
    </row>
    <row r="36" spans="1:19" x14ac:dyDescent="0.3">
      <c r="A36" s="6"/>
      <c r="B36" s="27"/>
      <c r="C36" s="27"/>
      <c r="D36" s="23"/>
      <c r="E36" s="23"/>
      <c r="F36" s="28"/>
      <c r="G36" s="9"/>
      <c r="H36" s="9"/>
      <c r="I36" s="9"/>
      <c r="J36" s="9"/>
      <c r="K36" s="9"/>
      <c r="L36" s="9"/>
      <c r="M36" s="9"/>
      <c r="N36" s="9"/>
      <c r="O36" s="9"/>
      <c r="P36" s="9"/>
      <c r="Q36" s="9"/>
      <c r="R36" s="9"/>
      <c r="S36" s="8"/>
    </row>
    <row r="37" spans="1:19" x14ac:dyDescent="0.3">
      <c r="A37" s="6"/>
      <c r="B37" s="9"/>
      <c r="C37" s="9"/>
      <c r="D37" s="9"/>
      <c r="E37" s="9"/>
      <c r="F37" s="9"/>
      <c r="G37" s="9"/>
      <c r="H37" s="9"/>
      <c r="I37" s="9"/>
      <c r="J37" s="9"/>
      <c r="K37" s="9"/>
      <c r="L37" s="9"/>
      <c r="M37" s="9"/>
      <c r="N37" s="9"/>
      <c r="O37" s="9"/>
      <c r="P37" s="9"/>
      <c r="Q37" s="9"/>
      <c r="R37" s="9"/>
      <c r="S37" s="8"/>
    </row>
    <row r="38" spans="1:19" x14ac:dyDescent="0.3">
      <c r="A38" s="6"/>
      <c r="B38" s="9"/>
      <c r="C38" s="9"/>
      <c r="D38" s="9"/>
      <c r="E38" s="9"/>
      <c r="F38" s="9"/>
      <c r="G38" s="9"/>
      <c r="H38" s="9"/>
      <c r="I38" s="9"/>
      <c r="J38" s="9"/>
      <c r="K38" s="9"/>
      <c r="L38" s="9"/>
      <c r="M38" s="9"/>
      <c r="N38" s="9"/>
      <c r="O38" s="9"/>
      <c r="P38" s="9"/>
      <c r="Q38" s="9"/>
      <c r="R38" s="9"/>
      <c r="S38" s="8"/>
    </row>
    <row r="39" spans="1:19" x14ac:dyDescent="0.3">
      <c r="A39" s="6"/>
      <c r="B39" s="9"/>
      <c r="C39" s="9"/>
      <c r="D39" s="9"/>
      <c r="E39" s="9"/>
      <c r="F39" s="9"/>
      <c r="G39" s="9"/>
      <c r="H39" s="9"/>
      <c r="I39" s="9"/>
      <c r="J39" s="9"/>
      <c r="K39" s="9"/>
      <c r="L39" s="9"/>
      <c r="M39" s="9"/>
      <c r="N39" s="9"/>
      <c r="O39" s="9"/>
      <c r="P39" s="9"/>
      <c r="Q39" s="9"/>
      <c r="R39" s="9"/>
      <c r="S39" s="8"/>
    </row>
    <row r="40" spans="1:19" ht="15" thickBot="1" x14ac:dyDescent="0.35">
      <c r="A40" s="10"/>
      <c r="B40" s="11"/>
      <c r="C40" s="11"/>
      <c r="D40" s="11"/>
      <c r="E40" s="11"/>
      <c r="F40" s="11"/>
      <c r="G40" s="11"/>
      <c r="H40" s="11"/>
      <c r="I40" s="11"/>
      <c r="J40" s="11"/>
      <c r="K40" s="11"/>
      <c r="L40" s="11"/>
      <c r="M40" s="11"/>
      <c r="N40" s="11"/>
      <c r="O40" s="11"/>
      <c r="P40" s="11"/>
      <c r="Q40" s="11"/>
      <c r="R40" s="11"/>
      <c r="S40" s="12"/>
    </row>
  </sheetData>
  <mergeCells count="2">
    <mergeCell ref="C1:D1"/>
    <mergeCell ref="B25:F25"/>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20</vt:i4>
      </vt:variant>
    </vt:vector>
  </HeadingPairs>
  <TitlesOfParts>
    <vt:vector size="37" baseType="lpstr">
      <vt:lpstr>Index</vt:lpstr>
      <vt:lpstr>Interactive Web Report</vt:lpstr>
      <vt:lpstr>Iterative Calculations #init()</vt:lpstr>
      <vt:lpstr>Live Pivot Table</vt:lpstr>
      <vt:lpstr>Throttling Subscribes</vt:lpstr>
      <vt:lpstr>Throttling Publishes</vt:lpstr>
      <vt:lpstr>Controlling Messages</vt:lpstr>
      <vt:lpstr>Forced Recalculation</vt:lpstr>
      <vt:lpstr>Concurrent Publishers</vt:lpstr>
      <vt:lpstr>Reverting Toggle</vt:lpstr>
      <vt:lpstr>Remote Controlling Excel</vt:lpstr>
      <vt:lpstr>Trade Entry Form</vt:lpstr>
      <vt:lpstr>Time Series Report Data</vt:lpstr>
      <vt:lpstr>Processing CSV Files</vt:lpstr>
      <vt:lpstr>Dynamically-Sized Range</vt:lpstr>
      <vt:lpstr>Highlighted Hover</vt:lpstr>
      <vt:lpstr>Expandable Grid</vt:lpstr>
      <vt:lpstr>Concurrent_Publishers</vt:lpstr>
      <vt:lpstr>Controlling_Messages</vt:lpstr>
      <vt:lpstr>Dynamically_Sized_Range</vt:lpstr>
      <vt:lpstr>ENABLED</vt:lpstr>
      <vt:lpstr>Expandable_Grid</vt:lpstr>
      <vt:lpstr>Forced_Recalculation</vt:lpstr>
      <vt:lpstr>Highlighted_Hover</vt:lpstr>
      <vt:lpstr>Interactive_Web_Reports</vt:lpstr>
      <vt:lpstr>Iterative_Calculations</vt:lpstr>
      <vt:lpstr>Labels</vt:lpstr>
      <vt:lpstr>Live_Pivot_Table</vt:lpstr>
      <vt:lpstr>ManualTrades</vt:lpstr>
      <vt:lpstr>Processing_CSV_Files</vt:lpstr>
      <vt:lpstr>Remote_Controlling_Excel</vt:lpstr>
      <vt:lpstr>Reverting_Toggle</vt:lpstr>
      <vt:lpstr>Throttling_Publishes</vt:lpstr>
      <vt:lpstr>Throttling_Subscribes</vt:lpstr>
      <vt:lpstr>Time_Series_Report_Data</vt:lpstr>
      <vt:lpstr>Trade_Entry_Form</vt:lpstr>
      <vt:lpstr>TradesReport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Pierce</dc:creator>
  <cp:lastModifiedBy>Brian Pierce</cp:lastModifiedBy>
  <dcterms:created xsi:type="dcterms:W3CDTF">2017-02-13T17:21:02Z</dcterms:created>
  <dcterms:modified xsi:type="dcterms:W3CDTF">2026-02-19T15:53:24Z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481500e1-2a88-4607-8b0f-11467b7e7f70</vt:lpwstr>
  </property>
</Properties>
</file>