
<file path=[Content_Types].xml><?xml version="1.0" encoding="utf-8"?>
<Types xmlns="http://schemas.openxmlformats.org/package/2006/content-types">
  <Default Extension="bin" ContentType="application/vnd.openxmlformats-officedocument.spreadsheetml.printerSettings"/>
  <Default Extension="bmp" ContentType="image/bmp"/>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drawings/drawing2.xml" ContentType="application/vnd.openxmlformats-officedocument.drawing+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drawings/drawing3.xml" ContentType="application/vnd.openxmlformats-officedocument.drawing+xml"/>
  <Override PartName="/xl/comments43.xml" ContentType="application/vnd.openxmlformats-officedocument.spreadsheetml.comments+xml"/>
  <Override PartName="/xl/comments44.xml" ContentType="application/vnd.openxmlformats-officedocument.spreadsheetml.comments+xml"/>
  <Override PartName="/xl/drawings/drawing4.xml" ContentType="application/vnd.openxmlformats-officedocument.drawing+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tables/table1.xml" ContentType="application/vnd.openxmlformats-officedocument.spreadsheetml.table+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comments54.xml" ContentType="application/vnd.openxmlformats-officedocument.spreadsheetml.comments+xml"/>
  <Override PartName="/xl/comments55.xml" ContentType="application/vnd.openxmlformats-officedocument.spreadsheetml.comments+xml"/>
  <Override PartName="/xl/comments56.xml" ContentType="application/vnd.openxmlformats-officedocument.spreadsheetml.comments+xml"/>
  <Override PartName="/xl/comments57.xml" ContentType="application/vnd.openxmlformats-officedocument.spreadsheetml.comments+xml"/>
  <Override PartName="/xl/comments58.xml" ContentType="application/vnd.openxmlformats-officedocument.spreadsheetml.comments+xml"/>
  <Override PartName="/xl/comments59.xml" ContentType="application/vnd.openxmlformats-officedocument.spreadsheetml.comments+xml"/>
  <Override PartName="/xl/comments60.xml" ContentType="application/vnd.openxmlformats-officedocument.spreadsheetml.comments+xml"/>
  <Override PartName="/xl/comments61.xml" ContentType="application/vnd.openxmlformats-officedocument.spreadsheetml.comments+xml"/>
  <Override PartName="/xl/comments62.xml" ContentType="application/vnd.openxmlformats-officedocument.spreadsheetml.comments+xml"/>
  <Override PartName="/xl/comments63.xml" ContentType="application/vnd.openxmlformats-officedocument.spreadsheetml.comment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Projects\Runline\doc\"/>
    </mc:Choice>
  </mc:AlternateContent>
  <xr:revisionPtr revIDLastSave="0" documentId="13_ncr:1_{7AA356BE-2B4F-46BB-984B-65C51DB63FCA}" xr6:coauthVersionLast="47" xr6:coauthVersionMax="47" xr10:uidLastSave="{00000000-0000-0000-0000-000000000000}"/>
  <bookViews>
    <workbookView xWindow="19572" yWindow="1008" windowWidth="36552" windowHeight="15300" tabRatio="990" xr2:uid="{00000000-000D-0000-FFFF-FFFF00000000}"/>
  </bookViews>
  <sheets>
    <sheet name="Index" sheetId="2" r:id="rId1"/>
    <sheet name="PUBLISH" sheetId="1" r:id="rId2"/>
    <sheet name="GET" sheetId="10" r:id="rId3"/>
    <sheet name="EVENT" sheetId="31" r:id="rId4"/>
    <sheet name="NOTIFICATION" sheetId="32" r:id="rId5"/>
    <sheet name="AGGREGATE" sheetId="15" r:id="rId6"/>
    <sheet name="APPEND" sheetId="18" r:id="rId7"/>
    <sheet name="FILTER" sheetId="14" r:id="rId8"/>
    <sheet name="LOOKUP" sheetId="26" r:id="rId9"/>
    <sheet name="SORT" sheetId="22" r:id="rId10"/>
    <sheet name="UNIQUE" sheetId="12" r:id="rId11"/>
    <sheet name="REPLACE" sheetId="58" r:id="rId12"/>
    <sheet name="CONVERT" sheetId="17" r:id="rId13"/>
    <sheet name="SUBRANGE" sheetId="27" r:id="rId14"/>
    <sheet name="OFFSET" sheetId="28" r:id="rId15"/>
    <sheet name="REGION" sheetId="6" r:id="rId16"/>
    <sheet name="RANGE_REF" sheetId="35" r:id="rId17"/>
    <sheet name="GRID_TO_TABLE" sheetId="40" r:id="rId18"/>
    <sheet name="COMBINATIONS" sheetId="41" r:id="rId19"/>
    <sheet name="REPEAT" sheetId="42" r:id="rId20"/>
    <sheet name="INSERT" sheetId="43" r:id="rId21"/>
    <sheet name="FILL_LABELS" sheetId="44" r:id="rId22"/>
    <sheet name="PAD" sheetId="11" r:id="rId23"/>
    <sheet name="RESHAPE" sheetId="52" r:id="rId24"/>
    <sheet name="ADD_NEWLINES" sheetId="37" r:id="rId25"/>
    <sheet name="FORMAT_RANGE" sheetId="67" r:id="rId26"/>
    <sheet name="IMAGES" sheetId="64" r:id="rId27"/>
    <sheet name="CONCAT" sheetId="23" r:id="rId28"/>
    <sheet name="SPLIT" sheetId="24" r:id="rId29"/>
    <sheet name="FIND" sheetId="61" r:id="rId30"/>
    <sheet name="FORMAT_STRING" sheetId="34" r:id="rId31"/>
    <sheet name="PARSE_NUMBERS" sheetId="33" r:id="rId32"/>
    <sheet name="REGEX" sheetId="55" r:id="rId33"/>
    <sheet name="REMOVE_NON_ASCII" sheetId="51" r:id="rId34"/>
    <sheet name="URL_ENCODE" sheetId="36" r:id="rId35"/>
    <sheet name="COMPARE" sheetId="66" r:id="rId36"/>
    <sheet name="GZIP" sheetId="65" r:id="rId37"/>
    <sheet name="TIME" sheetId="20" r:id="rId38"/>
    <sheet name="SEQUENCE" sheetId="25" r:id="rId39"/>
    <sheet name="RAND" sheetId="56" r:id="rId40"/>
    <sheet name="FILES" sheetId="45" r:id="rId41"/>
    <sheet name="EXCEL_CONTROL" sheetId="29" r:id="rId42"/>
    <sheet name="MENU" sheetId="59" r:id="rId43"/>
    <sheet name="DO" sheetId="21" r:id="rId44"/>
    <sheet name="CLICKVALS" sheetId="30" r:id="rId45"/>
    <sheet name="KEYBOARD_SHORTCUT" sheetId="57" r:id="rId46"/>
    <sheet name="LISTEN" sheetId="63" r:id="rId47"/>
    <sheet name="INCREMENT" sheetId="19" r:id="rId48"/>
    <sheet name="PASTE" sheetId="7" r:id="rId49"/>
    <sheet name="CLEAR" sheetId="46" r:id="rId50"/>
    <sheet name="SCRIPTS #init()" sheetId="53" r:id="rId51"/>
    <sheet name="START_PROCESS" sheetId="54" r:id="rId52"/>
    <sheet name="SYNC_CELLS" sheetId="38" r:id="rId53"/>
    <sheet name="SELECTION_PATH" sheetId="62" r:id="rId54"/>
    <sheet name="UUID" sheetId="16" r:id="rId55"/>
    <sheet name="MONITORING" sheetId="50" r:id="rId56"/>
    <sheet name="BACKUP" sheetId="48" r:id="rId57"/>
    <sheet name="CACHE" sheetId="39" r:id="rId58"/>
    <sheet name="PERFORMANCE" sheetId="49" r:id="rId59"/>
    <sheet name="DISTRIBUTION" sheetId="47" r:id="rId60"/>
    <sheet name="SECURITY" sheetId="9" r:id="rId61"/>
    <sheet name="COMPILE" sheetId="60" r:id="rId62"/>
    <sheet name="ADMIN" sheetId="13" r:id="rId63"/>
  </sheets>
  <definedNames>
    <definedName name="ADD_NEWLINES">ADD_NEWLINES!$D$11:$D$13</definedName>
    <definedName name="ADD_NEWLINES_PARAMS">ADD_NEWLINES!$M$3:$V$20</definedName>
    <definedName name="ADDINS">ADMIN!$C$47</definedName>
    <definedName name="ADDINS_PARAMS">ADMIN!$K$114:$T$128</definedName>
    <definedName name="AFTER">DO!$B$26</definedName>
    <definedName name="AFTER_PARAMS">DO!$K$23:$T$34</definedName>
    <definedName name="ALLOW_PUBLISH">PUBLISH!$C$171</definedName>
    <definedName name="ALLOW_PUBLISH_PARAMS">PUBLISH!$Q$120:$Z$134</definedName>
    <definedName name="AUTHN">ADMIN!$C$12</definedName>
    <definedName name="AUTHN_PARAMS">ADMIN!$K$44:$T$55</definedName>
    <definedName name="BACKUP_ALL_WORKBOOKS">BACKUP!$G$53</definedName>
    <definedName name="BACKUP_ALL_WORKBOOKS_PARAMS">BACKUP!$Q$23:$Z$43</definedName>
    <definedName name="BACKUP_WORKBOOK">BACKUP!$G$5</definedName>
    <definedName name="BACKUP_WORKBOOK_PARAMS">BACKUP!$Q$3:$Z$20</definedName>
    <definedName name="CACHE">CACHE!$L$10</definedName>
    <definedName name="CACHE_PARAMS">CACHE!$X$3:$AG$23</definedName>
    <definedName name="CLEAR">CLEAR!$E$5</definedName>
    <definedName name="CLEAR_PARAMS">CLEAR!$Q$3:$Z$20</definedName>
    <definedName name="Colleagues">RANGE_REF!$B$74:$C$75</definedName>
    <definedName name="ColleaguesCount">COUNTA(Colleagues)</definedName>
    <definedName name="COMPARE">COMPARE!$D$5</definedName>
    <definedName name="COMPARE_PARAMS">COMPARE!$M$3:$V$26</definedName>
    <definedName name="COMPILE">COMPILE!$E$5</definedName>
    <definedName name="COMPILE_PARAMS">COMPILE!$V$3:$AE$35</definedName>
    <definedName name="CONCAT">CONCAT!$G$7</definedName>
    <definedName name="CONCAT_PARAMS">CONCAT!$P$3:$Y$21</definedName>
    <definedName name="CONFIG_DIR">ADMIN!$C$38</definedName>
    <definedName name="CONFIG_DIR_PARAMS">ADMIN!$K$92:$T$97</definedName>
    <definedName name="CONNECTED_TO_SERVER">ADMIN!$C$19</definedName>
    <definedName name="CONNECTED_TO_SERVER_PARAMS">ADMIN!$K$58:$T$66</definedName>
    <definedName name="CONTROL_EXCEL">EXCEL_CONTROL!$E$40</definedName>
    <definedName name="CONTROL_EXCEL_PARAMS">EXCEL_CONTROL!$S$52:$AB$63</definedName>
    <definedName name="CONVERT">CONVERT!$C$23:$C$28</definedName>
    <definedName name="CONVERT_DATETIME">TIME!$C$100</definedName>
    <definedName name="CONVERT_DATETIME_PARAMS">TIME!$K$59:$T$76</definedName>
    <definedName name="CONVERT_PARAMS">CONVERT!$P$3:$Y$29</definedName>
    <definedName name="COPY_FILE">FILES!$C$112</definedName>
    <definedName name="COPY_FILE_PARAMS">FILES!$Q$107:$Z$133</definedName>
    <definedName name="COPY_PASTE">PASTE!$D$140</definedName>
    <definedName name="COPY_PASTE_PARAMS">PASTE!$Q$60:$Z$77</definedName>
    <definedName name="COUNT_FUNCTION_CALLS">PERFORMANCE!$J$82</definedName>
    <definedName name="COUNT_FUNCTION_CALLS_PARAMS">PERFORMANCE!$Q$26:$Z$34</definedName>
    <definedName name="CREATE_SCRIPT">'SCRIPTS #init()'!$G$7</definedName>
    <definedName name="CREATE_SCRIPT_PARAMS">'SCRIPTS #init()'!$Q$3:$Z$23</definedName>
    <definedName name="CURRENT_SCRIPT">'SCRIPTS #init()'!$G$53</definedName>
    <definedName name="CURRENT_SCRIPT_PARAMS">'SCRIPTS #init()'!$Q$55:$Z$60</definedName>
    <definedName name="CURRENT_VALS">DO!$B$55:$B$57</definedName>
    <definedName name="CURRENT_VALS_PARAMS">DO!$K$37:$T$45</definedName>
    <definedName name="DEEP_LOGGING">ADMIN!$C$75</definedName>
    <definedName name="DEEP_LOGGING_PARAMS">ADMIN!$K$150:$T$158</definedName>
    <definedName name="DELETE_REPORT">PUBLISH!$B$213</definedName>
    <definedName name="DELETE_REPORT_PARAMS">PUBLISH!$Q$137:$Z$145</definedName>
    <definedName name="DISABLE">PUBLISH!$B$507</definedName>
    <definedName name="DISABLE_PARAMS">PUBLISH!$Q$339:$Z$347</definedName>
    <definedName name="DISTRIBUTE_FUNCTIONS">COMPILE!$B$355</definedName>
    <definedName name="DISTRIBUTE_FUNCTIONS_PARAMS">COMPILE!$V$251:$AE$280</definedName>
    <definedName name="DISTRIBUTE_WORKBOOK">DISTRIBUTION!$B$48</definedName>
    <definedName name="DISTRIBUTE_WORKBOOK_PARAMS">DISTRIBUTION!$Q$26:$Z$49</definedName>
    <definedName name="DO">DO!$C$4</definedName>
    <definedName name="DO_PARAMS">DO!$K$3:$T$20</definedName>
    <definedName name="ENABLE_CONTROL">EXCEL_CONTROL!$E$133</definedName>
    <definedName name="ENABLE_CONTROL_PARAMS">EXCEL_CONTROL!$S$77:$AB$85</definedName>
    <definedName name="ENCRYPT">SECURITY!$E$103:$F$105</definedName>
    <definedName name="ENCRYPT_PARAMS">SECURITY!$Q$51:$Z$62</definedName>
    <definedName name="ENTITY">ADMIN!$C$8</definedName>
    <definedName name="ENTITY_PARAMS">ADMIN!$K$25:$T$30</definedName>
    <definedName name="EVENT">EVENT!$H$6:$I$6</definedName>
    <definedName name="EVENT_PARAMS">EVENT!$Q$3:$Z$32</definedName>
    <definedName name="FILL_LABELS">FILL_LABELS!$H$5:$J$13</definedName>
    <definedName name="FILL_LABELS_PARAMS">FILL_LABELS!$Q$3:$Z$35</definedName>
    <definedName name="FIND">FIND!$F$6</definedName>
    <definedName name="FIND_FILE">FILES!$C$86</definedName>
    <definedName name="FIND_FILE_PARAMS">FILES!$Q$58:$Z$84</definedName>
    <definedName name="FIND_PARAMS">FIND!$P$3:$Y$26</definedName>
    <definedName name="FORMAT_RANGE">FORMAT_RANGE!$E$5</definedName>
    <definedName name="FORMAT_RANGE_PARAMS">FORMAT_RANGE!$M$3:$V$20</definedName>
    <definedName name="FORMAT_STRING">FORMAT_STRING!$H$5</definedName>
    <definedName name="FORMAT_STRING_PARAMS">FORMAT_STRING!$L$3:$U$17</definedName>
    <definedName name="FORMULA">REGEX!$I$180</definedName>
    <definedName name="FORMULA_PARAMS">REGEX!$Q$26:$Z$43</definedName>
    <definedName name="GET">GET!$B$15:$C$17</definedName>
    <definedName name="GET_CLICKVAL">CLICKVALS!$D$11</definedName>
    <definedName name="GET_CLICKVAL_PARAMS">CLICKVALS!$K$41:$T$49</definedName>
    <definedName name="GET_CONTROL_SETTINGS">EXCEL_CONTROL!$B$71:$B$128</definedName>
    <definedName name="GET_CONTROL_SETTINGS_PARAMS">EXCEL_CONTROL!$S$66:$AB$74</definedName>
    <definedName name="GET_EXCEL_PROCESSES">EXCEL_CONTROL!$B$158:$G$161</definedName>
    <definedName name="GET_EXCEL_PROCESSES_PARAMS">EXCEL_CONTROL!$S$96:$AB$101</definedName>
    <definedName name="GET_LIVE">GET!$B$34:$C$36</definedName>
    <definedName name="GET_LIVE_PARAMS">GET!$Q$49:$Z$69</definedName>
    <definedName name="GET_METADATA">GET!$B$115:$D$130</definedName>
    <definedName name="GET_METADATA_PARAMS">GET!$Q$95:$Z$118</definedName>
    <definedName name="GET_PARAMS">GET!$Q$26:$Z$46</definedName>
    <definedName name="GET_PROCESSES">ADMIN!$B$119</definedName>
    <definedName name="GET_PROCESSES_PARAMS">ADMIN!$K$203:$T$208</definedName>
    <definedName name="GRID_FILTER">FILTER!$K$356:$P$363</definedName>
    <definedName name="GRID_FILTER_PARAMS">FILTER!$AE$32:$AN$58</definedName>
    <definedName name="GRID_LOOKUP">LOOKUP!$K$303</definedName>
    <definedName name="GRID_LOOKUP_PARAMS">LOOKUP!$W$35:$AF$61</definedName>
    <definedName name="GRID_TO_TABLE">GRID_TO_TABLE!$K$6:$M$14</definedName>
    <definedName name="GRID_TO_TABLE_PARAMS">GRID_TO_TABLE!$V$3:$AE$20</definedName>
    <definedName name="GZIP">GZIP!$E$5</definedName>
    <definedName name="GZIP_PARAMS">GZIP!$M$3:$V$16</definedName>
    <definedName name="HAGGREGATE">AGGREGATE!$L$180:$T$188</definedName>
    <definedName name="HAPPEND">APPEND!$F$216:$I$218</definedName>
    <definedName name="HAS_WEB_CONTROLS">PUBLISH!$B$291</definedName>
    <definedName name="HAS_WEB_CONTROLS_PARAMS">PUBLISH!$Q$178:$Z$189</definedName>
    <definedName name="HELP">ADMIN!$B$81:$C$83</definedName>
    <definedName name="HELP_PARAMS">ADMIN!$K$161:$T$166</definedName>
    <definedName name="HFILTER">FILTER!$C$331:$P$338</definedName>
    <definedName name="HSORT">SORT!$L$244:$S$257</definedName>
    <definedName name="HUNIQUE">UNIQUE!$B$83:$I$84</definedName>
    <definedName name="INCLUDE_HTML">PUBLISH!$F$68</definedName>
    <definedName name="INCLUDE_HTML_PARAMS">PUBLISH!$Q$43:$Z$54</definedName>
    <definedName name="INCREMENT">INCREMENT!$H$5</definedName>
    <definedName name="INCREMENT_PARAMS">INCREMENT!$Q$3:$Z$17</definedName>
    <definedName name="INSERT_IMAGE">IMAGES!$D$8</definedName>
    <definedName name="INSERT_IMAGE_PARAMS">IMAGES!$M$3:$V$29</definedName>
    <definedName name="INVOKE">COMPILE!$E$16</definedName>
    <definedName name="INVOKE_AS_MACRO">COMPILE!$G$260</definedName>
    <definedName name="INVOKE_AS_MACRO_PARAMS">COMPILE!$V$109:$AE$177</definedName>
    <definedName name="INVOKE_ASYNC">COMPILE!$G$222</definedName>
    <definedName name="INVOKE_ASYNC_PARAMS">COMPILE!$V$180:$AE$248</definedName>
    <definedName name="INVOKE_PARAMS">COMPILE!$V$38:$AE$106</definedName>
    <definedName name="IS_CONTROL_ENABLED">EXCEL_CONTROL!$E$145</definedName>
    <definedName name="IS_CONTROL_ENABLED_PARAMS">EXCEL_CONTROL!$S$88:$AB$93</definedName>
    <definedName name="ISOLATE_WORKBOOK">EXCEL_CONTROL!$E$290</definedName>
    <definedName name="ISOLATE_WORKBOOK_PARAMS">EXCEL_CONTROL!$S$220:$AB$228</definedName>
    <definedName name="KEEP_AWAKE">MONITORING!$C$86</definedName>
    <definedName name="KEEP_AWAKE_PARAMS">MONITORING!$Q$59:$Z$67</definedName>
    <definedName name="KEYBOARD_SHORTCUT">KEYBOARD_SHORTCUT!$D$5</definedName>
    <definedName name="KEYBOARD_SHORTCUT_PARAMS">KEYBOARD_SHORTCUT!$K$4:$T$30</definedName>
    <definedName name="KILL_EXCEL_PROCESSES">EXCEL_CONTROL!$E$178</definedName>
    <definedName name="KILL_EXCEL_PROCESSES_PARAMS">EXCEL_CONTROL!$S$104:$AB$115</definedName>
    <definedName name="LAUNCH_EXCEL">EXCEL_CONTROL!$E$5:$E$6</definedName>
    <definedName name="LAUNCH_EXCEL_PARAMS">EXCEL_CONTROL!$S$3:$AB$32</definedName>
    <definedName name="LISTEN">LISTEN!$D$8</definedName>
    <definedName name="LISTEN_PARAMS">LISTEN!$O$7:$X$30</definedName>
    <definedName name="LOG">ADMIN!$B$113</definedName>
    <definedName name="LOG_PARAMS">ADMIN!$K$186:$T$200</definedName>
    <definedName name="MACHINE_NAME">ADMIN!$C$6</definedName>
    <definedName name="MACHINE_NAME_PARAMS">ADMIN!$K$14:$T$22</definedName>
    <definedName name="MAKE_LINK">FILES!$C$182</definedName>
    <definedName name="MAKE_LINK_PARAMS">FILES!$Q$153:$Z$170</definedName>
    <definedName name="MAX_PRECISION">PUBLISH!$B$231:$C$231</definedName>
    <definedName name="MAX_PRECISION_PARAMS">PUBLISH!$Q$148:$Z$162</definedName>
    <definedName name="MENU">MENU!$T$4</definedName>
    <definedName name="MENU_IMAGES">MENU!$T$89</definedName>
    <definedName name="MENU_IMAGES_PARAMS">MENU!$W$17:$AF$25</definedName>
    <definedName name="MENU_PARAMS">MENU!$W$3:$AF$14</definedName>
    <definedName name="MESSAGE_BOX">NOTIFICATION!$C$158</definedName>
    <definedName name="MESSAGE_BOX_PARAMS">NOTIFICATION!$K$133:$T$150</definedName>
    <definedName name="MONITOR_WORKBOOK">MONITORING!$C$5</definedName>
    <definedName name="MONITOR_WORKBOOK_PARAMS">MONITORING!$Q$3:$Z$56</definedName>
    <definedName name="NAMED_RANGE">RANGE_REF!$E$74</definedName>
    <definedName name="NAMED_RANGE_PARAMS">RANGE_REF!$Q$71:$Z$88</definedName>
    <definedName name="NETWORK_PATH">ADMIN!$C$71</definedName>
    <definedName name="NETWORK_PATH_PARAMS">ADMIN!$K$139:$T$147</definedName>
    <definedName name="NOW">TIME!$C$18</definedName>
    <definedName name="NOW_PARAMS">TIME!$K$14:$T$22</definedName>
    <definedName name="OFFSET">OFFSET!$F$5</definedName>
    <definedName name="OFFSET_PARAMS">OFFSET!$O$3:$X$29</definedName>
    <definedName name="ON_CLOSE">EXCEL_CONTROL!$E$255</definedName>
    <definedName name="ON_CLOSE_PARAMS">EXCEL_CONTROL!$S$203:$AB$217</definedName>
    <definedName name="OPEN_DIRECTORY">FILES!$C$152</definedName>
    <definedName name="OPEN_DIRECTORY_PARAMS">FILES!$Q$136:$Z$150</definedName>
    <definedName name="OVERWRITE_CLICKVAL">CLICKVALS!$D$208</definedName>
    <definedName name="OVERWRITE_CLICKVAL_PARAMS">CLICKVALS!$K$52:$T$66</definedName>
    <definedName name="PAD">PAD!$H$7:$I$10</definedName>
    <definedName name="PAD_PARAMS">PAD!$Q$3:$Z$17</definedName>
    <definedName name="PAGE_NAMES">PUBLISH!$F$35</definedName>
    <definedName name="PAGE_NAMES_PARAMS">PUBLISH!$Q$29:$Z$40</definedName>
    <definedName name="PARSE">PARSE_NUMBERS!$D$61:$D$66</definedName>
    <definedName name="PARSE_DATETIME">TIME!$D$44</definedName>
    <definedName name="PARSE_DATETIME_PARAMS">TIME!$K$36:$T$56</definedName>
    <definedName name="PARSE_NUMBERS">PARSE_NUMBERS!$D$5</definedName>
    <definedName name="PARSE_NUMBERS_PARAMS">PARSE_NUMBERS!$M$3:$V$29</definedName>
    <definedName name="PARSE_PARAMS">PARSE_NUMBERS!$M$32:$V$49</definedName>
    <definedName name="PARSE_WEB_CONTROL_VALS">PUBLISH!$B$369:$C$370</definedName>
    <definedName name="PARSE_WEB_CONTROL_VALS_PARAMS">PUBLISH!$Q$328:$Z$336</definedName>
    <definedName name="PASTE">PASTE!$C$10</definedName>
    <definedName name="PASTE_IN_MANUAL_MODE">PASTE!$C$46</definedName>
    <definedName name="PASTE_IN_MANUAL_MODE_PARAMS">PASTE!$Q$38:$Z$46</definedName>
    <definedName name="PASTE_OCCURRED">PASTE!$C$52</definedName>
    <definedName name="PASTE_OCCURRED_PARAMS">PASTE!$Q$49:$Z$57</definedName>
    <definedName name="PASTE_PARAMS">PASTE!$Q$3:$Z$35</definedName>
    <definedName name="PRIOR_VALS">DO!$B$112:$B$114</definedName>
    <definedName name="PRIOR_VALS_PARAMS">DO!$K$48:$T$68</definedName>
    <definedName name="PROCESS_ID">ADMIN!$C$68</definedName>
    <definedName name="PROCESS_ID_PARAMS">ADMIN!$K$131:$T$136</definedName>
    <definedName name="PROFILE_WORKBOOK">PERFORMANCE!$C$5</definedName>
    <definedName name="PROFILE_WORKBOOK_PARAMS">PERFORMANCE!$Q$3:$Z$23</definedName>
    <definedName name="PROTECT_WORKBOOK">DISTRIBUTION!$B$101</definedName>
    <definedName name="PROTECT_WORKBOOK_PARAMS">DISTRIBUTION!$Q$75:$Z$95</definedName>
    <definedName name="PUB_AND_PASTE">PUBLISH!$C$140</definedName>
    <definedName name="PUB_AND_PASTE_PARAMS">PUBLISH!$Q$57:$Z$68</definedName>
    <definedName name="PUB_SECRET">SECURITY!$B$82:$C$82</definedName>
    <definedName name="PUB_SECRET_PARAMS">SECURITY!$Q$17:$Z$31</definedName>
    <definedName name="PUB_SNAPSHOT">PUBLISH!$F$190</definedName>
    <definedName name="PUB_SNAPSHOT_PARAMS">PUBLISH!$Q$103:$Z$117</definedName>
    <definedName name="PUB_THROTTLE_MILLIS">PUBLISH!$B$497</definedName>
    <definedName name="PUB_THROTTLE_MILLIS_PARAMS">PUBLISH!$Q$350:$Z$361</definedName>
    <definedName name="PUBLISH">PUBLISH!$F$9</definedName>
    <definedName name="PUBLISH_PARAMS">PUBLISH!$Q$3:$Z$26</definedName>
    <definedName name="RAND">RAND!$F$6</definedName>
    <definedName name="RAND_PARAMS">RAND!$M$3:$V$17</definedName>
    <definedName name="RANGE_NAME">EXCEL_CONTROL!$E$228</definedName>
    <definedName name="RANGE_NAME_PARAMS">EXCEL_CONTROL!$S$163:$AB$174</definedName>
    <definedName name="RANGE_REF">RANGE_REF!$E$5</definedName>
    <definedName name="RANGE_REF_PARAMS">RANGE_REF!$Q$3:$Z$68</definedName>
    <definedName name="READ_FILE">FILES!$E$61</definedName>
    <definedName name="READ_FILE_PARAMS">FILES!$Q$32:$Z$55</definedName>
    <definedName name="READ_ONLY">DISTRIBUTION!$E$5</definedName>
    <definedName name="READ_ONLY_PARAMS">DISTRIBUTION!$Q$3:$Z$23</definedName>
    <definedName name="RECALC">EXCEL_CONTROL!$E$188</definedName>
    <definedName name="RECALC_PARAMS">EXCEL_CONTROL!$S$118:$AB$132</definedName>
    <definedName name="RECENT">FILES!$B$190:$B$216</definedName>
    <definedName name="RECENT_PARAMS">FILES!$Q$173:$Z$181</definedName>
    <definedName name="REFRESH">GET!$C$56</definedName>
    <definedName name="REFRESH_PARAMS">GET!$Q$72:$Z$92</definedName>
    <definedName name="REGEX">REGEX!$I$5:$I$7</definedName>
    <definedName name="REGEX_PARAMS">REGEX!$Q$3:$Z$23</definedName>
    <definedName name="REGION">REGION!$B$20:$E$32</definedName>
    <definedName name="REGION_PARAMS">REGION!$Q$3:$Z$32</definedName>
    <definedName name="REGISTER_IMAGE">IMAGES!$D$102</definedName>
    <definedName name="REGISTER_IMAGE_PARAMS">IMAGES!$M$52:$V$69</definedName>
    <definedName name="REMOVE_NON_ASCII">REMOVE_NON_ASCII!$E$6:$E$7</definedName>
    <definedName name="REMOVE_NON_ASCII_PARAMS">REMOVE_NON_ASCII!$P$3:$Y$23</definedName>
    <definedName name="REPLACE">REPLACE!$H$6:$K$11</definedName>
    <definedName name="REPLACE_PARAMS">REPLACE!$U$3:$AD$32</definedName>
    <definedName name="RESHAPE">RESHAPE!$H$4:$J$5</definedName>
    <definedName name="RESHAPE_PARAMS">RESHAPE!$Q$3:$Z$29</definedName>
    <definedName name="REVERT">CLEAR!$E$40</definedName>
    <definedName name="REVERT_PARAMS">CLEAR!$Q$23:$Z$34</definedName>
    <definedName name="RTD_THROTTLE_MILLIS">ADMIN!$B$88</definedName>
    <definedName name="RTD_THROTTLE_MILLIS_PARAMS">ADMIN!$K$169:$T$183</definedName>
    <definedName name="RUN_SCRIPT">'SCRIPTS #init()'!$G$11</definedName>
    <definedName name="RUN_SCRIPT_PARAMS">'SCRIPTS #init()'!$Q$26:$Z$52</definedName>
    <definedName name="SAVE_CREDENTIALS">ADMIN!$C$24</definedName>
    <definedName name="SAVE_CREDENTIALS_PARAMS">ADMIN!$K$69:$T$89</definedName>
    <definedName name="SAVE_EMAIL_CONFIG">NOTIFICATION!$C$49</definedName>
    <definedName name="SAVE_EMAIL_CONFIG_PARAMS">NOTIFICATION!$K$41:$T$64</definedName>
    <definedName name="SAVE_TEXT_CONFIG">NOTIFICATION!$C$96</definedName>
    <definedName name="SAVE_TEXT_CONFIG_PARAMS">NOTIFICATION!$K$96:$T$110</definedName>
    <definedName name="SAVE_WORKBOOK_PASSWORD">EXCEL_CONTROL!$E$31</definedName>
    <definedName name="SAVE_WORKBOOK_PASSWORD_PARAMS">EXCEL_CONTROL!$S$35:$AB$49</definedName>
    <definedName name="SECRET">SECURITY!$B$14:$C$14</definedName>
    <definedName name="SECRET_PARAMS">SECURITY!$Q$3:$Z$14</definedName>
    <definedName name="SELECTION_PATH">SELECTION_PATH!$E$5</definedName>
    <definedName name="SELECTION_PATH_PARAMS">SELECTION_PATH!$Q$3:$Z$68</definedName>
    <definedName name="SEND_EMAIL">NOTIFICATION!$C$7</definedName>
    <definedName name="SEND_EMAIL_PARAMS">NOTIFICATION!$K$3:$T$38</definedName>
    <definedName name="SEND_TEXT">NOTIFICATION!$C$70</definedName>
    <definedName name="SEND_TEXT_PARAMS">NOTIFICATION!$K$67:$T$93</definedName>
    <definedName name="SEQUENCE">SEQUENCE!$F$6:$F$10</definedName>
    <definedName name="SEQUENCE_PARAMS">SEQUENCE!$M$3:$V$20</definedName>
    <definedName name="SERVER">ADMIN!$C$10</definedName>
    <definedName name="SERVER_PARAMS">ADMIN!$K$33:$T$41</definedName>
    <definedName name="SET_CLICKVALS">CLICKVALS!$D$8</definedName>
    <definedName name="SET_CLICKVALS_PARAMS">CLICKVALS!$K$6:$T$38</definedName>
    <definedName name="SET_OPEN_VALS">EXCEL_CONTROL!$E$235</definedName>
    <definedName name="SET_OPEN_VALS_PARAMS">EXCEL_CONTROL!$S$177:$AB$200</definedName>
    <definedName name="SOUND">NOTIFICATION!$C$115</definedName>
    <definedName name="SOUND_PARAMS">NOTIFICATION!$K$113:$T$130</definedName>
    <definedName name="SPLIT">SPLIT!$D$6:$F$6</definedName>
    <definedName name="SPLIT_PARAMS">SPLIT!$P$3:$Y$20</definedName>
    <definedName name="START_PROCESS">START_PROCESS!$E$5</definedName>
    <definedName name="START_PROCESS_PARAMS">START_PROCESS!$Q$3:$Z$26</definedName>
    <definedName name="SUBRANGE">SUBRANGE!$I$6:$L$10</definedName>
    <definedName name="SUBRANGE_PARAMS">SUBRANGE!$V$3:$AE$26</definedName>
    <definedName name="SUBSCRIBE">GET!$C$10</definedName>
    <definedName name="SUBSCRIBE_PARAMS">GET!$Q$3:$Z$23</definedName>
    <definedName name="SYNC_CELLS">SYNC_CELLS!$E$5</definedName>
    <definedName name="SYNC_CELLS_PARAMS">SYNC_CELLS!$Q$3:$Z$20</definedName>
    <definedName name="TABLE_TO_GRID">GRID_TO_TABLE!$I$170:$L$173</definedName>
    <definedName name="TABLE_TO_GRID_PARAMS">GRID_TO_TABLE!$V$23:$AE$46</definedName>
    <definedName name="TIME">TIME!$C$38</definedName>
    <definedName name="TIME_PARAMS">TIME!$K$25:$T$33</definedName>
    <definedName name="TIMEZONE">TIME!$C$152</definedName>
    <definedName name="TIMEZONE_PARAMS">TIME!$K$79:$T$87</definedName>
    <definedName name="TODAY">TIME!$C$4</definedName>
    <definedName name="TODAY_PARAMS">TIME!$K$3:$T$11</definedName>
    <definedName name="TOPIC">SECURITY!$C$57</definedName>
    <definedName name="TOPIC_PARAMS">SECURITY!$Q$34:$Z$48</definedName>
    <definedName name="TOPICS_REPORT">GET!$B$155:$F$182</definedName>
    <definedName name="TOPICS_REPORT_PARAMS">GET!$Q$121:$Z$126</definedName>
    <definedName name="TRANSPOSE">GRID_TO_TABLE!$I$292:$J$294</definedName>
    <definedName name="TRANSPOSE_PARAMS">GRID_TO_TABLE!$V$49:$AE$57</definedName>
    <definedName name="TRUSTED_DISTRIBUTOR">DISTRIBUTION!$B$75</definedName>
    <definedName name="TRUSTED_DISTRIBUTOR_PARAMS">DISTRIBUTION!$Q$52:$Z$72</definedName>
    <definedName name="TWO_WAY_DATA">PUBLISH!$C$100</definedName>
    <definedName name="TWO_WAY_DATA_PARAMS">PUBLISH!$Q$71:$Z$100</definedName>
    <definedName name="UNLOCK_CELLS">DISTRIBUTION!$E$117</definedName>
    <definedName name="UNLOCK_CELLS_PARAMS">DISTRIBUTION!$Q$98:$Z$112</definedName>
    <definedName name="UPDATE_IMAGE">IMAGES!$D$68</definedName>
    <definedName name="UPDATE_IMAGE_PARAMS">IMAGES!$M$32:$V$49</definedName>
    <definedName name="UPTICK_SECRET">SECURITY!$E$72:$F$72</definedName>
    <definedName name="URL_ENCODE">URL_ENCODE!$D$5</definedName>
    <definedName name="URL_ENCODE_PARAMS">URL_ENCODE!$M$3:$V$14</definedName>
    <definedName name="USERNAME">ADMIN!$C$4</definedName>
    <definedName name="USERNAME_PARAMS">ADMIN!$K$3:$T$11</definedName>
    <definedName name="UUID">UUID!$C$4</definedName>
    <definedName name="UUID_PARAMS">UUID!$K$3:$T$8</definedName>
    <definedName name="VAGGREGATE">AGGREGATE!$L$7:$T$16</definedName>
    <definedName name="VAGGREGATE_PARAMS">AGGREGATE!$AE$3:$AN$29</definedName>
    <definedName name="VAPPEND">APPEND!$G$7:$H$12</definedName>
    <definedName name="VAPPEND_PARAMS">APPEND!$Q$3:$Z$38</definedName>
    <definedName name="VCOMBINATIONS">COMBINATIONS!$F$5:$G$13</definedName>
    <definedName name="VCOMBINATIONS_PARAMS">COMBINATIONS!$N$3:$W$23</definedName>
    <definedName name="VERSION">ADMIN!$C$40</definedName>
    <definedName name="VERSION_PARAMS">ADMIN!$K$100:$T$111</definedName>
    <definedName name="VFILTER">FILTER!$L$7:$S$12</definedName>
    <definedName name="VFILTER_PARAMS">FILTER!$AE$3:$AN$29</definedName>
    <definedName name="VINSERT">INSERT!$F$5:$G$9</definedName>
    <definedName name="VINSERT_PARAMS">INSERT!$N$3:$W$26</definedName>
    <definedName name="VLOOKUP">LOOKUP!$J$7:$K$12</definedName>
    <definedName name="VLOOKUP_PARAMS">LOOKUP!$W$3:$AF$32</definedName>
    <definedName name="VREPEAT">REPEAT!$E$5:$F$11</definedName>
    <definedName name="VREPEAT_PARAMS">REPEAT!$M$3:$V$20</definedName>
    <definedName name="VSORT">SORT!$L$7:$S$20</definedName>
    <definedName name="VSORT_PARAMS">SORT!$AE$3:$AN$23</definedName>
    <definedName name="VUNIQUE">UNIQUE!$E$7:$F$14</definedName>
    <definedName name="VUNIQUE_PARAMS">UNIQUE!$Q$3:$Z$20</definedName>
    <definedName name="WATCH_FILES">FILES!$C$99</definedName>
    <definedName name="WATCH_FILES_PARAMS">FILES!$Q$87:$Z$104</definedName>
    <definedName name="WEB_CONTROL.BUTTON">PUBLISH!$C$401</definedName>
    <definedName name="WEB_CONTROL.BUTTON_PARAMS">PUBLISH!$Q$226:$Z$240</definedName>
    <definedName name="WEB_CONTROL.CHECKBOX">PUBLISH!$D$312</definedName>
    <definedName name="WEB_CONTROL.CHECKBOX_PARAMS">PUBLISH!$Q$192:$Z$206</definedName>
    <definedName name="WEB_CONTROL.DATEPICKER">PUBLISH!$C$425</definedName>
    <definedName name="WEB_CONTROL.DATEPICKER_PARAMS">PUBLISH!$Q$263:$Z$277</definedName>
    <definedName name="WEB_CONTROL.DROPDOWN">PUBLISH!$C$411</definedName>
    <definedName name="WEB_CONTROL.DROPDOWN_PARAMS">PUBLISH!$Q$243:$Z$260</definedName>
    <definedName name="WEB_CONTROL.HYPERLINK">PUBLISH!$C$433</definedName>
    <definedName name="WEB_CONTROL.HYPERLINK_PARAMS">PUBLISH!$Q$280:$Z$294</definedName>
    <definedName name="WEB_CONTROL.TEXTAREA">PUBLISH!$C$379</definedName>
    <definedName name="WEB_CONTROL.TEXTAREA_PARAMS">PUBLISH!$Q$209:$Z$223</definedName>
    <definedName name="WEB_CONTROL.TOOLTIP">PUBLISH!$C$443</definedName>
    <definedName name="WEB_CONTROL.TOOLTIP_PARAMS">PUBLISH!$Q$297:$Z$311</definedName>
    <definedName name="WEB_CONTROL_LOCATION">PUBLISH!$F$333</definedName>
    <definedName name="WEB_CONTROL_LOCATION_PARAMS">PUBLISH!$Q$314:$Z$325</definedName>
    <definedName name="WEB_STYLE">PUBLISH!$B$249</definedName>
    <definedName name="WEB_STYLE_PARAMS">PUBLISH!$Q$164:$Z$175</definedName>
    <definedName name="WORKBOOK_NAME">EXCEL_CONTROL!$E$194</definedName>
    <definedName name="WORKBOOK_NAME_PARAMS">EXCEL_CONTROL!$S$135:$AB$143</definedName>
    <definedName name="WORKSHEET_NAME">EXCEL_CONTROL!$E$200</definedName>
    <definedName name="WORKSHEET_NAME_PARAMS">EXCEL_CONTROL!$S$146:$AB$160</definedName>
    <definedName name="WRITE_FILE">FILES!$E$5</definedName>
    <definedName name="WRITE_FILE_PARAMS">FILES!$Q$3:$Z$29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4" i="60" l="1" a="1"/>
  <c r="G254" i="60"/>
  <c r="G222" i="60" a="1"/>
  <c r="G222" i="60"/>
  <c r="H119" i="11" l="1" a="1"/>
  <c r="H119" i="11" l="1"/>
  <c r="J119" i="11"/>
  <c r="H120" i="11"/>
  <c r="I120" i="11"/>
  <c r="J120" i="11"/>
  <c r="I119" i="11"/>
  <c r="B206" i="18" l="1"/>
  <c r="I246" i="40" a="1"/>
  <c r="I212" i="40" a="1"/>
  <c r="G119" i="18" a="1"/>
  <c r="D30" i="24" a="1"/>
  <c r="G175" i="18" a="1"/>
  <c r="I187" i="26" a="1"/>
  <c r="I238" i="40" a="1"/>
  <c r="G273" i="60" a="1"/>
  <c r="J139" i="26" a="1"/>
  <c r="H39" i="52" a="1"/>
  <c r="G199" i="18" a="1"/>
  <c r="I93" i="26" a="1"/>
  <c r="I253" i="40" a="1"/>
  <c r="H71" i="52" a="1"/>
  <c r="I222" i="26" a="1"/>
  <c r="H104" i="52" a="1"/>
  <c r="H63" i="60" a="1"/>
  <c r="B121" i="52" a="1"/>
  <c r="H88" i="52" a="1"/>
  <c r="C43" i="18" a="1"/>
  <c r="B97" i="35" a="1"/>
  <c r="K303" i="26" a="1"/>
  <c r="I207" i="26" a="1"/>
  <c r="H152" i="26" a="1"/>
  <c r="I242" i="26" a="1"/>
  <c r="G132" i="18" a="1"/>
  <c r="G163" i="18" a="1"/>
  <c r="I232" i="26" a="1"/>
  <c r="H26" i="52" a="1"/>
  <c r="H97" i="26" a="1"/>
  <c r="E141" i="60" a="1"/>
  <c r="G155" i="18" a="1"/>
  <c r="J163" i="26" a="1"/>
  <c r="F116" i="60" a="1"/>
  <c r="L375" i="26" a="1"/>
  <c r="H21" i="52" a="1"/>
  <c r="I192" i="40" a="1"/>
  <c r="I32" i="52" a="1"/>
  <c r="J131" i="26" a="1"/>
  <c r="G257" i="60" a="1"/>
  <c r="H56" i="52" a="1"/>
  <c r="H4" i="52" a="1"/>
  <c r="G260" i="60" a="1"/>
  <c r="H65" i="60" a="1"/>
  <c r="I268" i="40" a="1"/>
  <c r="K69" i="26" a="1"/>
  <c r="J27" i="26" a="1"/>
  <c r="I178" i="26" a="1"/>
  <c r="K357" i="58" a="1"/>
  <c r="H17" i="52" a="1"/>
  <c r="G114" i="52" a="1"/>
  <c r="M341" i="26" a="1"/>
  <c r="D33" i="24" a="1"/>
  <c r="J7" i="26" a="1"/>
  <c r="C44" i="18" a="1"/>
  <c r="K349" i="58" a="1"/>
  <c r="I225" i="40" a="1"/>
  <c r="I121" i="52" a="1"/>
  <c r="I183" i="40" a="1"/>
  <c r="I170" i="40" a="1"/>
  <c r="M322" i="26" a="1"/>
  <c r="M350" i="26" a="1"/>
  <c r="K84" i="26" a="1"/>
  <c r="J36" i="26" a="1"/>
  <c r="K367" i="26" a="1"/>
  <c r="J19" i="26" a="1"/>
  <c r="L311" i="26" a="1"/>
  <c r="K56" i="26" a="1"/>
  <c r="B113" i="13" a="1"/>
  <c r="I131" i="52" a="1"/>
  <c r="I260" i="40" a="1"/>
  <c r="D91" i="30" a="1"/>
  <c r="D133" i="30" a="1"/>
  <c r="D91" i="30" l="1"/>
  <c r="D133" i="30"/>
  <c r="L375" i="26"/>
  <c r="M375" i="26"/>
  <c r="L376" i="26"/>
  <c r="M376" i="26"/>
  <c r="K367" i="26"/>
  <c r="L367" i="26"/>
  <c r="M367" i="26"/>
  <c r="N367" i="26"/>
  <c r="K368" i="26"/>
  <c r="L368" i="26"/>
  <c r="M368" i="26"/>
  <c r="N368" i="26"/>
  <c r="K369" i="26"/>
  <c r="L369" i="26"/>
  <c r="M369" i="26"/>
  <c r="N369" i="26"/>
  <c r="K370" i="26"/>
  <c r="L370" i="26"/>
  <c r="M370" i="26"/>
  <c r="N370" i="26"/>
  <c r="M351" i="26"/>
  <c r="N351" i="26"/>
  <c r="N350" i="26"/>
  <c r="M350" i="26"/>
  <c r="N341" i="26"/>
  <c r="M341" i="26"/>
  <c r="M342" i="26"/>
  <c r="N342" i="26"/>
  <c r="M322" i="26"/>
  <c r="N322" i="26"/>
  <c r="M323" i="26"/>
  <c r="N323" i="26"/>
  <c r="M311" i="26"/>
  <c r="L311" i="26"/>
  <c r="L312" i="26"/>
  <c r="M312" i="26"/>
  <c r="K303" i="26"/>
  <c r="I243" i="26"/>
  <c r="J244" i="26"/>
  <c r="I245" i="26"/>
  <c r="K245" i="26"/>
  <c r="J246" i="26"/>
  <c r="J247" i="26"/>
  <c r="K247" i="26"/>
  <c r="J248" i="26"/>
  <c r="K248" i="26"/>
  <c r="I242" i="26"/>
  <c r="J243" i="26"/>
  <c r="J245" i="26"/>
  <c r="I246" i="26"/>
  <c r="I247" i="26"/>
  <c r="I248" i="26"/>
  <c r="K242" i="26"/>
  <c r="K243" i="26"/>
  <c r="I244" i="26"/>
  <c r="K244" i="26"/>
  <c r="K246" i="26"/>
  <c r="J242" i="26"/>
  <c r="J235" i="26"/>
  <c r="K235" i="26"/>
  <c r="I236" i="26"/>
  <c r="I237" i="26"/>
  <c r="J237" i="26"/>
  <c r="K237" i="26"/>
  <c r="I238" i="26"/>
  <c r="J238" i="26"/>
  <c r="K238" i="26"/>
  <c r="J236" i="26"/>
  <c r="K236" i="26"/>
  <c r="I232" i="26"/>
  <c r="J232" i="26"/>
  <c r="K232" i="26"/>
  <c r="I233" i="26"/>
  <c r="J233" i="26"/>
  <c r="K233" i="26"/>
  <c r="I234" i="26"/>
  <c r="J234" i="26"/>
  <c r="K234" i="26"/>
  <c r="I235" i="26"/>
  <c r="I222" i="26"/>
  <c r="J222" i="26"/>
  <c r="K222" i="26"/>
  <c r="I223" i="26"/>
  <c r="J223" i="26"/>
  <c r="K223" i="26"/>
  <c r="I224" i="26"/>
  <c r="J224" i="26"/>
  <c r="K224" i="26"/>
  <c r="I225" i="26"/>
  <c r="J225" i="26"/>
  <c r="K225" i="26"/>
  <c r="I226" i="26"/>
  <c r="J226" i="26"/>
  <c r="K226" i="26"/>
  <c r="I227" i="26"/>
  <c r="J227" i="26"/>
  <c r="K227" i="26"/>
  <c r="I228" i="26"/>
  <c r="J228" i="26"/>
  <c r="K228" i="26"/>
  <c r="K207" i="26"/>
  <c r="J208" i="26"/>
  <c r="K210" i="26"/>
  <c r="I211" i="26"/>
  <c r="K211" i="26"/>
  <c r="L207" i="26"/>
  <c r="I208" i="26"/>
  <c r="K208" i="26"/>
  <c r="J211" i="26"/>
  <c r="I207" i="26"/>
  <c r="L212" i="26"/>
  <c r="L208" i="26"/>
  <c r="I209" i="26"/>
  <c r="J209" i="26"/>
  <c r="K209" i="26"/>
  <c r="L209" i="26"/>
  <c r="I210" i="26"/>
  <c r="J210" i="26"/>
  <c r="L210" i="26"/>
  <c r="L211" i="26"/>
  <c r="I212" i="26"/>
  <c r="J212" i="26"/>
  <c r="K212" i="26"/>
  <c r="J207" i="26"/>
  <c r="I188" i="26"/>
  <c r="L188" i="26"/>
  <c r="I189" i="26"/>
  <c r="K189" i="26"/>
  <c r="L189" i="26"/>
  <c r="J190" i="26"/>
  <c r="L190" i="26"/>
  <c r="I191" i="26"/>
  <c r="J191" i="26"/>
  <c r="L191" i="26"/>
  <c r="J192" i="26"/>
  <c r="I187" i="26"/>
  <c r="K192" i="26"/>
  <c r="J187" i="26"/>
  <c r="L192" i="26"/>
  <c r="K187" i="26"/>
  <c r="L187" i="26"/>
  <c r="J188" i="26"/>
  <c r="K188" i="26"/>
  <c r="J189" i="26"/>
  <c r="I190" i="26"/>
  <c r="K190" i="26"/>
  <c r="K191" i="26"/>
  <c r="I192" i="26"/>
  <c r="I179" i="26"/>
  <c r="J179" i="26"/>
  <c r="K179" i="26"/>
  <c r="L179" i="26"/>
  <c r="I180" i="26"/>
  <c r="J180" i="26"/>
  <c r="K180" i="26"/>
  <c r="L180" i="26"/>
  <c r="I181" i="26"/>
  <c r="J181" i="26"/>
  <c r="K181" i="26"/>
  <c r="L181" i="26"/>
  <c r="I182" i="26"/>
  <c r="J182" i="26"/>
  <c r="K182" i="26"/>
  <c r="L182" i="26"/>
  <c r="I183" i="26"/>
  <c r="J183" i="26"/>
  <c r="I178" i="26"/>
  <c r="K183" i="26"/>
  <c r="J178" i="26"/>
  <c r="L183" i="26"/>
  <c r="K178" i="26"/>
  <c r="L178" i="26"/>
  <c r="J163" i="26"/>
  <c r="J164" i="26"/>
  <c r="J165" i="26"/>
  <c r="J166" i="26"/>
  <c r="I153" i="26"/>
  <c r="J153" i="26"/>
  <c r="H154" i="26"/>
  <c r="I154" i="26"/>
  <c r="J154" i="26"/>
  <c r="H155" i="26"/>
  <c r="I155" i="26"/>
  <c r="J155" i="26"/>
  <c r="H156" i="26"/>
  <c r="I156" i="26"/>
  <c r="J156" i="26"/>
  <c r="H157" i="26"/>
  <c r="I157" i="26"/>
  <c r="J157" i="26"/>
  <c r="H152" i="26"/>
  <c r="I152" i="26"/>
  <c r="J152" i="26"/>
  <c r="H153" i="26"/>
  <c r="J140" i="26"/>
  <c r="J141" i="26"/>
  <c r="J139" i="26"/>
  <c r="J131" i="26"/>
  <c r="J132" i="26"/>
  <c r="J133" i="26"/>
  <c r="H104" i="26"/>
  <c r="I111" i="26"/>
  <c r="J118" i="26"/>
  <c r="H97" i="26"/>
  <c r="I104" i="26"/>
  <c r="J111" i="26"/>
  <c r="I97" i="26"/>
  <c r="J104" i="26"/>
  <c r="H112" i="26"/>
  <c r="J97" i="26"/>
  <c r="H105" i="26"/>
  <c r="I112" i="26"/>
  <c r="H98" i="26"/>
  <c r="I105" i="26"/>
  <c r="J112" i="26"/>
  <c r="J107" i="26"/>
  <c r="J100" i="26"/>
  <c r="I115" i="26"/>
  <c r="I108" i="26"/>
  <c r="I101" i="26"/>
  <c r="H116" i="26"/>
  <c r="H109" i="26"/>
  <c r="H102" i="26"/>
  <c r="J116" i="26"/>
  <c r="J109" i="26"/>
  <c r="H110" i="26"/>
  <c r="H103" i="26"/>
  <c r="J117" i="26"/>
  <c r="J110" i="26"/>
  <c r="J103" i="26"/>
  <c r="I118" i="26"/>
  <c r="I98" i="26"/>
  <c r="J105" i="26"/>
  <c r="H113" i="26"/>
  <c r="J98" i="26"/>
  <c r="H106" i="26"/>
  <c r="I113" i="26"/>
  <c r="H99" i="26"/>
  <c r="I106" i="26"/>
  <c r="J113" i="26"/>
  <c r="I99" i="26"/>
  <c r="J106" i="26"/>
  <c r="H114" i="26"/>
  <c r="J99" i="26"/>
  <c r="H107" i="26"/>
  <c r="I114" i="26"/>
  <c r="H100" i="26"/>
  <c r="I107" i="26"/>
  <c r="J114" i="26"/>
  <c r="I100" i="26"/>
  <c r="H115" i="26"/>
  <c r="H108" i="26"/>
  <c r="H101" i="26"/>
  <c r="J115" i="26"/>
  <c r="J108" i="26"/>
  <c r="J101" i="26"/>
  <c r="I116" i="26"/>
  <c r="I109" i="26"/>
  <c r="I102" i="26"/>
  <c r="H117" i="26"/>
  <c r="J102" i="26"/>
  <c r="I117" i="26"/>
  <c r="I110" i="26"/>
  <c r="I103" i="26"/>
  <c r="H118" i="26"/>
  <c r="H111" i="26"/>
  <c r="K84" i="26"/>
  <c r="K85" i="26"/>
  <c r="K86" i="26"/>
  <c r="K87" i="26"/>
  <c r="K88" i="26"/>
  <c r="K69" i="26"/>
  <c r="L69" i="26"/>
  <c r="K70" i="26"/>
  <c r="L70" i="26"/>
  <c r="K71" i="26"/>
  <c r="L71" i="26"/>
  <c r="K72" i="26"/>
  <c r="L72" i="26"/>
  <c r="K73" i="26"/>
  <c r="L73" i="26"/>
  <c r="K58" i="26"/>
  <c r="K59" i="26"/>
  <c r="K60" i="26"/>
  <c r="K56" i="26"/>
  <c r="K57" i="26"/>
  <c r="M37" i="26"/>
  <c r="J38" i="26"/>
  <c r="K38" i="26"/>
  <c r="L38" i="26"/>
  <c r="M38" i="26"/>
  <c r="J39" i="26"/>
  <c r="M40" i="26"/>
  <c r="K39" i="26"/>
  <c r="L39" i="26"/>
  <c r="M39" i="26"/>
  <c r="J40" i="26"/>
  <c r="K40" i="26"/>
  <c r="L40" i="26"/>
  <c r="J36" i="26"/>
  <c r="K36" i="26"/>
  <c r="L36" i="26"/>
  <c r="M36" i="26"/>
  <c r="J37" i="26"/>
  <c r="K37" i="26"/>
  <c r="L37" i="26"/>
  <c r="M27" i="26"/>
  <c r="J28" i="26"/>
  <c r="K28" i="26"/>
  <c r="L28" i="26"/>
  <c r="M28" i="26"/>
  <c r="J29" i="26"/>
  <c r="K29" i="26"/>
  <c r="L29" i="26"/>
  <c r="M29" i="26"/>
  <c r="J30" i="26"/>
  <c r="K30" i="26"/>
  <c r="L30" i="26"/>
  <c r="M30" i="26"/>
  <c r="J31" i="26"/>
  <c r="K31" i="26"/>
  <c r="L31" i="26"/>
  <c r="M31" i="26"/>
  <c r="J32" i="26"/>
  <c r="K32" i="26"/>
  <c r="J27" i="26"/>
  <c r="L32" i="26"/>
  <c r="K27" i="26"/>
  <c r="M32" i="26"/>
  <c r="L27" i="26"/>
  <c r="K20" i="26"/>
  <c r="J22" i="26"/>
  <c r="J23" i="26"/>
  <c r="J19" i="26"/>
  <c r="J21" i="26"/>
  <c r="K21" i="26"/>
  <c r="K22" i="26"/>
  <c r="K23" i="26"/>
  <c r="K19" i="26"/>
  <c r="J20" i="26"/>
  <c r="J7" i="26"/>
  <c r="K7" i="26"/>
  <c r="J8" i="26"/>
  <c r="J11" i="26"/>
  <c r="J12" i="26"/>
  <c r="K8" i="26"/>
  <c r="J10" i="26"/>
  <c r="J9" i="26"/>
  <c r="K9" i="26"/>
  <c r="K10" i="26"/>
  <c r="K11" i="26"/>
  <c r="K12" i="26"/>
  <c r="I93" i="26"/>
  <c r="J93" i="26"/>
  <c r="I94" i="26"/>
  <c r="J94" i="26"/>
  <c r="H79" i="52"/>
  <c r="H72" i="52"/>
  <c r="H80" i="52"/>
  <c r="H82" i="52"/>
  <c r="I72" i="52"/>
  <c r="H81" i="52"/>
  <c r="H78" i="52"/>
  <c r="I80" i="52"/>
  <c r="H75" i="52"/>
  <c r="I76" i="52"/>
  <c r="I82" i="52"/>
  <c r="I75" i="52"/>
  <c r="H76" i="52"/>
  <c r="H73" i="52"/>
  <c r="I81" i="52"/>
  <c r="I77" i="52"/>
  <c r="H74" i="52"/>
  <c r="H71" i="52"/>
  <c r="I74" i="52"/>
  <c r="I78" i="52"/>
  <c r="I71" i="52"/>
  <c r="I79" i="52"/>
  <c r="I73" i="52"/>
  <c r="H77" i="52"/>
  <c r="K91" i="52"/>
  <c r="I89" i="52"/>
  <c r="K88" i="52"/>
  <c r="L90" i="52"/>
  <c r="L88" i="52"/>
  <c r="L91" i="52"/>
  <c r="I88" i="52"/>
  <c r="J89" i="52"/>
  <c r="K89" i="52"/>
  <c r="K92" i="52"/>
  <c r="H91" i="52"/>
  <c r="L89" i="52"/>
  <c r="M91" i="52"/>
  <c r="J88" i="52"/>
  <c r="H92" i="52"/>
  <c r="I90" i="52"/>
  <c r="J90" i="52"/>
  <c r="J91" i="52"/>
  <c r="K90" i="52"/>
  <c r="M89" i="52"/>
  <c r="M92" i="52"/>
  <c r="H88" i="52"/>
  <c r="I91" i="52"/>
  <c r="M90" i="52"/>
  <c r="M88" i="52"/>
  <c r="H89" i="52"/>
  <c r="H90" i="52"/>
  <c r="I92" i="52"/>
  <c r="J92" i="52"/>
  <c r="L92" i="52"/>
  <c r="I131" i="52"/>
  <c r="I133" i="52"/>
  <c r="I132" i="52"/>
  <c r="I134" i="52"/>
  <c r="I135" i="52"/>
  <c r="I22" i="52"/>
  <c r="H22" i="52"/>
  <c r="J22" i="52"/>
  <c r="J21" i="52"/>
  <c r="K21" i="52"/>
  <c r="H21" i="52"/>
  <c r="K22" i="52"/>
  <c r="I21" i="52"/>
  <c r="H17" i="52"/>
  <c r="I17" i="52"/>
  <c r="J17" i="52"/>
  <c r="K17" i="52"/>
  <c r="H18" i="52"/>
  <c r="I18" i="52"/>
  <c r="K18" i="52"/>
  <c r="J18" i="52"/>
  <c r="H62" i="52"/>
  <c r="I63" i="52"/>
  <c r="H63" i="52"/>
  <c r="I57" i="52"/>
  <c r="I67" i="52"/>
  <c r="H65" i="52"/>
  <c r="H59" i="52"/>
  <c r="H56" i="52"/>
  <c r="H57" i="52"/>
  <c r="I64" i="52"/>
  <c r="H66" i="52"/>
  <c r="H67" i="52"/>
  <c r="H64" i="52"/>
  <c r="H58" i="52"/>
  <c r="I58" i="52"/>
  <c r="I66" i="52"/>
  <c r="I59" i="52"/>
  <c r="H61" i="52"/>
  <c r="I61" i="52"/>
  <c r="I62" i="52"/>
  <c r="I56" i="52"/>
  <c r="I65" i="52"/>
  <c r="H60" i="52"/>
  <c r="I60" i="52"/>
  <c r="K104" i="52"/>
  <c r="I105" i="52"/>
  <c r="J105" i="52"/>
  <c r="J104" i="52"/>
  <c r="I104" i="52"/>
  <c r="H104" i="52"/>
  <c r="H105" i="52"/>
  <c r="K105" i="52"/>
  <c r="H4" i="52"/>
  <c r="H5" i="52"/>
  <c r="I5" i="52"/>
  <c r="I4" i="52"/>
  <c r="J4" i="52"/>
  <c r="J5" i="52"/>
  <c r="H46" i="52"/>
  <c r="I39" i="52"/>
  <c r="H45" i="52"/>
  <c r="H47" i="52"/>
  <c r="H42" i="52"/>
  <c r="I42" i="52"/>
  <c r="H40" i="52"/>
  <c r="H50" i="52"/>
  <c r="H43" i="52"/>
  <c r="I43" i="52"/>
  <c r="I44" i="52"/>
  <c r="H48" i="52"/>
  <c r="H39" i="52"/>
  <c r="I46" i="52"/>
  <c r="H44" i="52"/>
  <c r="I47" i="52"/>
  <c r="I48" i="52"/>
  <c r="I41" i="52"/>
  <c r="I45" i="52"/>
  <c r="I40" i="52"/>
  <c r="H41" i="52"/>
  <c r="H49" i="52"/>
  <c r="I49" i="52"/>
  <c r="I50" i="52"/>
  <c r="I32" i="52"/>
  <c r="I33" i="52"/>
  <c r="I34" i="52"/>
  <c r="I28" i="52"/>
  <c r="H26" i="52"/>
  <c r="H27" i="52"/>
  <c r="I27" i="52"/>
  <c r="I26" i="52"/>
  <c r="H28" i="52"/>
  <c r="B121" i="52"/>
  <c r="I121" i="52"/>
  <c r="I122" i="52"/>
  <c r="I123" i="52"/>
  <c r="I124" i="52"/>
  <c r="I125" i="52"/>
  <c r="H116" i="52"/>
  <c r="J114" i="52"/>
  <c r="N116" i="52"/>
  <c r="K114" i="52"/>
  <c r="I117" i="52"/>
  <c r="L114" i="52"/>
  <c r="L115" i="52"/>
  <c r="M117" i="52"/>
  <c r="N115" i="52"/>
  <c r="I114" i="52"/>
  <c r="J116" i="52"/>
  <c r="M116" i="52"/>
  <c r="G114" i="52"/>
  <c r="N114" i="52"/>
  <c r="G116" i="52"/>
  <c r="G117" i="52"/>
  <c r="I116" i="52"/>
  <c r="H115" i="52"/>
  <c r="K116" i="52"/>
  <c r="J115" i="52"/>
  <c r="M114" i="52"/>
  <c r="G115" i="52"/>
  <c r="H114" i="52"/>
  <c r="H117" i="52"/>
  <c r="I115" i="52"/>
  <c r="J117" i="52"/>
  <c r="K117" i="52"/>
  <c r="M115" i="52"/>
  <c r="N117" i="52"/>
  <c r="L116" i="52"/>
  <c r="K115" i="52"/>
  <c r="L117" i="52"/>
  <c r="M227" i="40"/>
  <c r="P228" i="40"/>
  <c r="O225" i="40"/>
  <c r="O228" i="40"/>
  <c r="K225" i="40"/>
  <c r="M229" i="40"/>
  <c r="L227" i="40"/>
  <c r="N225" i="40"/>
  <c r="J229" i="40"/>
  <c r="O231" i="40"/>
  <c r="M232" i="40"/>
  <c r="P229" i="40"/>
  <c r="I230" i="40"/>
  <c r="I225" i="40"/>
  <c r="N228" i="40"/>
  <c r="I232" i="40"/>
  <c r="J230" i="40"/>
  <c r="N232" i="40"/>
  <c r="K230" i="40"/>
  <c r="K229" i="40"/>
  <c r="K228" i="40"/>
  <c r="K232" i="40"/>
  <c r="L230" i="40"/>
  <c r="K231" i="40"/>
  <c r="P231" i="40"/>
  <c r="P232" i="40"/>
  <c r="L232" i="40"/>
  <c r="N226" i="40"/>
  <c r="I226" i="40"/>
  <c r="J226" i="40"/>
  <c r="J227" i="40"/>
  <c r="M228" i="40"/>
  <c r="K226" i="40"/>
  <c r="O227" i="40"/>
  <c r="J225" i="40"/>
  <c r="N231" i="40"/>
  <c r="O226" i="40"/>
  <c r="K227" i="40"/>
  <c r="L226" i="40"/>
  <c r="P226" i="40"/>
  <c r="L225" i="40"/>
  <c r="O232" i="40"/>
  <c r="O229" i="40"/>
  <c r="N229" i="40"/>
  <c r="M230" i="40"/>
  <c r="J231" i="40"/>
  <c r="M231" i="40"/>
  <c r="P225" i="40"/>
  <c r="N230" i="40"/>
  <c r="P230" i="40"/>
  <c r="L231" i="40"/>
  <c r="L229" i="40"/>
  <c r="P227" i="40"/>
  <c r="I227" i="40"/>
  <c r="I229" i="40"/>
  <c r="I231" i="40"/>
  <c r="M225" i="40"/>
  <c r="J232" i="40"/>
  <c r="O230" i="40"/>
  <c r="M226" i="40"/>
  <c r="N227" i="40"/>
  <c r="I228" i="40"/>
  <c r="L228" i="40"/>
  <c r="J228" i="40"/>
  <c r="J172" i="40"/>
  <c r="L171" i="40"/>
  <c r="J171" i="40"/>
  <c r="K172" i="40"/>
  <c r="I172" i="40"/>
  <c r="L173" i="40"/>
  <c r="J170" i="40"/>
  <c r="K173" i="40"/>
  <c r="L170" i="40"/>
  <c r="I170" i="40"/>
  <c r="I171" i="40"/>
  <c r="K171" i="40"/>
  <c r="K170" i="40"/>
  <c r="L172" i="40"/>
  <c r="J173" i="40"/>
  <c r="I173" i="40"/>
  <c r="K253" i="40"/>
  <c r="J253" i="40"/>
  <c r="K255" i="40"/>
  <c r="J254" i="40"/>
  <c r="I256" i="40"/>
  <c r="K254" i="40"/>
  <c r="I255" i="40"/>
  <c r="J255" i="40"/>
  <c r="I253" i="40"/>
  <c r="K256" i="40"/>
  <c r="I254" i="40"/>
  <c r="J256" i="40"/>
  <c r="L198" i="40"/>
  <c r="K195" i="40"/>
  <c r="K193" i="40"/>
  <c r="M205" i="40"/>
  <c r="I200" i="40"/>
  <c r="J203" i="40"/>
  <c r="I209" i="40"/>
  <c r="J198" i="40"/>
  <c r="K209" i="40"/>
  <c r="K194" i="40"/>
  <c r="L208" i="40"/>
  <c r="J208" i="40"/>
  <c r="K197" i="40"/>
  <c r="J206" i="40"/>
  <c r="M207" i="40"/>
  <c r="M206" i="40"/>
  <c r="I210" i="40"/>
  <c r="M200" i="40"/>
  <c r="L192" i="40"/>
  <c r="K203" i="40"/>
  <c r="M202" i="40"/>
  <c r="I204" i="40"/>
  <c r="J204" i="40"/>
  <c r="L207" i="40"/>
  <c r="J207" i="40"/>
  <c r="M208" i="40"/>
  <c r="K210" i="40"/>
  <c r="M198" i="40"/>
  <c r="K200" i="40"/>
  <c r="L203" i="40"/>
  <c r="J205" i="40"/>
  <c r="M197" i="40"/>
  <c r="K208" i="40"/>
  <c r="I202" i="40"/>
  <c r="K205" i="40"/>
  <c r="J201" i="40"/>
  <c r="M196" i="40"/>
  <c r="M193" i="40"/>
  <c r="J202" i="40"/>
  <c r="L206" i="40"/>
  <c r="I197" i="40"/>
  <c r="M199" i="40"/>
  <c r="M203" i="40"/>
  <c r="K202" i="40"/>
  <c r="K192" i="40"/>
  <c r="L210" i="40"/>
  <c r="J209" i="40"/>
  <c r="L193" i="40"/>
  <c r="I205" i="40"/>
  <c r="L202" i="40"/>
  <c r="I208" i="40"/>
  <c r="J196" i="40"/>
  <c r="M201" i="40"/>
  <c r="I192" i="40"/>
  <c r="I196" i="40"/>
  <c r="L197" i="40"/>
  <c r="J195" i="40"/>
  <c r="J199" i="40"/>
  <c r="M195" i="40"/>
  <c r="J192" i="40"/>
  <c r="M209" i="40"/>
  <c r="I195" i="40"/>
  <c r="J210" i="40"/>
  <c r="J197" i="40"/>
  <c r="L196" i="40"/>
  <c r="L205" i="40"/>
  <c r="I206" i="40"/>
  <c r="I203" i="40"/>
  <c r="I193" i="40"/>
  <c r="M194" i="40"/>
  <c r="M210" i="40"/>
  <c r="K206" i="40"/>
  <c r="K198" i="40"/>
  <c r="J194" i="40"/>
  <c r="I194" i="40"/>
  <c r="L199" i="40"/>
  <c r="J193" i="40"/>
  <c r="M204" i="40"/>
  <c r="I207" i="40"/>
  <c r="K199" i="40"/>
  <c r="I201" i="40"/>
  <c r="L209" i="40"/>
  <c r="L201" i="40"/>
  <c r="L195" i="40"/>
  <c r="L204" i="40"/>
  <c r="L194" i="40"/>
  <c r="L200" i="40"/>
  <c r="K196" i="40"/>
  <c r="K201" i="40"/>
  <c r="M192" i="40"/>
  <c r="K207" i="40"/>
  <c r="K204" i="40"/>
  <c r="J200" i="40"/>
  <c r="I198" i="40"/>
  <c r="I199" i="40"/>
  <c r="L213" i="40"/>
  <c r="M218" i="40"/>
  <c r="L217" i="40"/>
  <c r="K214" i="40"/>
  <c r="J220" i="40"/>
  <c r="M217" i="40"/>
  <c r="J216" i="40"/>
  <c r="L222" i="40"/>
  <c r="J214" i="40"/>
  <c r="M220" i="40"/>
  <c r="J219" i="40"/>
  <c r="K212" i="40"/>
  <c r="J221" i="40"/>
  <c r="J218" i="40"/>
  <c r="M215" i="40"/>
  <c r="I214" i="40"/>
  <c r="J217" i="40"/>
  <c r="I212" i="40"/>
  <c r="L221" i="40"/>
  <c r="J212" i="40"/>
  <c r="L218" i="40"/>
  <c r="L215" i="40"/>
  <c r="J213" i="40"/>
  <c r="I222" i="40"/>
  <c r="I220" i="40"/>
  <c r="I213" i="40"/>
  <c r="I215" i="40"/>
  <c r="K216" i="40"/>
  <c r="K221" i="40"/>
  <c r="L219" i="40"/>
  <c r="I218" i="40"/>
  <c r="I219" i="40"/>
  <c r="M219" i="40"/>
  <c r="J222" i="40"/>
  <c r="L214" i="40"/>
  <c r="K220" i="40"/>
  <c r="M216" i="40"/>
  <c r="K217" i="40"/>
  <c r="M222" i="40"/>
  <c r="M212" i="40"/>
  <c r="J215" i="40"/>
  <c r="K219" i="40"/>
  <c r="K218" i="40"/>
  <c r="K215" i="40"/>
  <c r="M221" i="40"/>
  <c r="I221" i="40"/>
  <c r="M213" i="40"/>
  <c r="I217" i="40"/>
  <c r="L216" i="40"/>
  <c r="L212" i="40"/>
  <c r="I216" i="40"/>
  <c r="K213" i="40"/>
  <c r="M214" i="40"/>
  <c r="K222" i="40"/>
  <c r="L220" i="40"/>
  <c r="J240" i="40"/>
  <c r="J241" i="40"/>
  <c r="K238" i="40"/>
  <c r="I240" i="40"/>
  <c r="K239" i="40"/>
  <c r="K241" i="40"/>
  <c r="I238" i="40"/>
  <c r="J238" i="40"/>
  <c r="I239" i="40"/>
  <c r="I241" i="40"/>
  <c r="J239" i="40"/>
  <c r="K240" i="40"/>
  <c r="M184" i="40"/>
  <c r="L188" i="40"/>
  <c r="I186" i="40"/>
  <c r="K189" i="40"/>
  <c r="L185" i="40"/>
  <c r="N187" i="40"/>
  <c r="M185" i="40"/>
  <c r="L190" i="40"/>
  <c r="M190" i="40"/>
  <c r="I190" i="40"/>
  <c r="O187" i="40"/>
  <c r="M187" i="40"/>
  <c r="P183" i="40"/>
  <c r="O189" i="40"/>
  <c r="N184" i="40"/>
  <c r="M188" i="40"/>
  <c r="O184" i="40"/>
  <c r="N183" i="40"/>
  <c r="O183" i="40"/>
  <c r="K184" i="40"/>
  <c r="L189" i="40"/>
  <c r="I188" i="40"/>
  <c r="M189" i="40"/>
  <c r="N189" i="40"/>
  <c r="I183" i="40"/>
  <c r="K185" i="40"/>
  <c r="K186" i="40"/>
  <c r="J183" i="40"/>
  <c r="K190" i="40"/>
  <c r="P185" i="40"/>
  <c r="J187" i="40"/>
  <c r="I189" i="40"/>
  <c r="J188" i="40"/>
  <c r="I184" i="40"/>
  <c r="N185" i="40"/>
  <c r="J185" i="40"/>
  <c r="O185" i="40"/>
  <c r="N190" i="40"/>
  <c r="P184" i="40"/>
  <c r="J189" i="40"/>
  <c r="P189" i="40"/>
  <c r="J184" i="40"/>
  <c r="J190" i="40"/>
  <c r="O186" i="40"/>
  <c r="O188" i="40"/>
  <c r="K183" i="40"/>
  <c r="K187" i="40"/>
  <c r="N188" i="40"/>
  <c r="K188" i="40"/>
  <c r="N186" i="40"/>
  <c r="M186" i="40"/>
  <c r="I187" i="40"/>
  <c r="L183" i="40"/>
  <c r="L184" i="40"/>
  <c r="P186" i="40"/>
  <c r="P187" i="40"/>
  <c r="I185" i="40"/>
  <c r="O190" i="40"/>
  <c r="J186" i="40"/>
  <c r="P190" i="40"/>
  <c r="L186" i="40"/>
  <c r="P188" i="40"/>
  <c r="L187" i="40"/>
  <c r="M183" i="40"/>
  <c r="G257" i="60"/>
  <c r="G273" i="60"/>
  <c r="H65" i="60"/>
  <c r="H63" i="60"/>
  <c r="F116" i="60"/>
  <c r="E141" i="60"/>
  <c r="G260" i="60"/>
  <c r="B99" i="35"/>
  <c r="D104" i="35"/>
  <c r="C99" i="35"/>
  <c r="E104" i="35"/>
  <c r="D99" i="35"/>
  <c r="C100" i="35"/>
  <c r="B101" i="35"/>
  <c r="E101" i="35"/>
  <c r="B97" i="35"/>
  <c r="E102" i="35"/>
  <c r="B98" i="35"/>
  <c r="D98" i="35"/>
  <c r="E99" i="35"/>
  <c r="B100" i="35"/>
  <c r="D100" i="35"/>
  <c r="E100" i="35"/>
  <c r="B102" i="35"/>
  <c r="C102" i="35"/>
  <c r="D101" i="35"/>
  <c r="D97" i="35"/>
  <c r="B103" i="35"/>
  <c r="C103" i="35"/>
  <c r="D103" i="35"/>
  <c r="E103" i="35"/>
  <c r="B104" i="35"/>
  <c r="E98" i="35"/>
  <c r="C104" i="35"/>
  <c r="C101" i="35"/>
  <c r="D102" i="35"/>
  <c r="C97" i="35"/>
  <c r="E97" i="35"/>
  <c r="C98" i="35"/>
  <c r="I246" i="40"/>
  <c r="I247" i="40"/>
  <c r="J248" i="40"/>
  <c r="K249" i="40"/>
  <c r="J246" i="40"/>
  <c r="I249" i="40"/>
  <c r="J247" i="40"/>
  <c r="I248" i="40"/>
  <c r="K248" i="40"/>
  <c r="K247" i="40"/>
  <c r="J249" i="40"/>
  <c r="K246" i="40"/>
  <c r="I275" i="40"/>
  <c r="I270" i="40"/>
  <c r="J270" i="40"/>
  <c r="L273" i="40"/>
  <c r="M268" i="40"/>
  <c r="K270" i="40"/>
  <c r="M273" i="40"/>
  <c r="K269" i="40"/>
  <c r="I269" i="40"/>
  <c r="L275" i="40"/>
  <c r="L272" i="40"/>
  <c r="J275" i="40"/>
  <c r="J272" i="40"/>
  <c r="I274" i="40"/>
  <c r="M275" i="40"/>
  <c r="I271" i="40"/>
  <c r="I273" i="40"/>
  <c r="J274" i="40"/>
  <c r="M272" i="40"/>
  <c r="M270" i="40"/>
  <c r="J273" i="40"/>
  <c r="J268" i="40"/>
  <c r="K273" i="40"/>
  <c r="K271" i="40"/>
  <c r="L270" i="40"/>
  <c r="I272" i="40"/>
  <c r="I268" i="40"/>
  <c r="J271" i="40"/>
  <c r="K275" i="40"/>
  <c r="K274" i="40"/>
  <c r="L271" i="40"/>
  <c r="M274" i="40"/>
  <c r="J269" i="40"/>
  <c r="K272" i="40"/>
  <c r="L274" i="40"/>
  <c r="L269" i="40"/>
  <c r="M269" i="40"/>
  <c r="M271" i="40"/>
  <c r="K268" i="40"/>
  <c r="L268" i="40"/>
  <c r="B113" i="13"/>
  <c r="E30" i="24"/>
  <c r="G30" i="24"/>
  <c r="D30" i="24"/>
  <c r="F30" i="24"/>
  <c r="G33" i="24"/>
  <c r="D33" i="24"/>
  <c r="E33" i="24"/>
  <c r="F33" i="24"/>
  <c r="J263" i="40"/>
  <c r="I264" i="40"/>
  <c r="I261" i="40"/>
  <c r="J261" i="40"/>
  <c r="K261" i="40"/>
  <c r="I262" i="40"/>
  <c r="J262" i="40"/>
  <c r="K262" i="40"/>
  <c r="I263" i="40"/>
  <c r="J264" i="40"/>
  <c r="J260" i="40"/>
  <c r="K264" i="40"/>
  <c r="I260" i="40"/>
  <c r="K260" i="40"/>
  <c r="K263" i="40"/>
  <c r="K357" i="58"/>
  <c r="L358" i="58"/>
  <c r="K360" i="58"/>
  <c r="K361" i="58"/>
  <c r="K362" i="58"/>
  <c r="L357" i="58"/>
  <c r="K359" i="58"/>
  <c r="L359" i="58"/>
  <c r="L360" i="58"/>
  <c r="L361" i="58"/>
  <c r="L362" i="58"/>
  <c r="K358" i="58"/>
  <c r="K349" i="58"/>
  <c r="K350" i="58"/>
  <c r="L350" i="58"/>
  <c r="K351" i="58"/>
  <c r="L351" i="58"/>
  <c r="K352" i="58"/>
  <c r="K353" i="58"/>
  <c r="L353" i="58"/>
  <c r="K354" i="58"/>
  <c r="L354" i="58"/>
  <c r="L349" i="58"/>
  <c r="L352" i="58"/>
  <c r="G199" i="18"/>
  <c r="G175" i="18"/>
  <c r="G163" i="18"/>
  <c r="G167" i="18"/>
  <c r="H167" i="18"/>
  <c r="I167" i="18"/>
  <c r="J163" i="18"/>
  <c r="J167" i="18"/>
  <c r="G164" i="18"/>
  <c r="G168" i="18"/>
  <c r="H164" i="18"/>
  <c r="H168" i="18"/>
  <c r="I164" i="18"/>
  <c r="I168" i="18"/>
  <c r="J164" i="18"/>
  <c r="G165" i="18"/>
  <c r="I165" i="18"/>
  <c r="G166" i="18"/>
  <c r="I166" i="18"/>
  <c r="H163" i="18"/>
  <c r="J168" i="18"/>
  <c r="H165" i="18"/>
  <c r="J165" i="18"/>
  <c r="H166" i="18"/>
  <c r="J166" i="18"/>
  <c r="I163" i="18"/>
  <c r="J158" i="18"/>
  <c r="G155" i="18"/>
  <c r="G159" i="18"/>
  <c r="H159" i="18"/>
  <c r="I159" i="18"/>
  <c r="J155" i="18"/>
  <c r="J159" i="18"/>
  <c r="G156" i="18"/>
  <c r="G160" i="18"/>
  <c r="H156" i="18"/>
  <c r="H160" i="18"/>
  <c r="I156" i="18"/>
  <c r="I160" i="18"/>
  <c r="J156" i="18"/>
  <c r="J160" i="18"/>
  <c r="G157" i="18"/>
  <c r="I157" i="18"/>
  <c r="G158" i="18"/>
  <c r="H155" i="18"/>
  <c r="H157" i="18"/>
  <c r="J157" i="18"/>
  <c r="H158" i="18"/>
  <c r="I158" i="18"/>
  <c r="I155" i="18"/>
  <c r="G135" i="18"/>
  <c r="H138" i="18"/>
  <c r="G132" i="18"/>
  <c r="H135" i="18"/>
  <c r="I138" i="18"/>
  <c r="I135" i="18"/>
  <c r="J138" i="18"/>
  <c r="I132" i="18"/>
  <c r="J135" i="18"/>
  <c r="K138" i="18"/>
  <c r="J132" i="18"/>
  <c r="K135" i="18"/>
  <c r="K132" i="18"/>
  <c r="G136" i="18"/>
  <c r="G133" i="18"/>
  <c r="H136" i="18"/>
  <c r="H133" i="18"/>
  <c r="I136" i="18"/>
  <c r="I133" i="18"/>
  <c r="J136" i="18"/>
  <c r="J133" i="18"/>
  <c r="K136" i="18"/>
  <c r="K133" i="18"/>
  <c r="G137" i="18"/>
  <c r="G134" i="18"/>
  <c r="H134" i="18"/>
  <c r="I137" i="18"/>
  <c r="I134" i="18"/>
  <c r="J137" i="18"/>
  <c r="J134" i="18"/>
  <c r="K137" i="18"/>
  <c r="G138" i="18"/>
  <c r="H132" i="18"/>
  <c r="K134" i="18"/>
  <c r="H137" i="18"/>
  <c r="G124" i="18"/>
  <c r="G119" i="18"/>
  <c r="H124" i="18"/>
  <c r="I124" i="18"/>
  <c r="G125" i="18"/>
  <c r="G120" i="18"/>
  <c r="H125" i="18"/>
  <c r="H120" i="18"/>
  <c r="I125" i="18"/>
  <c r="I120" i="18"/>
  <c r="G121" i="18"/>
  <c r="H121" i="18"/>
  <c r="I121" i="18"/>
  <c r="G122" i="18"/>
  <c r="H122" i="18"/>
  <c r="I122" i="18"/>
  <c r="G123" i="18"/>
  <c r="H123" i="18"/>
  <c r="I123" i="18"/>
  <c r="H119" i="18"/>
  <c r="I119" i="18"/>
  <c r="C44" i="18"/>
  <c r="C43" i="18"/>
  <c r="G177" i="18" a="1"/>
  <c r="G44" i="18" a="1"/>
  <c r="H182" i="18" l="1"/>
  <c r="G180" i="18"/>
  <c r="G181" i="18"/>
  <c r="H181" i="18"/>
  <c r="I177" i="18"/>
  <c r="J180" i="18"/>
  <c r="I178" i="18"/>
  <c r="G177" i="18"/>
  <c r="J182" i="18"/>
  <c r="I181" i="18"/>
  <c r="J177" i="18"/>
  <c r="J181" i="18"/>
  <c r="G178" i="18"/>
  <c r="G182" i="18"/>
  <c r="H178" i="18"/>
  <c r="J178" i="18"/>
  <c r="I182" i="18"/>
  <c r="H179" i="18"/>
  <c r="G179" i="18"/>
  <c r="H180" i="18"/>
  <c r="H177" i="18"/>
  <c r="J179" i="18"/>
  <c r="I179" i="18"/>
  <c r="I180" i="18"/>
  <c r="G48" i="18"/>
  <c r="G45" i="18"/>
  <c r="H45" i="18"/>
  <c r="H44" i="18"/>
  <c r="G46" i="18"/>
  <c r="H51" i="18"/>
  <c r="H46" i="18"/>
  <c r="H54" i="18"/>
  <c r="G44" i="18"/>
  <c r="G56" i="18"/>
  <c r="H48" i="18"/>
  <c r="H52" i="18"/>
  <c r="H56" i="18"/>
  <c r="G49" i="18"/>
  <c r="G53" i="18"/>
  <c r="G50" i="18"/>
  <c r="G51" i="18"/>
  <c r="H53" i="18"/>
  <c r="H50" i="18"/>
  <c r="G54" i="18"/>
  <c r="H49" i="18"/>
  <c r="G47" i="18"/>
  <c r="G55" i="18"/>
  <c r="H47" i="18"/>
  <c r="H55" i="18"/>
  <c r="G52" i="18"/>
  <c r="K426" i="14" a="1"/>
  <c r="L426" i="14" l="1"/>
  <c r="N427" i="14"/>
  <c r="P428" i="14"/>
  <c r="L430" i="14"/>
  <c r="N431" i="14"/>
  <c r="P432" i="14"/>
  <c r="P427" i="14"/>
  <c r="L429" i="14"/>
  <c r="P431" i="14"/>
  <c r="O426" i="14"/>
  <c r="O430" i="14"/>
  <c r="M433" i="14"/>
  <c r="L428" i="14"/>
  <c r="P430" i="14"/>
  <c r="L432" i="14"/>
  <c r="K427" i="14"/>
  <c r="K431" i="14"/>
  <c r="O433" i="14"/>
  <c r="L427" i="14"/>
  <c r="N428" i="14"/>
  <c r="P429" i="14"/>
  <c r="L431" i="14"/>
  <c r="N432" i="14"/>
  <c r="P433" i="14"/>
  <c r="K426" i="14"/>
  <c r="M427" i="14"/>
  <c r="O428" i="14"/>
  <c r="K430" i="14"/>
  <c r="M431" i="14"/>
  <c r="O432" i="14"/>
  <c r="M426" i="14"/>
  <c r="O427" i="14"/>
  <c r="K429" i="14"/>
  <c r="M430" i="14"/>
  <c r="O431" i="14"/>
  <c r="K433" i="14"/>
  <c r="N426" i="14"/>
  <c r="N430" i="14"/>
  <c r="L433" i="14"/>
  <c r="K428" i="14"/>
  <c r="M429" i="14"/>
  <c r="K432" i="14"/>
  <c r="P426" i="14"/>
  <c r="N429" i="14"/>
  <c r="N433" i="14"/>
  <c r="M428" i="14"/>
  <c r="O429" i="14"/>
  <c r="M432" i="14"/>
  <c r="B8" i="53" a="1"/>
  <c r="B9" i="53" a="1"/>
  <c r="B14" i="53" a="1"/>
  <c r="B7" i="53" a="1"/>
  <c r="B17" i="53" a="1"/>
  <c r="B16" i="53" a="1"/>
  <c r="B11" i="53" a="1"/>
  <c r="B17" i="53" l="1"/>
  <c r="B16" i="53"/>
  <c r="B14" i="53"/>
  <c r="B11" i="53"/>
  <c r="B9" i="53"/>
  <c r="B8" i="53"/>
  <c r="B7" i="53"/>
  <c r="C83" i="18" l="1"/>
  <c r="C84" i="18"/>
  <c r="F382" i="58"/>
  <c r="E382" i="58"/>
  <c r="D382" i="58"/>
  <c r="C382" i="58"/>
  <c r="F381" i="58"/>
  <c r="E381" i="58"/>
  <c r="D381" i="58"/>
  <c r="C381" i="58"/>
  <c r="E380" i="58"/>
  <c r="D380" i="58"/>
  <c r="C380" i="58"/>
  <c r="C433" i="1" a="1"/>
  <c r="H109" i="11"/>
  <c r="D62" i="24" a="1"/>
  <c r="H101" i="11"/>
  <c r="J369" i="58" a="1"/>
  <c r="D68" i="64" a="1"/>
  <c r="G106" i="18" a="1"/>
  <c r="D165" i="7" a="1"/>
  <c r="Z4" i="2" a="1"/>
  <c r="E228" i="29" a="1"/>
  <c r="D87" i="64" a="1"/>
  <c r="H88" i="11"/>
  <c r="AF4" i="2" a="1"/>
  <c r="B67" i="33" a="1"/>
  <c r="C189" i="7" a="1"/>
  <c r="G84" i="18" a="1"/>
  <c r="H79" i="11"/>
  <c r="G92" i="18" a="1"/>
  <c r="D63" i="24" a="1"/>
  <c r="J370" i="58" l="1"/>
  <c r="M372" i="58"/>
  <c r="M371" i="58"/>
  <c r="P373" i="58"/>
  <c r="P371" i="58"/>
  <c r="O369" i="58"/>
  <c r="L372" i="58"/>
  <c r="K373" i="58"/>
  <c r="K374" i="58"/>
  <c r="L370" i="58"/>
  <c r="K372" i="58"/>
  <c r="P370" i="58"/>
  <c r="L369" i="58"/>
  <c r="J372" i="58"/>
  <c r="J369" i="58"/>
  <c r="J374" i="58"/>
  <c r="K370" i="58"/>
  <c r="N371" i="58"/>
  <c r="O372" i="58"/>
  <c r="M374" i="58"/>
  <c r="K371" i="58"/>
  <c r="N373" i="58"/>
  <c r="O373" i="58"/>
  <c r="M369" i="58"/>
  <c r="J373" i="58"/>
  <c r="L373" i="58"/>
  <c r="O374" i="58"/>
  <c r="N370" i="58"/>
  <c r="M373" i="58"/>
  <c r="O371" i="58"/>
  <c r="N372" i="58"/>
  <c r="P372" i="58"/>
  <c r="P374" i="58"/>
  <c r="M370" i="58"/>
  <c r="L374" i="58"/>
  <c r="P369" i="58"/>
  <c r="N369" i="58"/>
  <c r="J371" i="58"/>
  <c r="K369" i="58"/>
  <c r="O370" i="58"/>
  <c r="L371" i="58"/>
  <c r="N374" i="58"/>
  <c r="E228" i="29"/>
  <c r="D63" i="24"/>
  <c r="F63" i="24"/>
  <c r="G63" i="24"/>
  <c r="E63" i="24"/>
  <c r="C189" i="7"/>
  <c r="Z32" i="2"/>
  <c r="Z127" i="2"/>
  <c r="Z48" i="2"/>
  <c r="Z142" i="2"/>
  <c r="Z175" i="2"/>
  <c r="Z63" i="2"/>
  <c r="Z58" i="2"/>
  <c r="Z36" i="2"/>
  <c r="Z45" i="2"/>
  <c r="Z105" i="2"/>
  <c r="Z155" i="2"/>
  <c r="Z85" i="2"/>
  <c r="Z51" i="2"/>
  <c r="Z134" i="2"/>
  <c r="Z47" i="2"/>
  <c r="Z9" i="2"/>
  <c r="Z77" i="2"/>
  <c r="Z171" i="2"/>
  <c r="Z79" i="2"/>
  <c r="Z102" i="2"/>
  <c r="Z180" i="2"/>
  <c r="Z44" i="2"/>
  <c r="Z12" i="2"/>
  <c r="Z110" i="2"/>
  <c r="Z19" i="2"/>
  <c r="Z71" i="2"/>
  <c r="Z114" i="2"/>
  <c r="Z152" i="2"/>
  <c r="Z31" i="2"/>
  <c r="Z122" i="2"/>
  <c r="Z86" i="2"/>
  <c r="Z191" i="2"/>
  <c r="Z147" i="2"/>
  <c r="Z46" i="2"/>
  <c r="Z66" i="2"/>
  <c r="Z118" i="2"/>
  <c r="Z24" i="2"/>
  <c r="Z133" i="2"/>
  <c r="Z174" i="2"/>
  <c r="Z135" i="2"/>
  <c r="Z74" i="2"/>
  <c r="Z130" i="2"/>
  <c r="Z39" i="2"/>
  <c r="Z123" i="2"/>
  <c r="Z80" i="2"/>
  <c r="Z15" i="2"/>
  <c r="Z8" i="2"/>
  <c r="Z136" i="2"/>
  <c r="Z70" i="2"/>
  <c r="Z109" i="2"/>
  <c r="Z59" i="2"/>
  <c r="Z193" i="2"/>
  <c r="Z129" i="2"/>
  <c r="Z120" i="2"/>
  <c r="Z64" i="2"/>
  <c r="Z157" i="2"/>
  <c r="Z87" i="2"/>
  <c r="Z99" i="2"/>
  <c r="Z140" i="2"/>
  <c r="Z172" i="2"/>
  <c r="Z100" i="2"/>
  <c r="Z41" i="2"/>
  <c r="Z143" i="2"/>
  <c r="Z54" i="2"/>
  <c r="Z92" i="2"/>
  <c r="Z97" i="2"/>
  <c r="Z28" i="2"/>
  <c r="Z154" i="2"/>
  <c r="Z65" i="2"/>
  <c r="Z40" i="2"/>
  <c r="Z186" i="2"/>
  <c r="Z103" i="2"/>
  <c r="Z162" i="2"/>
  <c r="Z179" i="2"/>
  <c r="Z182" i="2"/>
  <c r="Z60" i="2"/>
  <c r="Z13" i="2"/>
  <c r="Z121" i="2"/>
  <c r="Z27" i="2"/>
  <c r="Z98" i="2"/>
  <c r="Z151" i="2"/>
  <c r="Z82" i="2"/>
  <c r="Z78" i="2"/>
  <c r="Z52" i="2"/>
  <c r="Z38" i="2"/>
  <c r="Z107" i="2"/>
  <c r="Z126" i="2"/>
  <c r="Z5" i="2"/>
  <c r="Z11" i="2"/>
  <c r="Z35" i="2"/>
  <c r="Z104" i="2"/>
  <c r="Z168" i="2"/>
  <c r="Z116" i="2"/>
  <c r="Z17" i="2"/>
  <c r="Z183" i="2"/>
  <c r="Z90" i="2"/>
  <c r="Z84" i="2"/>
  <c r="Z153" i="2"/>
  <c r="Z93" i="2"/>
  <c r="Z43" i="2"/>
  <c r="Z137" i="2"/>
  <c r="Z177" i="2"/>
  <c r="Z30" i="2"/>
  <c r="Z56" i="2"/>
  <c r="Z83" i="2"/>
  <c r="Z132" i="2"/>
  <c r="Z4" i="2"/>
  <c r="Z187" i="2"/>
  <c r="Z165" i="2"/>
  <c r="Z96" i="2"/>
  <c r="Z29" i="2"/>
  <c r="Z91" i="2"/>
  <c r="Z185" i="2"/>
  <c r="Z111" i="2"/>
  <c r="Z53" i="2"/>
  <c r="Z95" i="2"/>
  <c r="Z26" i="2"/>
  <c r="Z21" i="2"/>
  <c r="Z131" i="2"/>
  <c r="Z117" i="2"/>
  <c r="Z18" i="2"/>
  <c r="Z150" i="2"/>
  <c r="Z81" i="2"/>
  <c r="Z7" i="2"/>
  <c r="Z62" i="2"/>
  <c r="Z161" i="2"/>
  <c r="Z88" i="2"/>
  <c r="Z55" i="2"/>
  <c r="Z145" i="2"/>
  <c r="Z33" i="2"/>
  <c r="Z190" i="2"/>
  <c r="Z112" i="2"/>
  <c r="Z192" i="2"/>
  <c r="Z146" i="2"/>
  <c r="Z125" i="2"/>
  <c r="Z61" i="2"/>
  <c r="Z42" i="2"/>
  <c r="Z75" i="2"/>
  <c r="Z141" i="2"/>
  <c r="Z16" i="2"/>
  <c r="Z50" i="2"/>
  <c r="Z34" i="2"/>
  <c r="Z148" i="2"/>
  <c r="Z101" i="2"/>
  <c r="Z108" i="2"/>
  <c r="Z160" i="2"/>
  <c r="Z138" i="2"/>
  <c r="Z73" i="2"/>
  <c r="Z156" i="2"/>
  <c r="Z68" i="2"/>
  <c r="Z89" i="2"/>
  <c r="Z113" i="2"/>
  <c r="Z169" i="2"/>
  <c r="Z149" i="2"/>
  <c r="Z106" i="2"/>
  <c r="Z166" i="2"/>
  <c r="Z67" i="2"/>
  <c r="Z69" i="2"/>
  <c r="Z10" i="2"/>
  <c r="Z76" i="2"/>
  <c r="Z144" i="2"/>
  <c r="Z167" i="2"/>
  <c r="Z119" i="2"/>
  <c r="Z14" i="2"/>
  <c r="Z159" i="2"/>
  <c r="Z173" i="2"/>
  <c r="Z94" i="2"/>
  <c r="Z163" i="2"/>
  <c r="Z115" i="2"/>
  <c r="Z189" i="2"/>
  <c r="Z181" i="2"/>
  <c r="Z139" i="2"/>
  <c r="Z184" i="2"/>
  <c r="Z128" i="2"/>
  <c r="Z188" i="2"/>
  <c r="Z164" i="2"/>
  <c r="Z178" i="2"/>
  <c r="Z20" i="2"/>
  <c r="Z6" i="2"/>
  <c r="Z170" i="2"/>
  <c r="Z176" i="2"/>
  <c r="Z25" i="2"/>
  <c r="Z49" i="2"/>
  <c r="Z124" i="2"/>
  <c r="Z57" i="2"/>
  <c r="Z158" i="2"/>
  <c r="Z37" i="2"/>
  <c r="Z72" i="2"/>
  <c r="Z22" i="2"/>
  <c r="Z23" i="2"/>
  <c r="D62" i="24"/>
  <c r="G62" i="24"/>
  <c r="E62" i="24"/>
  <c r="F62" i="24"/>
  <c r="AF30" i="2"/>
  <c r="AG30" i="2" s="1"/>
  <c r="AF189" i="2"/>
  <c r="AG189" i="2" s="1"/>
  <c r="AH189" i="2" s="1" a="1"/>
  <c r="AH189" i="2" s="1"/>
  <c r="AF147" i="2"/>
  <c r="AG147" i="2" s="1"/>
  <c r="AH147" i="2" s="1" a="1"/>
  <c r="AH147" i="2" s="1"/>
  <c r="AF192" i="2"/>
  <c r="AG192" i="2" s="1"/>
  <c r="AH192" i="2" s="1" a="1"/>
  <c r="AH192" i="2" s="1"/>
  <c r="AF170" i="2"/>
  <c r="AG170" i="2" s="1"/>
  <c r="AH170" i="2" s="1" a="1"/>
  <c r="AH170" i="2" s="1"/>
  <c r="AF148" i="2"/>
  <c r="AG148" i="2" s="1"/>
  <c r="AH148" i="2" s="1" a="1"/>
  <c r="AH148" i="2" s="1"/>
  <c r="AF157" i="2"/>
  <c r="AG157" i="2" s="1"/>
  <c r="AH157" i="2" s="1" a="1"/>
  <c r="AH157" i="2" s="1"/>
  <c r="AF89" i="2"/>
  <c r="AG89" i="2" s="1"/>
  <c r="AH89" i="2" s="1" a="1"/>
  <c r="AH89" i="2" s="1"/>
  <c r="AF175" i="2"/>
  <c r="AG175" i="2" s="1"/>
  <c r="AH175" i="2" s="1" a="1"/>
  <c r="AH175" i="2" s="1"/>
  <c r="AF150" i="2"/>
  <c r="AG150" i="2" s="1"/>
  <c r="AH150" i="2" s="1" a="1"/>
  <c r="AH150" i="2" s="1"/>
  <c r="AF94" i="2"/>
  <c r="AG94" i="2" s="1"/>
  <c r="AH94" i="2" s="1" a="1"/>
  <c r="AH94" i="2" s="1"/>
  <c r="AF174" i="2"/>
  <c r="AG174" i="2" s="1"/>
  <c r="AH174" i="2" s="1" a="1"/>
  <c r="AH174" i="2" s="1"/>
  <c r="AF151" i="2"/>
  <c r="AG151" i="2" s="1"/>
  <c r="AH151" i="2" s="1" a="1"/>
  <c r="AH151" i="2" s="1"/>
  <c r="AF132" i="2"/>
  <c r="AG132" i="2" s="1"/>
  <c r="AH132" i="2" s="1" a="1"/>
  <c r="AH132" i="2" s="1"/>
  <c r="AF101" i="2"/>
  <c r="AG101" i="2" s="1"/>
  <c r="AH101" i="2" s="1" a="1"/>
  <c r="AH101" i="2" s="1"/>
  <c r="AF73" i="2"/>
  <c r="AG73" i="2" s="1"/>
  <c r="AH73" i="2" s="1" a="1"/>
  <c r="AH73" i="2" s="1"/>
  <c r="AF115" i="2"/>
  <c r="AG115" i="2" s="1"/>
  <c r="AH115" i="2" s="1" a="1"/>
  <c r="AH115" i="2" s="1"/>
  <c r="AF104" i="2"/>
  <c r="AG104" i="2" s="1"/>
  <c r="AH104" i="2" s="1" a="1"/>
  <c r="AH104" i="2" s="1"/>
  <c r="AF169" i="2"/>
  <c r="AG169" i="2" s="1"/>
  <c r="AH169" i="2" s="1" a="1"/>
  <c r="AH169" i="2" s="1"/>
  <c r="AF46" i="2"/>
  <c r="AG46" i="2" s="1"/>
  <c r="AF155" i="2"/>
  <c r="AG155" i="2" s="1"/>
  <c r="AH155" i="2" s="1" a="1"/>
  <c r="AH155" i="2" s="1"/>
  <c r="AF48" i="2"/>
  <c r="AG48" i="2" s="1"/>
  <c r="AF59" i="2"/>
  <c r="AG59" i="2" s="1"/>
  <c r="AF60" i="2"/>
  <c r="AG60" i="2" s="1"/>
  <c r="AF65" i="2"/>
  <c r="AG65" i="2" s="1"/>
  <c r="AF93" i="2"/>
  <c r="AG93" i="2" s="1"/>
  <c r="AH93" i="2" s="1" a="1"/>
  <c r="AH93" i="2" s="1"/>
  <c r="AF153" i="2"/>
  <c r="AG153" i="2" s="1"/>
  <c r="AH153" i="2" s="1" a="1"/>
  <c r="AH153" i="2" s="1"/>
  <c r="AF112" i="2"/>
  <c r="AG112" i="2" s="1"/>
  <c r="AH112" i="2" s="1" a="1"/>
  <c r="AH112" i="2" s="1"/>
  <c r="AF140" i="2"/>
  <c r="AG140" i="2" s="1"/>
  <c r="AH140" i="2" s="1" a="1"/>
  <c r="AH140" i="2" s="1"/>
  <c r="AF82" i="2"/>
  <c r="AG82" i="2" s="1"/>
  <c r="AH82" i="2" s="1" a="1"/>
  <c r="AH82" i="2" s="1"/>
  <c r="AF96" i="2"/>
  <c r="AG96" i="2" s="1"/>
  <c r="AH96" i="2" s="1" a="1"/>
  <c r="AH96" i="2" s="1"/>
  <c r="AF134" i="2"/>
  <c r="AG134" i="2" s="1"/>
  <c r="AH134" i="2" s="1" a="1"/>
  <c r="AH134" i="2" s="1"/>
  <c r="AF167" i="2"/>
  <c r="AG167" i="2" s="1"/>
  <c r="AH167" i="2" s="1" a="1"/>
  <c r="AH167" i="2" s="1"/>
  <c r="AF181" i="2"/>
  <c r="AG181" i="2" s="1"/>
  <c r="AH181" i="2" s="1" a="1"/>
  <c r="AH181" i="2" s="1"/>
  <c r="AF145" i="2"/>
  <c r="AG145" i="2" s="1"/>
  <c r="AH145" i="2" s="1" a="1"/>
  <c r="AH145" i="2" s="1"/>
  <c r="AF114" i="2"/>
  <c r="AG114" i="2" s="1"/>
  <c r="AH114" i="2" s="1" a="1"/>
  <c r="AH114" i="2" s="1"/>
  <c r="AF53" i="2"/>
  <c r="AG53" i="2" s="1"/>
  <c r="AF193" i="2"/>
  <c r="AG193" i="2" s="1"/>
  <c r="AH193" i="2" s="1" a="1"/>
  <c r="AH193" i="2" s="1"/>
  <c r="AF173" i="2"/>
  <c r="AG173" i="2" s="1"/>
  <c r="AH173" i="2" s="1" a="1"/>
  <c r="AH173" i="2" s="1"/>
  <c r="AF127" i="2"/>
  <c r="AG127" i="2" s="1"/>
  <c r="AH127" i="2" s="1" a="1"/>
  <c r="AH127" i="2" s="1"/>
  <c r="AF74" i="2"/>
  <c r="AG74" i="2" s="1"/>
  <c r="AH74" i="2" s="1" a="1"/>
  <c r="AH74" i="2" s="1"/>
  <c r="AF28" i="2"/>
  <c r="AG28" i="2" s="1"/>
  <c r="AF45" i="2"/>
  <c r="AG45" i="2" s="1"/>
  <c r="AF10" i="2"/>
  <c r="AG10" i="2" s="1"/>
  <c r="AF72" i="2"/>
  <c r="AG72" i="2" s="1"/>
  <c r="AH72" i="2" s="1" a="1"/>
  <c r="AH72" i="2" s="1"/>
  <c r="AF27" i="2"/>
  <c r="AG27" i="2" s="1"/>
  <c r="AF98" i="2"/>
  <c r="AG98" i="2" s="1"/>
  <c r="AH98" i="2" s="1" a="1"/>
  <c r="AH98" i="2" s="1"/>
  <c r="AF182" i="2"/>
  <c r="AG182" i="2" s="1"/>
  <c r="AH182" i="2" s="1" a="1"/>
  <c r="AH182" i="2" s="1"/>
  <c r="AF71" i="2"/>
  <c r="AG71" i="2" s="1"/>
  <c r="AH71" i="2" s="1" a="1"/>
  <c r="AH71" i="2" s="1"/>
  <c r="AF138" i="2"/>
  <c r="AG138" i="2" s="1"/>
  <c r="AH138" i="2" s="1" a="1"/>
  <c r="AH138" i="2" s="1"/>
  <c r="AF163" i="2"/>
  <c r="AG163" i="2" s="1"/>
  <c r="AH163" i="2" s="1" a="1"/>
  <c r="AH163" i="2" s="1"/>
  <c r="AF18" i="2"/>
  <c r="AG18" i="2" s="1"/>
  <c r="AF14" i="2"/>
  <c r="AG14" i="2" s="1"/>
  <c r="AF66" i="2"/>
  <c r="AG66" i="2" s="1"/>
  <c r="AF165" i="2"/>
  <c r="AG165" i="2" s="1"/>
  <c r="AH165" i="2" s="1" a="1"/>
  <c r="AH165" i="2" s="1"/>
  <c r="AF179" i="2"/>
  <c r="AG179" i="2" s="1"/>
  <c r="AH179" i="2" s="1" a="1"/>
  <c r="AH179" i="2" s="1"/>
  <c r="AF5" i="2"/>
  <c r="AF186" i="2"/>
  <c r="AG186" i="2" s="1"/>
  <c r="AH186" i="2" s="1" a="1"/>
  <c r="AH186" i="2" s="1"/>
  <c r="AF26" i="2"/>
  <c r="AG26" i="2" s="1"/>
  <c r="AF56" i="2"/>
  <c r="AG56" i="2" s="1"/>
  <c r="AF20" i="2"/>
  <c r="AG20" i="2" s="1"/>
  <c r="AF77" i="2"/>
  <c r="AG77" i="2" s="1"/>
  <c r="AH77" i="2" s="1" a="1"/>
  <c r="AH77" i="2" s="1"/>
  <c r="AF135" i="2"/>
  <c r="AG135" i="2" s="1"/>
  <c r="AH135" i="2" s="1" a="1"/>
  <c r="AH135" i="2" s="1"/>
  <c r="AF23" i="2"/>
  <c r="AG23" i="2" s="1"/>
  <c r="AF37" i="2"/>
  <c r="AG37" i="2" s="1"/>
  <c r="AF52" i="2"/>
  <c r="AG52" i="2" s="1"/>
  <c r="AF67" i="2"/>
  <c r="AG67" i="2" s="1"/>
  <c r="AH67" i="2" s="1" a="1"/>
  <c r="AH67" i="2" s="1"/>
  <c r="AF190" i="2"/>
  <c r="AG190" i="2" s="1"/>
  <c r="AH190" i="2" s="1" a="1"/>
  <c r="AH190" i="2" s="1"/>
  <c r="AF117" i="2"/>
  <c r="AG117" i="2" s="1"/>
  <c r="AH117" i="2" s="1" a="1"/>
  <c r="AH117" i="2" s="1"/>
  <c r="AF24" i="2"/>
  <c r="AG24" i="2" s="1"/>
  <c r="AF176" i="2"/>
  <c r="AG176" i="2" s="1"/>
  <c r="AH176" i="2" s="1" a="1"/>
  <c r="AH176" i="2" s="1"/>
  <c r="AF154" i="2"/>
  <c r="AG154" i="2" s="1"/>
  <c r="AH154" i="2" s="1" a="1"/>
  <c r="AH154" i="2" s="1"/>
  <c r="AF97" i="2"/>
  <c r="AG97" i="2" s="1"/>
  <c r="AH97" i="2" s="1" a="1"/>
  <c r="AH97" i="2" s="1"/>
  <c r="AF39" i="2"/>
  <c r="AG39" i="2" s="1"/>
  <c r="AF40" i="2"/>
  <c r="AG40" i="2" s="1"/>
  <c r="AF33" i="2"/>
  <c r="AG33" i="2" s="1"/>
  <c r="AF164" i="2"/>
  <c r="AG164" i="2" s="1"/>
  <c r="AH164" i="2" s="1" a="1"/>
  <c r="AH164" i="2" s="1"/>
  <c r="AF122" i="2"/>
  <c r="AG122" i="2" s="1"/>
  <c r="AH122" i="2" s="1" a="1"/>
  <c r="AH122" i="2" s="1"/>
  <c r="AF58" i="2"/>
  <c r="AG58" i="2" s="1"/>
  <c r="AF75" i="2"/>
  <c r="AG75" i="2" s="1"/>
  <c r="AH75" i="2" s="1" a="1"/>
  <c r="AH75" i="2" s="1"/>
  <c r="AF61" i="2"/>
  <c r="AG61" i="2" s="1"/>
  <c r="AF42" i="2"/>
  <c r="AG42" i="2" s="1"/>
  <c r="AF22" i="2"/>
  <c r="AG22" i="2" s="1"/>
  <c r="AF119" i="2"/>
  <c r="AG119" i="2" s="1"/>
  <c r="AH119" i="2" s="1" a="1"/>
  <c r="AH119" i="2" s="1"/>
  <c r="AF12" i="2"/>
  <c r="AG12" i="2" s="1"/>
  <c r="AF185" i="2"/>
  <c r="AG185" i="2" s="1"/>
  <c r="AH185" i="2" s="1" a="1"/>
  <c r="AH185" i="2" s="1"/>
  <c r="AF123" i="2"/>
  <c r="AG123" i="2" s="1"/>
  <c r="AH123" i="2" s="1" a="1"/>
  <c r="AH123" i="2" s="1"/>
  <c r="AF36" i="2"/>
  <c r="AG36" i="2" s="1"/>
  <c r="AF178" i="2"/>
  <c r="AG178" i="2" s="1"/>
  <c r="AH178" i="2" s="1" a="1"/>
  <c r="AH178" i="2" s="1"/>
  <c r="AF55" i="2"/>
  <c r="AG55" i="2" s="1"/>
  <c r="AF51" i="2"/>
  <c r="AG51" i="2" s="1"/>
  <c r="AF85" i="2"/>
  <c r="AG85" i="2" s="1"/>
  <c r="AH85" i="2" s="1" a="1"/>
  <c r="AH85" i="2" s="1"/>
  <c r="AF8" i="2"/>
  <c r="AG8" i="2" s="1"/>
  <c r="AF108" i="2"/>
  <c r="AG108" i="2" s="1"/>
  <c r="AH108" i="2" s="1" a="1"/>
  <c r="AH108" i="2" s="1"/>
  <c r="AF171" i="2"/>
  <c r="AG171" i="2" s="1"/>
  <c r="AH171" i="2" s="1" a="1"/>
  <c r="AH171" i="2" s="1"/>
  <c r="AF43" i="2"/>
  <c r="AG43" i="2" s="1"/>
  <c r="AF21" i="2"/>
  <c r="AG21" i="2" s="1"/>
  <c r="AF62" i="2"/>
  <c r="AG62" i="2" s="1"/>
  <c r="AF41" i="2"/>
  <c r="AG41" i="2" s="1"/>
  <c r="AF172" i="2"/>
  <c r="AG172" i="2" s="1"/>
  <c r="AH172" i="2" s="1" a="1"/>
  <c r="AH172" i="2" s="1"/>
  <c r="AF15" i="2"/>
  <c r="AG15" i="2" s="1"/>
  <c r="AF111" i="2"/>
  <c r="AG111" i="2" s="1"/>
  <c r="AH111" i="2" s="1" a="1"/>
  <c r="AH111" i="2" s="1"/>
  <c r="AF159" i="2"/>
  <c r="AG159" i="2" s="1"/>
  <c r="AH159" i="2" s="1" a="1"/>
  <c r="AH159" i="2" s="1"/>
  <c r="AF86" i="2"/>
  <c r="AG86" i="2" s="1"/>
  <c r="AH86" i="2" s="1" a="1"/>
  <c r="AH86" i="2" s="1"/>
  <c r="AF44" i="2"/>
  <c r="AG44" i="2" s="1"/>
  <c r="AF81" i="2"/>
  <c r="AG81" i="2" s="1"/>
  <c r="AH81" i="2" s="1" a="1"/>
  <c r="AH81" i="2" s="1"/>
  <c r="AF9" i="2"/>
  <c r="AG9" i="2" s="1"/>
  <c r="AF7" i="2"/>
  <c r="AG7" i="2" s="1"/>
  <c r="AF63" i="2"/>
  <c r="AG63" i="2" s="1"/>
  <c r="AF57" i="2"/>
  <c r="AG57" i="2" s="1"/>
  <c r="AF139" i="2"/>
  <c r="AG139" i="2" s="1"/>
  <c r="AH139" i="2" s="1" a="1"/>
  <c r="AH139" i="2" s="1"/>
  <c r="AF161" i="2"/>
  <c r="AG161" i="2" s="1"/>
  <c r="AH161" i="2" s="1" a="1"/>
  <c r="AH161" i="2" s="1"/>
  <c r="AF144" i="2"/>
  <c r="AG144" i="2" s="1"/>
  <c r="AH144" i="2" s="1" a="1"/>
  <c r="AH144" i="2" s="1"/>
  <c r="AF166" i="2"/>
  <c r="AG166" i="2" s="1"/>
  <c r="AH166" i="2" s="1" a="1"/>
  <c r="AH166" i="2" s="1"/>
  <c r="AF91" i="2"/>
  <c r="AG91" i="2" s="1"/>
  <c r="AH91" i="2" s="1" a="1"/>
  <c r="AH91" i="2" s="1"/>
  <c r="AF38" i="2"/>
  <c r="AG38" i="2" s="1"/>
  <c r="AF16" i="2"/>
  <c r="AG16" i="2" s="1"/>
  <c r="AF102" i="2"/>
  <c r="AG102" i="2" s="1"/>
  <c r="AH102" i="2" s="1" a="1"/>
  <c r="AH102" i="2" s="1"/>
  <c r="AF11" i="2"/>
  <c r="AG11" i="2" s="1"/>
  <c r="AF146" i="2"/>
  <c r="AG146" i="2" s="1"/>
  <c r="AH146" i="2" s="1" a="1"/>
  <c r="AH146" i="2" s="1"/>
  <c r="AF120" i="2"/>
  <c r="AG120" i="2" s="1"/>
  <c r="AH120" i="2" s="1" a="1"/>
  <c r="AH120" i="2" s="1"/>
  <c r="AF70" i="2"/>
  <c r="AG70" i="2" s="1"/>
  <c r="AH70" i="2" s="1" a="1"/>
  <c r="AH70" i="2" s="1"/>
  <c r="AF64" i="2"/>
  <c r="AG64" i="2" s="1"/>
  <c r="AF180" i="2"/>
  <c r="AG180" i="2" s="1"/>
  <c r="AH180" i="2" s="1" a="1"/>
  <c r="AH180" i="2" s="1"/>
  <c r="AF99" i="2"/>
  <c r="AG99" i="2" s="1"/>
  <c r="AH99" i="2" s="1" a="1"/>
  <c r="AH99" i="2" s="1"/>
  <c r="AF137" i="2"/>
  <c r="AG137" i="2" s="1"/>
  <c r="AH137" i="2" s="1" a="1"/>
  <c r="AH137" i="2" s="1"/>
  <c r="AF141" i="2"/>
  <c r="AG141" i="2" s="1"/>
  <c r="AH141" i="2" s="1" a="1"/>
  <c r="AH141" i="2" s="1"/>
  <c r="AF191" i="2"/>
  <c r="AG191" i="2" s="1"/>
  <c r="AH191" i="2" s="1" a="1"/>
  <c r="AH191" i="2" s="1"/>
  <c r="AF188" i="2"/>
  <c r="AG188" i="2" s="1"/>
  <c r="AH188" i="2" s="1" a="1"/>
  <c r="AH188" i="2" s="1"/>
  <c r="AF183" i="2"/>
  <c r="AG183" i="2" s="1"/>
  <c r="AH183" i="2" s="1" a="1"/>
  <c r="AH183" i="2" s="1"/>
  <c r="AF158" i="2"/>
  <c r="AG158" i="2" s="1"/>
  <c r="AH158" i="2" s="1" a="1"/>
  <c r="AH158" i="2" s="1"/>
  <c r="AF19" i="2"/>
  <c r="AG19" i="2" s="1"/>
  <c r="AF84" i="2"/>
  <c r="AG84" i="2" s="1"/>
  <c r="AH84" i="2" s="1" a="1"/>
  <c r="AH84" i="2" s="1"/>
  <c r="AF126" i="2"/>
  <c r="AG126" i="2" s="1"/>
  <c r="AH126" i="2" s="1" a="1"/>
  <c r="AH126" i="2" s="1"/>
  <c r="AF17" i="2"/>
  <c r="AG17" i="2" s="1"/>
  <c r="AF142" i="2"/>
  <c r="AG142" i="2" s="1"/>
  <c r="AH142" i="2" s="1" a="1"/>
  <c r="AH142" i="2" s="1"/>
  <c r="AF80" i="2"/>
  <c r="AG80" i="2" s="1"/>
  <c r="AH80" i="2" s="1" a="1"/>
  <c r="AH80" i="2" s="1"/>
  <c r="AF106" i="2"/>
  <c r="AG106" i="2" s="1"/>
  <c r="AH106" i="2" s="1" a="1"/>
  <c r="AH106" i="2" s="1"/>
  <c r="AF160" i="2"/>
  <c r="AG160" i="2" s="1"/>
  <c r="AH160" i="2" s="1" a="1"/>
  <c r="AH160" i="2" s="1"/>
  <c r="AF125" i="2"/>
  <c r="AG125" i="2" s="1"/>
  <c r="AH125" i="2" s="1" a="1"/>
  <c r="AH125" i="2" s="1"/>
  <c r="AF95" i="2"/>
  <c r="AG95" i="2" s="1"/>
  <c r="AH95" i="2" s="1" a="1"/>
  <c r="AH95" i="2" s="1"/>
  <c r="AF79" i="2"/>
  <c r="AG79" i="2" s="1"/>
  <c r="AH79" i="2" s="1" a="1"/>
  <c r="AH79" i="2" s="1"/>
  <c r="AF116" i="2"/>
  <c r="AG116" i="2" s="1"/>
  <c r="AH116" i="2" s="1" a="1"/>
  <c r="AH116" i="2" s="1"/>
  <c r="AF25" i="2"/>
  <c r="AG25" i="2" s="1"/>
  <c r="AF100" i="2"/>
  <c r="AG100" i="2" s="1"/>
  <c r="AH100" i="2" s="1" a="1"/>
  <c r="AH100" i="2" s="1"/>
  <c r="AF130" i="2"/>
  <c r="AG130" i="2" s="1"/>
  <c r="AH130" i="2" s="1" a="1"/>
  <c r="AH130" i="2" s="1"/>
  <c r="AF128" i="2"/>
  <c r="AG128" i="2" s="1"/>
  <c r="AH128" i="2" s="1" a="1"/>
  <c r="AH128" i="2" s="1"/>
  <c r="AF29" i="2"/>
  <c r="AG29" i="2" s="1"/>
  <c r="AF78" i="2"/>
  <c r="AG78" i="2" s="1"/>
  <c r="AH78" i="2" s="1" a="1"/>
  <c r="AH78" i="2" s="1"/>
  <c r="AF49" i="2"/>
  <c r="AG49" i="2" s="1"/>
  <c r="AF32" i="2"/>
  <c r="AG32" i="2" s="1"/>
  <c r="AF129" i="2"/>
  <c r="AG129" i="2" s="1"/>
  <c r="AH129" i="2" s="1" a="1"/>
  <c r="AH129" i="2" s="1"/>
  <c r="AF35" i="2"/>
  <c r="AG35" i="2" s="1"/>
  <c r="AF187" i="2"/>
  <c r="AG187" i="2" s="1"/>
  <c r="AH187" i="2" s="1" a="1"/>
  <c r="AH187" i="2" s="1"/>
  <c r="AF177" i="2"/>
  <c r="AG177" i="2" s="1"/>
  <c r="AH177" i="2" s="1" a="1"/>
  <c r="AH177" i="2" s="1"/>
  <c r="AF88" i="2"/>
  <c r="AG88" i="2" s="1"/>
  <c r="AH88" i="2" s="1" a="1"/>
  <c r="AH88" i="2" s="1"/>
  <c r="AF103" i="2"/>
  <c r="AG103" i="2" s="1"/>
  <c r="AH103" i="2" s="1" a="1"/>
  <c r="AH103" i="2" s="1"/>
  <c r="AF124" i="2"/>
  <c r="AG124" i="2" s="1"/>
  <c r="AH124" i="2" s="1" a="1"/>
  <c r="AH124" i="2" s="1"/>
  <c r="AF47" i="2"/>
  <c r="AG47" i="2" s="1"/>
  <c r="AF105" i="2"/>
  <c r="AG105" i="2" s="1"/>
  <c r="AH105" i="2" s="1" a="1"/>
  <c r="AH105" i="2" s="1"/>
  <c r="AF168" i="2"/>
  <c r="AG168" i="2" s="1"/>
  <c r="AH168" i="2" s="1" a="1"/>
  <c r="AH168" i="2" s="1"/>
  <c r="AF87" i="2"/>
  <c r="AG87" i="2" s="1"/>
  <c r="AH87" i="2" s="1" a="1"/>
  <c r="AH87" i="2" s="1"/>
  <c r="AF162" i="2"/>
  <c r="AG162" i="2" s="1"/>
  <c r="AH162" i="2" s="1" a="1"/>
  <c r="AH162" i="2" s="1"/>
  <c r="AF184" i="2"/>
  <c r="AG184" i="2" s="1"/>
  <c r="AH184" i="2" s="1" a="1"/>
  <c r="AH184" i="2" s="1"/>
  <c r="AF133" i="2"/>
  <c r="AG133" i="2" s="1"/>
  <c r="AH133" i="2" s="1" a="1"/>
  <c r="AH133" i="2" s="1"/>
  <c r="AF13" i="2"/>
  <c r="AG13" i="2" s="1"/>
  <c r="AF69" i="2"/>
  <c r="AG69" i="2" s="1"/>
  <c r="AH69" i="2" s="1" a="1"/>
  <c r="AH69" i="2" s="1"/>
  <c r="AF131" i="2"/>
  <c r="AG131" i="2" s="1"/>
  <c r="AH131" i="2" s="1" a="1"/>
  <c r="AH131" i="2" s="1"/>
  <c r="AF107" i="2"/>
  <c r="AG107" i="2" s="1"/>
  <c r="AH107" i="2" s="1" a="1"/>
  <c r="AH107" i="2" s="1"/>
  <c r="AF83" i="2"/>
  <c r="AG83" i="2" s="1"/>
  <c r="AH83" i="2" s="1" a="1"/>
  <c r="AH83" i="2" s="1"/>
  <c r="AF110" i="2"/>
  <c r="AG110" i="2" s="1"/>
  <c r="AH110" i="2" s="1" a="1"/>
  <c r="AH110" i="2" s="1"/>
  <c r="AF4" i="2"/>
  <c r="AF156" i="2"/>
  <c r="AG156" i="2" s="1"/>
  <c r="AH156" i="2" s="1" a="1"/>
  <c r="AH156" i="2" s="1"/>
  <c r="AF50" i="2"/>
  <c r="AG50" i="2" s="1"/>
  <c r="AF109" i="2"/>
  <c r="AG109" i="2" s="1"/>
  <c r="AH109" i="2" s="1" a="1"/>
  <c r="AH109" i="2" s="1"/>
  <c r="AF121" i="2"/>
  <c r="AG121" i="2" s="1"/>
  <c r="AH121" i="2" s="1" a="1"/>
  <c r="AH121" i="2" s="1"/>
  <c r="AF92" i="2"/>
  <c r="AG92" i="2" s="1"/>
  <c r="AH92" i="2" s="1" a="1"/>
  <c r="AH92" i="2" s="1"/>
  <c r="AF68" i="2"/>
  <c r="AG68" i="2" s="1"/>
  <c r="AH68" i="2" s="1" a="1"/>
  <c r="AH68" i="2" s="1"/>
  <c r="AF76" i="2"/>
  <c r="AG76" i="2" s="1"/>
  <c r="AH76" i="2" s="1" a="1"/>
  <c r="AH76" i="2" s="1"/>
  <c r="AF34" i="2"/>
  <c r="AG34" i="2" s="1"/>
  <c r="AF31" i="2"/>
  <c r="AG31" i="2" s="1"/>
  <c r="AF54" i="2"/>
  <c r="AG54" i="2" s="1"/>
  <c r="AF136" i="2"/>
  <c r="AG136" i="2" s="1"/>
  <c r="AH136" i="2" s="1" a="1"/>
  <c r="AH136" i="2" s="1"/>
  <c r="AF143" i="2"/>
  <c r="AG143" i="2" s="1"/>
  <c r="AH143" i="2" s="1" a="1"/>
  <c r="AH143" i="2" s="1"/>
  <c r="AF90" i="2"/>
  <c r="AG90" i="2" s="1"/>
  <c r="AH90" i="2" s="1" a="1"/>
  <c r="AH90" i="2" s="1"/>
  <c r="AF113" i="2"/>
  <c r="AG113" i="2" s="1"/>
  <c r="AH113" i="2" s="1" a="1"/>
  <c r="AH113" i="2" s="1"/>
  <c r="AF118" i="2"/>
  <c r="AG118" i="2" s="1"/>
  <c r="AH118" i="2" s="1" a="1"/>
  <c r="AH118" i="2" s="1"/>
  <c r="AF6" i="2"/>
  <c r="AG6" i="2" s="1"/>
  <c r="AF149" i="2"/>
  <c r="AG149" i="2" s="1"/>
  <c r="AH149" i="2" s="1" a="1"/>
  <c r="AH149" i="2" s="1"/>
  <c r="AF152" i="2"/>
  <c r="AG152" i="2" s="1"/>
  <c r="AH152" i="2" s="1" a="1"/>
  <c r="AH152" i="2" s="1"/>
  <c r="D165" i="7"/>
  <c r="D87" i="64"/>
  <c r="D68" i="64"/>
  <c r="B67" i="33"/>
  <c r="C433" i="1"/>
  <c r="G111" i="18"/>
  <c r="G114" i="18"/>
  <c r="H113" i="18"/>
  <c r="H107" i="18"/>
  <c r="H111" i="18"/>
  <c r="G106" i="18"/>
  <c r="H108" i="18"/>
  <c r="H110" i="18"/>
  <c r="G112" i="18"/>
  <c r="H112" i="18"/>
  <c r="G113" i="18"/>
  <c r="H114" i="18"/>
  <c r="G107" i="18"/>
  <c r="H115" i="18"/>
  <c r="G108" i="18"/>
  <c r="H109" i="18"/>
  <c r="G110" i="18"/>
  <c r="H106" i="18"/>
  <c r="G115" i="18"/>
  <c r="G109" i="18"/>
  <c r="G95" i="18"/>
  <c r="H96" i="18"/>
  <c r="H92" i="18"/>
  <c r="G98" i="18"/>
  <c r="G99" i="18"/>
  <c r="G94" i="18"/>
  <c r="H94" i="18"/>
  <c r="H95" i="18"/>
  <c r="G97" i="18"/>
  <c r="H98" i="18"/>
  <c r="H99" i="18"/>
  <c r="H97" i="18"/>
  <c r="H100" i="18"/>
  <c r="G93" i="18"/>
  <c r="G96" i="18"/>
  <c r="G92" i="18"/>
  <c r="G101" i="18"/>
  <c r="G100" i="18"/>
  <c r="H93" i="18"/>
  <c r="H101" i="18"/>
  <c r="H87" i="18"/>
  <c r="G84" i="18"/>
  <c r="G86" i="18"/>
  <c r="G88" i="18"/>
  <c r="H85" i="18"/>
  <c r="H88" i="18"/>
  <c r="H84" i="18"/>
  <c r="G85" i="18"/>
  <c r="G87" i="18"/>
  <c r="H86" i="18"/>
  <c r="F394" i="26"/>
  <c r="E394" i="26"/>
  <c r="D394" i="26"/>
  <c r="C394" i="26"/>
  <c r="F393" i="26"/>
  <c r="E393" i="26"/>
  <c r="D393" i="26"/>
  <c r="C393" i="26"/>
  <c r="E392" i="26"/>
  <c r="D392" i="26"/>
  <c r="C392" i="26"/>
  <c r="D61" i="33" a="1"/>
  <c r="J381" i="26" a="1"/>
  <c r="AA163" i="2" a="1"/>
  <c r="AH38" i="2" a="1"/>
  <c r="AA75" i="2" a="1"/>
  <c r="AH62" i="2" a="1"/>
  <c r="AA100" i="2" a="1"/>
  <c r="AA123" i="2" a="1"/>
  <c r="AA137" i="2" a="1"/>
  <c r="AA45" i="2" a="1"/>
  <c r="AH20" i="2" a="1"/>
  <c r="AA57" i="2" a="1"/>
  <c r="AH18" i="2" a="1"/>
  <c r="AA159" i="2" a="1"/>
  <c r="AA153" i="2" a="1"/>
  <c r="AA14" i="2" a="1"/>
  <c r="AA97" i="2" a="1"/>
  <c r="AA141" i="2" a="1"/>
  <c r="AA25" i="2" a="1"/>
  <c r="AA180" i="2" a="1"/>
  <c r="AA64" i="2" a="1"/>
  <c r="AA172" i="2" a="1"/>
  <c r="AA40" i="2" a="1"/>
  <c r="AA93" i="2" a="1"/>
  <c r="AA113" i="2" a="1"/>
  <c r="AA37" i="2" a="1"/>
  <c r="AH43" i="2" a="1"/>
  <c r="AA90" i="2" a="1"/>
  <c r="AA41" i="2" a="1"/>
  <c r="AA115" i="2" a="1"/>
  <c r="AH46" i="2" a="1"/>
  <c r="AA128" i="2" a="1"/>
  <c r="AH58" i="2" a="1"/>
  <c r="AA36" i="2" a="1"/>
  <c r="AH42" i="2" a="1"/>
  <c r="AA99" i="2" a="1"/>
  <c r="AA59" i="2" a="1"/>
  <c r="AH57" i="2" a="1"/>
  <c r="AA179" i="2" a="1"/>
  <c r="AA146" i="2" a="1"/>
  <c r="AA147" i="2" a="1"/>
  <c r="AA151" i="2" a="1"/>
  <c r="AA177" i="2" a="1"/>
  <c r="AA174" i="2" a="1"/>
  <c r="AA85" i="2" a="1"/>
  <c r="AA126" i="2" a="1"/>
  <c r="AA16" i="2" a="1"/>
  <c r="AA186" i="2" a="1"/>
  <c r="AA67" i="2" a="1"/>
  <c r="AA96" i="2" a="1"/>
  <c r="AA166" i="2" a="1"/>
  <c r="AH26" i="2" a="1"/>
  <c r="AH9" i="2" a="1"/>
  <c r="AA69" i="2" a="1"/>
  <c r="AH19" i="2" a="1"/>
  <c r="AA29" i="2" a="1"/>
  <c r="AH65" i="2" a="1"/>
  <c r="AA105" i="2" a="1"/>
  <c r="AH37" i="2" a="1"/>
  <c r="AA63" i="2" a="1"/>
  <c r="AA55" i="2" a="1"/>
  <c r="AA35" i="2" a="1"/>
  <c r="AH60" i="2" a="1"/>
  <c r="AH52" i="2" a="1"/>
  <c r="AA26" i="2" a="1"/>
  <c r="AA39" i="2" a="1"/>
  <c r="AA19" i="2" a="1"/>
  <c r="AH54" i="2" a="1"/>
  <c r="AA23" i="2" a="1"/>
  <c r="AH27" i="2" a="1"/>
  <c r="AA136" i="2" a="1"/>
  <c r="AA157" i="2" a="1"/>
  <c r="AH6" i="2" a="1"/>
  <c r="AH14" i="2" a="1"/>
  <c r="AA182" i="2" a="1"/>
  <c r="AA183" i="2" a="1"/>
  <c r="AA78" i="2" a="1"/>
  <c r="AA176" i="2" a="1"/>
  <c r="AA47" i="2" a="1"/>
  <c r="AH13" i="2" a="1"/>
  <c r="AH10" i="2" a="1"/>
  <c r="AA102" i="2" a="1"/>
  <c r="AA50" i="2" a="1"/>
  <c r="AA114" i="2" a="1"/>
  <c r="AA87" i="2" a="1"/>
  <c r="AA32" i="2" a="1"/>
  <c r="AA65" i="2" a="1"/>
  <c r="AA60" i="2" a="1"/>
  <c r="AH25" i="2" a="1"/>
  <c r="AH32" i="2" a="1"/>
  <c r="AH61" i="2" a="1"/>
  <c r="AH63" i="2" a="1"/>
  <c r="AH66" i="2" a="1"/>
  <c r="AA95" i="2" a="1"/>
  <c r="AA121" i="2" a="1"/>
  <c r="AA187" i="2" a="1"/>
  <c r="AA184" i="2" a="1"/>
  <c r="AA5" i="2" a="1"/>
  <c r="AA91" i="2" a="1"/>
  <c r="AA148" i="2" a="1"/>
  <c r="AH45" i="2" a="1"/>
  <c r="AA160" i="2" a="1"/>
  <c r="AA165" i="2" a="1"/>
  <c r="AA135" i="2" a="1"/>
  <c r="AA168" i="2" a="1"/>
  <c r="AH28" i="2" a="1"/>
  <c r="AA155" i="2" a="1"/>
  <c r="AA77" i="2" a="1"/>
  <c r="AA51" i="2" a="1"/>
  <c r="AA27" i="2" a="1"/>
  <c r="AA133" i="2" a="1"/>
  <c r="AH15" i="2" a="1"/>
  <c r="AA71" i="2" a="1"/>
  <c r="AA72" i="2" a="1"/>
  <c r="AA76" i="2" a="1"/>
  <c r="AA161" i="2" a="1"/>
  <c r="AA98" i="2" a="1"/>
  <c r="AA112" i="2" a="1"/>
  <c r="AA118" i="2" a="1"/>
  <c r="AH36" i="2" a="1"/>
  <c r="AA167" i="2" a="1"/>
  <c r="AH11" i="2" a="1"/>
  <c r="AA86" i="2" a="1"/>
  <c r="AA132" i="2" a="1"/>
  <c r="AA53" i="2" a="1"/>
  <c r="AA171" i="2" a="1"/>
  <c r="AA49" i="2" a="1"/>
  <c r="AA10" i="2" a="1"/>
  <c r="AA178" i="2" a="1"/>
  <c r="AH48" i="2" a="1"/>
  <c r="AA31" i="2" a="1"/>
  <c r="AA117" i="2" a="1"/>
  <c r="AH21" i="2" a="1"/>
  <c r="AA125" i="2" a="1"/>
  <c r="AA131" i="2" a="1"/>
  <c r="AH41" i="2" a="1"/>
  <c r="AH29" i="2" a="1"/>
  <c r="AH44" i="2" a="1"/>
  <c r="AA154" i="2" a="1"/>
  <c r="AA110" i="2" a="1"/>
  <c r="AA111" i="2" a="1"/>
  <c r="AA79" i="2" a="1"/>
  <c r="AA28" i="2" a="1"/>
  <c r="AA42" i="2" a="1"/>
  <c r="AA73" i="2" a="1"/>
  <c r="AA164" i="2" a="1"/>
  <c r="AA17" i="2" a="1"/>
  <c r="AH12" i="2" a="1"/>
  <c r="AA34" i="2" a="1"/>
  <c r="AA52" i="2" a="1"/>
  <c r="AA116" i="2" a="1"/>
  <c r="AA89" i="2" a="1"/>
  <c r="AA84" i="2" a="1"/>
  <c r="AA106" i="2" a="1"/>
  <c r="AH22" i="2" a="1"/>
  <c r="AH7" i="2" a="1"/>
  <c r="AA124" i="2" a="1"/>
  <c r="AH39" i="2" a="1"/>
  <c r="AA120" i="2" a="1"/>
  <c r="AH59" i="2" a="1"/>
  <c r="AA83" i="2" a="1"/>
  <c r="AA12" i="2" a="1"/>
  <c r="AA119" i="2" a="1"/>
  <c r="AA48" i="2" a="1"/>
  <c r="AA143" i="2" a="1"/>
  <c r="AA70" i="2" a="1"/>
  <c r="AA130" i="2" a="1"/>
  <c r="AA7" i="2" a="1"/>
  <c r="AA15" i="2" a="1"/>
  <c r="AA149" i="2" a="1"/>
  <c r="AA152" i="2" a="1"/>
  <c r="AA80" i="2" a="1"/>
  <c r="AA43" i="2" a="1"/>
  <c r="AA109" i="2" a="1"/>
  <c r="AA101" i="2" a="1"/>
  <c r="AH53" i="2" a="1"/>
  <c r="AA66" i="2" a="1"/>
  <c r="AA188" i="2" a="1"/>
  <c r="AA8" i="2" a="1"/>
  <c r="AA142" i="2" a="1"/>
  <c r="M56" i="39" a="1"/>
  <c r="AA24" i="2" a="1"/>
  <c r="AH17" i="2" a="1"/>
  <c r="AA173" i="2" a="1"/>
  <c r="AA21" i="2" a="1"/>
  <c r="AA33" i="2" a="1"/>
  <c r="AA6" i="2" a="1"/>
  <c r="AA18" i="2" a="1"/>
  <c r="AH34" i="2" a="1"/>
  <c r="AH33" i="2" a="1"/>
  <c r="AA13" i="2" a="1"/>
  <c r="AA88" i="2" a="1"/>
  <c r="AA62" i="2" a="1"/>
  <c r="AA158" i="2" a="1"/>
  <c r="AA185" i="2" a="1"/>
  <c r="AA68" i="2" a="1"/>
  <c r="AA56" i="2" a="1"/>
  <c r="AA94" i="2" a="1"/>
  <c r="AA104" i="2" a="1"/>
  <c r="AA103" i="2" a="1"/>
  <c r="AA44" i="2" a="1"/>
  <c r="AH8" i="2" a="1"/>
  <c r="AH56" i="2" a="1"/>
  <c r="AA38" i="2" a="1"/>
  <c r="AA138" i="2" a="1"/>
  <c r="AH35" i="2" a="1"/>
  <c r="AA122" i="2" a="1"/>
  <c r="AH31" i="2" a="1"/>
  <c r="AH47" i="2" a="1"/>
  <c r="AA127" i="2" a="1"/>
  <c r="AA169" i="2" a="1"/>
  <c r="AA20" i="2" a="1"/>
  <c r="AA107" i="2" a="1"/>
  <c r="AA81" i="2" a="1"/>
  <c r="AA189" i="2" a="1"/>
  <c r="AH16" i="2" a="1"/>
  <c r="AH51" i="2" a="1"/>
  <c r="AA181" i="2" a="1"/>
  <c r="AH64" i="2" a="1"/>
  <c r="AA54" i="2" a="1"/>
  <c r="AH55" i="2" a="1"/>
  <c r="AH23" i="2" a="1"/>
  <c r="AA58" i="2" a="1"/>
  <c r="AA129" i="2" a="1"/>
  <c r="AH30" i="2" a="1"/>
  <c r="AA145" i="2" a="1"/>
  <c r="AA11" i="2" a="1"/>
  <c r="AA170" i="2" a="1"/>
  <c r="AH50" i="2" a="1"/>
  <c r="AA140" i="2" a="1"/>
  <c r="AH40" i="2" a="1"/>
  <c r="AH49" i="2" a="1"/>
  <c r="AH24" i="2" a="1"/>
  <c r="M383" i="26" l="1"/>
  <c r="P381" i="26"/>
  <c r="L381" i="26"/>
  <c r="L386" i="26"/>
  <c r="N386" i="26"/>
  <c r="J385" i="26"/>
  <c r="N384" i="26"/>
  <c r="K382" i="26"/>
  <c r="N383" i="26"/>
  <c r="J382" i="26"/>
  <c r="P386" i="26"/>
  <c r="P385" i="26"/>
  <c r="L385" i="26"/>
  <c r="O386" i="26"/>
  <c r="K385" i="26"/>
  <c r="P383" i="26"/>
  <c r="L382" i="26"/>
  <c r="O383" i="26"/>
  <c r="M385" i="26"/>
  <c r="M382" i="26"/>
  <c r="O384" i="26"/>
  <c r="M381" i="26"/>
  <c r="N385" i="26"/>
  <c r="J384" i="26"/>
  <c r="N382" i="26"/>
  <c r="J381" i="26"/>
  <c r="O385" i="26"/>
  <c r="K384" i="26"/>
  <c r="O382" i="26"/>
  <c r="K381" i="26"/>
  <c r="L384" i="26"/>
  <c r="P382" i="26"/>
  <c r="J386" i="26"/>
  <c r="M384" i="26"/>
  <c r="J383" i="26"/>
  <c r="K386" i="26"/>
  <c r="O381" i="26"/>
  <c r="L383" i="26"/>
  <c r="K383" i="26"/>
  <c r="N381" i="26"/>
  <c r="M386" i="26"/>
  <c r="P384" i="26"/>
  <c r="AH36" i="2"/>
  <c r="AH60" i="2"/>
  <c r="AA158" i="2"/>
  <c r="AA189" i="2"/>
  <c r="AA149" i="2"/>
  <c r="AA75" i="2"/>
  <c r="AA132" i="2"/>
  <c r="AA35" i="2"/>
  <c r="AA179" i="2"/>
  <c r="AA99" i="2"/>
  <c r="AA130" i="2"/>
  <c r="AA71" i="2"/>
  <c r="AA105" i="2"/>
  <c r="AH32" i="2"/>
  <c r="AH17" i="2"/>
  <c r="AH11" i="2"/>
  <c r="AH59" i="2"/>
  <c r="AA57" i="2"/>
  <c r="AA115" i="2"/>
  <c r="AA169" i="2"/>
  <c r="AA42" i="2"/>
  <c r="AA18" i="2"/>
  <c r="AA83" i="2"/>
  <c r="AA11" i="2"/>
  <c r="AA87" i="2"/>
  <c r="AA19" i="2"/>
  <c r="AA45" i="2"/>
  <c r="AH54" i="2"/>
  <c r="AH13" i="2"/>
  <c r="AH49" i="2"/>
  <c r="AH24" i="2"/>
  <c r="AH66" i="2"/>
  <c r="AH48" i="2"/>
  <c r="AA124" i="2"/>
  <c r="AA163" i="2"/>
  <c r="AA113" i="2"/>
  <c r="AA117" i="2"/>
  <c r="AA56" i="2"/>
  <c r="AA5" i="2"/>
  <c r="AA103" i="2"/>
  <c r="AA157" i="2"/>
  <c r="AA135" i="2"/>
  <c r="AA110" i="2"/>
  <c r="AA36" i="2"/>
  <c r="AH31" i="2"/>
  <c r="AH16" i="2"/>
  <c r="AH15" i="2"/>
  <c r="AH12" i="2"/>
  <c r="AH14" i="2"/>
  <c r="AH53" i="2"/>
  <c r="AA49" i="2"/>
  <c r="AA94" i="2"/>
  <c r="AA89" i="2"/>
  <c r="AA125" i="2"/>
  <c r="AA131" i="2"/>
  <c r="AA126" i="2"/>
  <c r="AA186" i="2"/>
  <c r="AA64" i="2"/>
  <c r="AA174" i="2"/>
  <c r="AA12" i="2"/>
  <c r="AA58" i="2"/>
  <c r="AH34" i="2"/>
  <c r="AH29" i="2"/>
  <c r="AH19" i="2"/>
  <c r="AH38" i="2"/>
  <c r="AH18" i="2"/>
  <c r="AH46" i="2"/>
  <c r="AA25" i="2"/>
  <c r="AA173" i="2"/>
  <c r="AA68" i="2"/>
  <c r="AA146" i="2"/>
  <c r="AA21" i="2"/>
  <c r="AA177" i="2"/>
  <c r="AA107" i="2"/>
  <c r="AA40" i="2"/>
  <c r="AA120" i="2"/>
  <c r="AA133" i="2"/>
  <c r="AA44" i="2"/>
  <c r="AA63" i="2"/>
  <c r="AH41" i="2"/>
  <c r="AH22" i="2"/>
  <c r="AA176" i="2"/>
  <c r="AA159" i="2"/>
  <c r="AA26" i="2"/>
  <c r="AA137" i="2"/>
  <c r="AA38" i="2"/>
  <c r="AA65" i="2"/>
  <c r="AA129" i="2"/>
  <c r="AA24" i="2"/>
  <c r="AA180" i="2"/>
  <c r="AH62" i="2"/>
  <c r="AH42" i="2"/>
  <c r="AH52" i="2"/>
  <c r="AA170" i="2"/>
  <c r="AA14" i="2"/>
  <c r="AA73" i="2"/>
  <c r="AA112" i="2"/>
  <c r="AA95" i="2"/>
  <c r="AA43" i="2"/>
  <c r="AA52" i="2"/>
  <c r="AA154" i="2"/>
  <c r="AA118" i="2"/>
  <c r="AA102" i="2"/>
  <c r="AA142" i="2"/>
  <c r="AH21" i="2"/>
  <c r="AH61" i="2"/>
  <c r="AH37" i="2"/>
  <c r="AH30" i="2"/>
  <c r="AA6" i="2"/>
  <c r="AA119" i="2"/>
  <c r="AA138" i="2"/>
  <c r="AA53" i="2"/>
  <c r="AA93" i="2"/>
  <c r="AA78" i="2"/>
  <c r="AA28" i="2"/>
  <c r="AA59" i="2"/>
  <c r="AA66" i="2"/>
  <c r="AA79" i="2"/>
  <c r="AA48" i="2"/>
  <c r="AH25" i="2"/>
  <c r="AH43" i="2"/>
  <c r="AH23" i="2"/>
  <c r="AA20" i="2"/>
  <c r="AA167" i="2"/>
  <c r="AA160" i="2"/>
  <c r="AA33" i="2"/>
  <c r="AA111" i="2"/>
  <c r="AA153" i="2"/>
  <c r="AA97" i="2"/>
  <c r="AA109" i="2"/>
  <c r="AA171" i="2"/>
  <c r="AA127" i="2"/>
  <c r="AH47" i="2"/>
  <c r="AH58" i="2"/>
  <c r="AA178" i="2"/>
  <c r="AA145" i="2"/>
  <c r="AA185" i="2"/>
  <c r="AA84" i="2"/>
  <c r="AA151" i="2"/>
  <c r="AA70" i="2"/>
  <c r="AA147" i="2"/>
  <c r="AA77" i="2"/>
  <c r="AA32" i="2"/>
  <c r="AH50" i="2"/>
  <c r="AH57" i="2"/>
  <c r="AH27" i="2"/>
  <c r="AA164" i="2"/>
  <c r="AA76" i="2"/>
  <c r="AA101" i="2"/>
  <c r="AA55" i="2"/>
  <c r="AA91" i="2"/>
  <c r="AA90" i="2"/>
  <c r="AA98" i="2"/>
  <c r="AA54" i="2"/>
  <c r="AA136" i="2"/>
  <c r="AH63" i="2"/>
  <c r="AH8" i="2"/>
  <c r="AH20" i="2"/>
  <c r="AA188" i="2"/>
  <c r="AA10" i="2"/>
  <c r="AA148" i="2"/>
  <c r="AA88" i="2"/>
  <c r="AA29" i="2"/>
  <c r="AA183" i="2"/>
  <c r="AA27" i="2"/>
  <c r="AA143" i="2"/>
  <c r="AA8" i="2"/>
  <c r="AA86" i="2"/>
  <c r="AA47" i="2"/>
  <c r="AH6" i="2"/>
  <c r="AH7" i="2"/>
  <c r="AH33" i="2"/>
  <c r="AH56" i="2"/>
  <c r="AH10" i="2"/>
  <c r="AA23" i="2"/>
  <c r="AA128" i="2"/>
  <c r="AA69" i="2"/>
  <c r="AA34" i="2"/>
  <c r="AA161" i="2"/>
  <c r="AA96" i="2"/>
  <c r="AA17" i="2"/>
  <c r="AA121" i="2"/>
  <c r="AA41" i="2"/>
  <c r="AA15" i="2"/>
  <c r="AA122" i="2"/>
  <c r="AH64" i="2"/>
  <c r="AH9" i="2"/>
  <c r="AH51" i="2"/>
  <c r="AH40" i="2"/>
  <c r="AH26" i="2"/>
  <c r="AH45" i="2"/>
  <c r="AA184" i="2"/>
  <c r="AA67" i="2"/>
  <c r="AA50" i="2"/>
  <c r="AA62" i="2"/>
  <c r="AA165" i="2"/>
  <c r="AA116" i="2"/>
  <c r="AA13" i="2"/>
  <c r="AA100" i="2"/>
  <c r="AA80" i="2"/>
  <c r="AA31" i="2"/>
  <c r="AA51" i="2"/>
  <c r="AH55" i="2"/>
  <c r="AH39" i="2"/>
  <c r="AH28" i="2"/>
  <c r="AA72" i="2"/>
  <c r="AA166" i="2"/>
  <c r="AA16" i="2"/>
  <c r="AA7" i="2"/>
  <c r="AA187" i="2"/>
  <c r="AA168" i="2"/>
  <c r="AA60" i="2"/>
  <c r="AA172" i="2"/>
  <c r="AA123" i="2"/>
  <c r="AA152" i="2"/>
  <c r="AA85" i="2"/>
  <c r="AH35" i="2"/>
  <c r="AH44" i="2"/>
  <c r="AH65" i="2"/>
  <c r="AA37" i="2"/>
  <c r="AA181" i="2"/>
  <c r="AA106" i="2"/>
  <c r="AA141" i="2"/>
  <c r="AA81" i="2"/>
  <c r="AA104" i="2"/>
  <c r="AA182" i="2"/>
  <c r="AA140" i="2"/>
  <c r="AA39" i="2"/>
  <c r="AA114" i="2"/>
  <c r="AA155" i="2"/>
  <c r="AC158" i="2"/>
  <c r="AC189" i="2"/>
  <c r="AC149" i="2"/>
  <c r="AC75" i="2"/>
  <c r="AC150" i="2"/>
  <c r="AD150" i="2" s="1" a="1"/>
  <c r="AD150" i="2" s="1"/>
  <c r="AA150" i="2" a="1"/>
  <c r="AA150" i="2" s="1"/>
  <c r="AC132" i="2"/>
  <c r="AC35" i="2"/>
  <c r="AC179" i="2"/>
  <c r="AC99" i="2"/>
  <c r="AC130" i="2"/>
  <c r="AC71" i="2"/>
  <c r="AC105" i="2"/>
  <c r="AC57" i="2"/>
  <c r="AC115" i="2"/>
  <c r="AC169" i="2"/>
  <c r="AC42" i="2"/>
  <c r="AC18" i="2"/>
  <c r="AC83" i="2"/>
  <c r="AC11" i="2"/>
  <c r="AC162" i="2"/>
  <c r="AD162" i="2" s="1" a="1"/>
  <c r="AD162" i="2" s="1"/>
  <c r="AA162" i="2" a="1"/>
  <c r="AA162" i="2" s="1"/>
  <c r="AC87" i="2"/>
  <c r="AA74" i="2" a="1"/>
  <c r="AA74" i="2" s="1"/>
  <c r="AC74" i="2"/>
  <c r="AD74" i="2" s="1" a="1"/>
  <c r="AD74" i="2" s="1"/>
  <c r="AC19" i="2"/>
  <c r="AC45" i="2"/>
  <c r="AC124" i="2"/>
  <c r="AC163" i="2"/>
  <c r="AC113" i="2"/>
  <c r="AA61" i="2" a="1"/>
  <c r="AA61" i="2" s="1"/>
  <c r="AC61" i="2"/>
  <c r="AD61" i="2" s="1" a="1"/>
  <c r="AD61" i="2" s="1"/>
  <c r="AC117" i="2"/>
  <c r="AC56" i="2"/>
  <c r="AC5" i="2"/>
  <c r="AC103" i="2"/>
  <c r="AC157" i="2"/>
  <c r="AC135" i="2"/>
  <c r="AC110" i="2"/>
  <c r="AC36" i="2"/>
  <c r="AC49" i="2"/>
  <c r="AC94" i="2"/>
  <c r="AC89" i="2"/>
  <c r="AC125" i="2"/>
  <c r="AC131" i="2"/>
  <c r="AA30" i="2" a="1"/>
  <c r="AA30" i="2" s="1"/>
  <c r="AC30" i="2"/>
  <c r="AD30" i="2" s="1" a="1"/>
  <c r="AD30" i="2" s="1"/>
  <c r="AC126" i="2"/>
  <c r="AC186" i="2"/>
  <c r="AC64" i="2"/>
  <c r="AC174" i="2"/>
  <c r="AC12" i="2"/>
  <c r="AC58" i="2"/>
  <c r="AC25" i="2"/>
  <c r="AC173" i="2"/>
  <c r="AC68" i="2"/>
  <c r="AC146" i="2"/>
  <c r="AC21" i="2"/>
  <c r="AC177" i="2"/>
  <c r="AC107" i="2"/>
  <c r="AC40" i="2"/>
  <c r="AC120" i="2"/>
  <c r="AC133" i="2"/>
  <c r="AC44" i="2"/>
  <c r="AC63" i="2"/>
  <c r="AC176" i="2"/>
  <c r="AC159" i="2"/>
  <c r="AA156" i="2" a="1"/>
  <c r="AA156" i="2" s="1"/>
  <c r="AC156" i="2"/>
  <c r="AD156" i="2" s="1" a="1"/>
  <c r="AD156" i="2" s="1"/>
  <c r="AA192" i="2" a="1"/>
  <c r="AA192" i="2" s="1"/>
  <c r="AC192" i="2"/>
  <c r="AD192" i="2" s="1" a="1"/>
  <c r="AD192" i="2" s="1"/>
  <c r="AC26" i="2"/>
  <c r="AC137" i="2"/>
  <c r="AC38" i="2"/>
  <c r="AC65" i="2"/>
  <c r="AC129" i="2"/>
  <c r="AC24" i="2"/>
  <c r="AC180" i="2"/>
  <c r="AA175" i="2" a="1"/>
  <c r="AA175" i="2" s="1"/>
  <c r="AC175" i="2"/>
  <c r="AD175" i="2" s="1" a="1"/>
  <c r="AD175" i="2" s="1"/>
  <c r="AC170" i="2"/>
  <c r="AC14" i="2"/>
  <c r="AC73" i="2"/>
  <c r="AC112" i="2"/>
  <c r="AC95" i="2"/>
  <c r="AC43" i="2"/>
  <c r="AC52" i="2"/>
  <c r="AC154" i="2"/>
  <c r="AC193" i="2"/>
  <c r="AD193" i="2" s="1" a="1"/>
  <c r="AD193" i="2" s="1"/>
  <c r="AA193" i="2" a="1"/>
  <c r="AA193" i="2" s="1"/>
  <c r="AC118" i="2"/>
  <c r="AC102" i="2"/>
  <c r="AC142" i="2"/>
  <c r="AC6" i="2"/>
  <c r="AC119" i="2"/>
  <c r="AC138" i="2"/>
  <c r="AA190" i="2" a="1"/>
  <c r="AA190" i="2" s="1"/>
  <c r="AC190" i="2"/>
  <c r="AD190" i="2" s="1" a="1"/>
  <c r="AD190" i="2" s="1"/>
  <c r="AC53" i="2"/>
  <c r="AC93" i="2"/>
  <c r="AC78" i="2"/>
  <c r="AC28" i="2"/>
  <c r="AC59" i="2"/>
  <c r="AC66" i="2"/>
  <c r="AC79" i="2"/>
  <c r="AC48" i="2"/>
  <c r="AC20" i="2"/>
  <c r="AC167" i="2"/>
  <c r="AC160" i="2"/>
  <c r="AC33" i="2"/>
  <c r="AC111" i="2"/>
  <c r="AC153" i="2"/>
  <c r="AC82" i="2"/>
  <c r="AD82" i="2" s="1" a="1"/>
  <c r="AD82" i="2" s="1"/>
  <c r="AA82" i="2" a="1"/>
  <c r="AA82" i="2" s="1"/>
  <c r="AC97" i="2"/>
  <c r="AC109" i="2"/>
  <c r="AC46" i="2"/>
  <c r="AD46" i="2" s="1" a="1"/>
  <c r="AD46" i="2" s="1"/>
  <c r="AA46" i="2" a="1"/>
  <c r="AA46" i="2" s="1"/>
  <c r="AC171" i="2"/>
  <c r="AC127" i="2"/>
  <c r="AC178" i="2"/>
  <c r="AC144" i="2"/>
  <c r="AD144" i="2" s="1" a="1"/>
  <c r="AD144" i="2" s="1"/>
  <c r="AA144" i="2" a="1"/>
  <c r="AA144" i="2" s="1"/>
  <c r="AC108" i="2"/>
  <c r="AD108" i="2" s="1" a="1"/>
  <c r="AD108" i="2" s="1"/>
  <c r="AA108" i="2" a="1"/>
  <c r="AA108" i="2" s="1"/>
  <c r="AC145" i="2"/>
  <c r="AC185" i="2"/>
  <c r="AC84" i="2"/>
  <c r="AC151" i="2"/>
  <c r="AC92" i="2"/>
  <c r="AD92" i="2" s="1" a="1"/>
  <c r="AD92" i="2" s="1"/>
  <c r="AA92" i="2" a="1"/>
  <c r="AA92" i="2" s="1"/>
  <c r="AC70" i="2"/>
  <c r="AC147" i="2"/>
  <c r="AC77" i="2"/>
  <c r="AC32" i="2"/>
  <c r="AC164" i="2"/>
  <c r="AC76" i="2"/>
  <c r="AC101" i="2"/>
  <c r="AC55" i="2"/>
  <c r="AC91" i="2"/>
  <c r="AC90" i="2"/>
  <c r="AC98" i="2"/>
  <c r="AC54" i="2"/>
  <c r="AC136" i="2"/>
  <c r="AC191" i="2"/>
  <c r="AD191" i="2" s="1" a="1"/>
  <c r="AD191" i="2" s="1"/>
  <c r="AA191" i="2" a="1"/>
  <c r="AA191" i="2" s="1"/>
  <c r="AC9" i="2"/>
  <c r="AD9" i="2" s="1" a="1"/>
  <c r="AD9" i="2" s="1"/>
  <c r="AA9" i="2" a="1"/>
  <c r="AA9" i="2" s="1"/>
  <c r="AC188" i="2"/>
  <c r="AC10" i="2"/>
  <c r="AC148" i="2"/>
  <c r="AC88" i="2"/>
  <c r="AC29" i="2"/>
  <c r="AC183" i="2"/>
  <c r="AC27" i="2"/>
  <c r="AC143" i="2"/>
  <c r="AC8" i="2"/>
  <c r="AC86" i="2"/>
  <c r="AC47" i="2"/>
  <c r="AC23" i="2"/>
  <c r="AC128" i="2"/>
  <c r="AC69" i="2"/>
  <c r="AC34" i="2"/>
  <c r="AC161" i="2"/>
  <c r="AC96" i="2"/>
  <c r="AC17" i="2"/>
  <c r="AC121" i="2"/>
  <c r="AC41" i="2"/>
  <c r="AC15" i="2"/>
  <c r="AC122" i="2"/>
  <c r="AC134" i="2"/>
  <c r="AD134" i="2" s="1" a="1"/>
  <c r="AD134" i="2" s="1"/>
  <c r="AA134" i="2" a="1"/>
  <c r="AA134" i="2" s="1"/>
  <c r="AA22" i="2" a="1"/>
  <c r="AA22" i="2" s="1"/>
  <c r="AC22" i="2"/>
  <c r="AD22" i="2" s="1" a="1"/>
  <c r="AD22" i="2" s="1"/>
  <c r="AC184" i="2"/>
  <c r="AC67" i="2"/>
  <c r="AC50" i="2"/>
  <c r="AC62" i="2"/>
  <c r="AC165" i="2"/>
  <c r="AC116" i="2"/>
  <c r="AC13" i="2"/>
  <c r="AC100" i="2"/>
  <c r="AC80" i="2"/>
  <c r="AC31" i="2"/>
  <c r="AC51" i="2"/>
  <c r="AC72" i="2"/>
  <c r="AA139" i="2" a="1"/>
  <c r="AA139" i="2" s="1"/>
  <c r="AC139" i="2"/>
  <c r="AD139" i="2" s="1" a="1"/>
  <c r="AD139" i="2" s="1"/>
  <c r="AC166" i="2"/>
  <c r="AC16" i="2"/>
  <c r="AC7" i="2"/>
  <c r="AC187" i="2"/>
  <c r="AC168" i="2"/>
  <c r="AC60" i="2"/>
  <c r="AC172" i="2"/>
  <c r="AC123" i="2"/>
  <c r="AC152" i="2"/>
  <c r="AC85" i="2"/>
  <c r="AC37" i="2"/>
  <c r="AC181" i="2"/>
  <c r="AC106" i="2"/>
  <c r="AC141" i="2"/>
  <c r="AC81" i="2"/>
  <c r="AC104" i="2"/>
  <c r="AC182" i="2"/>
  <c r="AC140" i="2"/>
  <c r="AC39" i="2"/>
  <c r="AC114" i="2"/>
  <c r="AC155" i="2"/>
  <c r="D65" i="33"/>
  <c r="D61" i="33"/>
  <c r="D62" i="33"/>
  <c r="D67" i="33"/>
  <c r="D63" i="33"/>
  <c r="D64" i="33"/>
  <c r="D66" i="33"/>
  <c r="M56" i="39"/>
  <c r="AD132" i="2" a="1"/>
  <c r="AD90" i="2" a="1"/>
  <c r="AD149" i="2" a="1"/>
  <c r="AD54" i="2" a="1"/>
  <c r="AD177" i="2" a="1"/>
  <c r="AD32" i="2" a="1"/>
  <c r="AD59" i="2" a="1"/>
  <c r="AD53" i="2" a="1"/>
  <c r="AD174" i="2" a="1"/>
  <c r="AD185" i="2" a="1"/>
  <c r="AD73" i="2" a="1"/>
  <c r="AD100" i="2" a="1"/>
  <c r="AD52" i="2" a="1"/>
  <c r="AD101" i="2" a="1"/>
  <c r="AD96" i="2" a="1"/>
  <c r="AD89" i="2" a="1"/>
  <c r="AD85" i="2" a="1"/>
  <c r="AD131" i="2" a="1"/>
  <c r="AD143" i="2" a="1"/>
  <c r="AD121" i="2" a="1"/>
  <c r="AD141" i="2" a="1"/>
  <c r="AD76" i="2" a="1"/>
  <c r="AD8" i="2" a="1"/>
  <c r="AD118" i="2" a="1"/>
  <c r="AD50" i="2" a="1"/>
  <c r="AD21" i="2" a="1"/>
  <c r="AD130" i="2" a="1"/>
  <c r="AD112" i="2" a="1"/>
  <c r="AD103" i="2" a="1"/>
  <c r="AD171" i="2" a="1"/>
  <c r="AD15" i="2" a="1"/>
  <c r="AD136" i="2" a="1"/>
  <c r="AD78" i="2" a="1"/>
  <c r="AD172" i="2" a="1"/>
  <c r="AD182" i="2" a="1"/>
  <c r="AD40" i="2" a="1"/>
  <c r="AD158" i="2" a="1"/>
  <c r="AD62" i="2" a="1"/>
  <c r="AD38" i="2" a="1"/>
  <c r="AD65" i="2" a="1"/>
  <c r="AD180" i="2" a="1"/>
  <c r="AD66" i="2" a="1"/>
  <c r="AD71" i="2" a="1"/>
  <c r="AD152" i="2" a="1"/>
  <c r="AD111" i="2" a="1"/>
  <c r="AD26" i="2" a="1"/>
  <c r="AD127" i="2" a="1"/>
  <c r="AD60" i="2" a="1"/>
  <c r="AD133" i="2" a="1"/>
  <c r="AD166" i="2" a="1"/>
  <c r="AD107" i="2" a="1"/>
  <c r="AD68" i="2" a="1"/>
  <c r="AD147" i="2" a="1"/>
  <c r="AD37" i="2" a="1"/>
  <c r="AD69" i="2" a="1"/>
  <c r="AD123" i="2" a="1"/>
  <c r="AD12" i="2" a="1"/>
  <c r="AD86" i="2" a="1"/>
  <c r="AD39" i="2" a="1"/>
  <c r="AD178" i="2" a="1"/>
  <c r="AD70" i="2" a="1"/>
  <c r="AD183" i="2" a="1"/>
  <c r="AD188" i="2" a="1"/>
  <c r="AD36" i="2" a="1"/>
  <c r="AD57" i="2" a="1"/>
  <c r="AD29" i="2" a="1"/>
  <c r="AD129" i="2" a="1"/>
  <c r="AD138" i="2" a="1"/>
  <c r="AD91" i="2" a="1"/>
  <c r="AD120" i="2" a="1"/>
  <c r="AD160" i="2" a="1"/>
  <c r="AD51" i="2" a="1"/>
  <c r="AD72" i="2" a="1"/>
  <c r="AD115" i="2" a="1"/>
  <c r="AD87" i="2" a="1"/>
  <c r="AD75" i="2" a="1"/>
  <c r="AD187" i="2" a="1"/>
  <c r="AD93" i="2" a="1"/>
  <c r="AD169" i="2" a="1"/>
  <c r="AD84" i="2" a="1"/>
  <c r="AD142" i="2" a="1"/>
  <c r="AD33" i="2" a="1"/>
  <c r="AD135" i="2" a="1"/>
  <c r="AD137" i="2" a="1"/>
  <c r="AD99" i="2" a="1"/>
  <c r="AD23" i="2" a="1"/>
  <c r="AD128" i="2" a="1"/>
  <c r="AD20" i="2" a="1"/>
  <c r="AD31" i="2" a="1"/>
  <c r="AD106" i="2" a="1"/>
  <c r="AD5" i="2" a="1"/>
  <c r="AD25" i="2" a="1"/>
  <c r="AD105" i="2" a="1"/>
  <c r="AD167" i="2" a="1"/>
  <c r="AD186" i="2" a="1"/>
  <c r="AD151" i="2" a="1"/>
  <c r="AD148" i="2" a="1"/>
  <c r="AD67" i="2" a="1"/>
  <c r="AD159" i="2" a="1"/>
  <c r="AD34" i="2" a="1"/>
  <c r="AD165" i="2" a="1"/>
  <c r="AD24" i="2" a="1"/>
  <c r="AD155" i="2" a="1"/>
  <c r="AD11" i="2" a="1"/>
  <c r="AD44" i="2" a="1"/>
  <c r="AD124" i="2" a="1"/>
  <c r="AD28" i="2" a="1"/>
  <c r="AD116" i="2" a="1"/>
  <c r="AD184" i="2" a="1"/>
  <c r="AD176" i="2" a="1"/>
  <c r="AD17" i="2" a="1"/>
  <c r="AD126" i="2" a="1"/>
  <c r="AD43" i="2" a="1"/>
  <c r="AD154" i="2" a="1"/>
  <c r="AD42" i="2" a="1"/>
  <c r="AD35" i="2" a="1"/>
  <c r="AD140" i="2" a="1"/>
  <c r="AD18" i="2" a="1"/>
  <c r="AD117" i="2" a="1"/>
  <c r="AD145" i="2" a="1"/>
  <c r="AD119" i="2" a="1"/>
  <c r="AD122" i="2" a="1"/>
  <c r="AD98" i="2" a="1"/>
  <c r="AD163" i="2" a="1"/>
  <c r="AD14" i="2" a="1"/>
  <c r="AD41" i="2" a="1"/>
  <c r="AD170" i="2" a="1"/>
  <c r="AD6" i="2" a="1"/>
  <c r="AD153" i="2" a="1"/>
  <c r="AD88" i="2" a="1"/>
  <c r="AD55" i="2" a="1"/>
  <c r="AD94" i="2" a="1"/>
  <c r="AD83" i="2" a="1"/>
  <c r="AD97" i="2" a="1"/>
  <c r="AD102" i="2" a="1"/>
  <c r="AD49" i="2" a="1"/>
  <c r="AD95" i="2" a="1"/>
  <c r="AD125" i="2" a="1"/>
  <c r="AD47" i="2" a="1"/>
  <c r="AD161" i="2" a="1"/>
  <c r="AD168" i="2" a="1"/>
  <c r="AD110" i="2" a="1"/>
  <c r="AD63" i="2" a="1"/>
  <c r="AD80" i="2" a="1"/>
  <c r="AD77" i="2" a="1"/>
  <c r="AD7" i="2" a="1"/>
  <c r="AD48" i="2" a="1"/>
  <c r="AD16" i="2" a="1"/>
  <c r="AD104" i="2" a="1"/>
  <c r="AD56" i="2" a="1"/>
  <c r="AD109" i="2" a="1"/>
  <c r="AD181" i="2" a="1"/>
  <c r="AD10" i="2" a="1"/>
  <c r="AD79" i="2" a="1"/>
  <c r="AD27" i="2" a="1"/>
  <c r="AD13" i="2" a="1"/>
  <c r="AD173" i="2" a="1"/>
  <c r="AD164" i="2" a="1"/>
  <c r="AD19" i="2" a="1"/>
  <c r="AD113" i="2" a="1"/>
  <c r="AD114" i="2" a="1"/>
  <c r="AD81" i="2" a="1"/>
  <c r="AD157" i="2" a="1"/>
  <c r="AD146" i="2" a="1"/>
  <c r="AD179" i="2" a="1"/>
  <c r="AD58" i="2" a="1"/>
  <c r="AD45" i="2" a="1"/>
  <c r="AD64" i="2" a="1"/>
  <c r="AD189" i="2" a="1"/>
  <c r="AD141" i="2" l="1"/>
  <c r="AD72" i="2"/>
  <c r="AD122" i="2"/>
  <c r="AD183" i="2"/>
  <c r="AD101" i="2"/>
  <c r="AD48" i="2"/>
  <c r="AD38" i="2"/>
  <c r="AD21" i="2"/>
  <c r="AD94" i="2"/>
  <c r="AD19" i="2"/>
  <c r="AD99" i="2"/>
  <c r="AD106" i="2"/>
  <c r="AD51" i="2"/>
  <c r="AD15" i="2"/>
  <c r="AD29" i="2"/>
  <c r="AD76" i="2"/>
  <c r="AD178" i="2"/>
  <c r="AD79" i="2"/>
  <c r="AD137" i="2"/>
  <c r="AD146" i="2"/>
  <c r="AD49" i="2"/>
  <c r="AD179" i="2"/>
  <c r="AD181" i="2"/>
  <c r="AD31" i="2"/>
  <c r="AD41" i="2"/>
  <c r="AD88" i="2"/>
  <c r="AD164" i="2"/>
  <c r="AD127" i="2"/>
  <c r="AD66" i="2"/>
  <c r="AD154" i="2"/>
  <c r="AD26" i="2"/>
  <c r="AD68" i="2"/>
  <c r="AD36" i="2"/>
  <c r="AD35" i="2"/>
  <c r="AD37" i="2"/>
  <c r="AD80" i="2"/>
  <c r="AD121" i="2"/>
  <c r="AD148" i="2"/>
  <c r="AD32" i="2"/>
  <c r="AD171" i="2"/>
  <c r="AD59" i="2"/>
  <c r="AD52" i="2"/>
  <c r="AD173" i="2"/>
  <c r="AD110" i="2"/>
  <c r="AD87" i="2"/>
  <c r="AD132" i="2"/>
  <c r="AD100" i="2"/>
  <c r="AD17" i="2"/>
  <c r="AD10" i="2"/>
  <c r="AD77" i="2"/>
  <c r="AD28" i="2"/>
  <c r="AD43" i="2"/>
  <c r="AD25" i="2"/>
  <c r="AD135" i="2"/>
  <c r="AD152" i="2"/>
  <c r="AD13" i="2"/>
  <c r="AD96" i="2"/>
  <c r="AD188" i="2"/>
  <c r="AD147" i="2"/>
  <c r="AD78" i="2"/>
  <c r="AD95" i="2"/>
  <c r="AD58" i="2"/>
  <c r="AD157" i="2"/>
  <c r="AD123" i="2"/>
  <c r="AD116" i="2"/>
  <c r="AD161" i="2"/>
  <c r="AD70" i="2"/>
  <c r="AD109" i="2"/>
  <c r="AD93" i="2"/>
  <c r="AD112" i="2"/>
  <c r="AD12" i="2"/>
  <c r="AD103" i="2"/>
  <c r="AD11" i="2"/>
  <c r="AD75" i="2"/>
  <c r="AD172" i="2"/>
  <c r="AD165" i="2"/>
  <c r="AD34" i="2"/>
  <c r="AD97" i="2"/>
  <c r="AD53" i="2"/>
  <c r="AD73" i="2"/>
  <c r="AD159" i="2"/>
  <c r="AD174" i="2"/>
  <c r="AD5" i="2"/>
  <c r="AD83" i="2"/>
  <c r="AD149" i="2"/>
  <c r="AD85" i="2"/>
  <c r="AD60" i="2"/>
  <c r="AD62" i="2"/>
  <c r="AD69" i="2"/>
  <c r="AD14" i="2"/>
  <c r="AD176" i="2"/>
  <c r="AD64" i="2"/>
  <c r="AD56" i="2"/>
  <c r="AD18" i="2"/>
  <c r="AD189" i="2"/>
  <c r="AD155" i="2"/>
  <c r="AD168" i="2"/>
  <c r="AD50" i="2"/>
  <c r="AD128" i="2"/>
  <c r="AD151" i="2"/>
  <c r="AD170" i="2"/>
  <c r="AD63" i="2"/>
  <c r="AD186" i="2"/>
  <c r="AD117" i="2"/>
  <c r="AD42" i="2"/>
  <c r="AD158" i="2"/>
  <c r="AD67" i="2"/>
  <c r="AD136" i="2"/>
  <c r="AD138" i="2"/>
  <c r="AD44" i="2"/>
  <c r="AD126" i="2"/>
  <c r="AD169" i="2"/>
  <c r="AD23" i="2"/>
  <c r="AD39" i="2"/>
  <c r="AD7" i="2"/>
  <c r="AD184" i="2"/>
  <c r="AD47" i="2"/>
  <c r="AD54" i="2"/>
  <c r="AD185" i="2"/>
  <c r="AD111" i="2"/>
  <c r="AD119" i="2"/>
  <c r="AD133" i="2"/>
  <c r="AD115" i="2"/>
  <c r="AD140" i="2"/>
  <c r="AD16" i="2"/>
  <c r="AD86" i="2"/>
  <c r="AD98" i="2"/>
  <c r="AD145" i="2"/>
  <c r="AD33" i="2"/>
  <c r="AD6" i="2"/>
  <c r="AD180" i="2"/>
  <c r="AD120" i="2"/>
  <c r="AD113" i="2"/>
  <c r="AD57" i="2"/>
  <c r="AD114" i="2"/>
  <c r="AD182" i="2"/>
  <c r="AD166" i="2"/>
  <c r="AD8" i="2"/>
  <c r="AD90" i="2"/>
  <c r="AD160" i="2"/>
  <c r="AD142" i="2"/>
  <c r="AD24" i="2"/>
  <c r="AD40" i="2"/>
  <c r="AD131" i="2"/>
  <c r="AD163" i="2"/>
  <c r="AD105" i="2"/>
  <c r="AD187" i="2"/>
  <c r="AD84" i="2"/>
  <c r="AD104" i="2"/>
  <c r="AD143" i="2"/>
  <c r="AD91" i="2"/>
  <c r="AD167" i="2"/>
  <c r="AD102" i="2"/>
  <c r="AD129" i="2"/>
  <c r="AD107" i="2"/>
  <c r="AD125" i="2"/>
  <c r="AD124" i="2"/>
  <c r="AD71" i="2"/>
  <c r="AD153" i="2"/>
  <c r="AD81" i="2"/>
  <c r="AD27" i="2"/>
  <c r="AD55" i="2"/>
  <c r="AD20" i="2"/>
  <c r="AD118" i="2"/>
  <c r="AD65" i="2"/>
  <c r="AD177" i="2"/>
  <c r="AD89" i="2"/>
  <c r="AD45" i="2"/>
  <c r="AD130" i="2"/>
  <c r="B143" i="7"/>
  <c r="B148" i="7"/>
  <c r="C96" i="7" a="1"/>
  <c r="C97" i="7" a="1"/>
  <c r="C99" i="7" a="1"/>
  <c r="C99" i="7" l="1"/>
  <c r="C97" i="7"/>
  <c r="C96" i="7"/>
  <c r="C443" i="1" a="1"/>
  <c r="C443" i="1" l="1"/>
  <c r="D61" i="66" a="1"/>
  <c r="D61" i="66" l="1"/>
  <c r="D62" i="66"/>
  <c r="D55" i="66" a="1"/>
  <c r="D55" i="66" l="1"/>
  <c r="D56" i="66"/>
  <c r="B190" i="45" a="1"/>
  <c r="B190" i="45" l="1"/>
  <c r="B191" i="45"/>
  <c r="B193" i="45"/>
  <c r="B194" i="45"/>
  <c r="B195" i="45"/>
  <c r="B204" i="45"/>
  <c r="B197" i="45"/>
  <c r="B205" i="45"/>
  <c r="B206" i="45"/>
  <c r="B196" i="45"/>
  <c r="B200" i="45"/>
  <c r="B192" i="45"/>
  <c r="B202" i="45"/>
  <c r="B207" i="45"/>
  <c r="B198" i="45"/>
  <c r="B209" i="45"/>
  <c r="B214" i="45"/>
  <c r="B211" i="45"/>
  <c r="B213" i="45"/>
  <c r="B216" i="45"/>
  <c r="B208" i="45"/>
  <c r="B215" i="45"/>
  <c r="B203" i="45"/>
  <c r="B210" i="45"/>
  <c r="B201" i="45"/>
  <c r="B212" i="45"/>
  <c r="B199" i="45"/>
  <c r="C360" i="1" a="1"/>
  <c r="C361" i="1" a="1"/>
  <c r="C360" i="1" l="1"/>
  <c r="C361" i="1"/>
  <c r="D88" i="30" a="1"/>
  <c r="B62" i="30" a="1"/>
  <c r="B62" i="30" l="1"/>
  <c r="D88" i="30"/>
  <c r="C6" i="13" a="1"/>
  <c r="C6" i="13" l="1"/>
  <c r="G315" i="60" a="1"/>
  <c r="F112" i="60" a="1"/>
  <c r="G315" i="60" l="1"/>
  <c r="F112" i="60"/>
  <c r="G52" i="60" a="1"/>
  <c r="G52" i="60" l="1"/>
  <c r="H66" i="60" a="1"/>
  <c r="G215" i="60" a="1"/>
  <c r="G70" i="60" a="1"/>
  <c r="G90" i="60" a="1"/>
  <c r="E5" i="60" a="1"/>
  <c r="H66" i="60" l="1"/>
  <c r="G70" i="60"/>
  <c r="G215" i="60"/>
  <c r="G90" i="60"/>
  <c r="E5" i="60"/>
  <c r="E53" i="46" l="1" a="1"/>
  <c r="E53" i="46" s="1"/>
  <c r="E5" i="46" a="1"/>
  <c r="E5" i="46" s="1"/>
  <c r="D67" i="63" a="1"/>
  <c r="D67" i="63" s="1"/>
  <c r="D38" i="63" a="1"/>
  <c r="D38" i="63" s="1"/>
  <c r="D22" i="63" a="1"/>
  <c r="D22" i="63" s="1"/>
  <c r="D8" i="63" a="1"/>
  <c r="D8" i="63" s="1"/>
  <c r="C42" i="21" a="1"/>
  <c r="C42" i="21" s="1"/>
  <c r="B42" i="21" a="1"/>
  <c r="B42" i="21" s="1"/>
  <c r="C41" i="21" a="1"/>
  <c r="C41" i="21" s="1"/>
  <c r="B41" i="21" a="1"/>
  <c r="B41" i="21" s="1"/>
  <c r="C40" i="21" a="1"/>
  <c r="C40" i="21" s="1"/>
  <c r="B40" i="21" a="1"/>
  <c r="B40" i="21" s="1"/>
  <c r="C37" i="21" a="1"/>
  <c r="C37" i="21" s="1"/>
  <c r="B37" i="21" a="1"/>
  <c r="B37" i="21" s="1"/>
  <c r="D29" i="59" a="1"/>
  <c r="D29" i="59" s="1"/>
  <c r="F68" i="9" a="1"/>
  <c r="D46" i="33" a="1"/>
  <c r="I105" i="55" a="1"/>
  <c r="B157" i="20" a="1"/>
  <c r="B64" i="31" a="1"/>
  <c r="G118" i="24" a="1"/>
  <c r="E5" i="42" a="1"/>
  <c r="D325" i="1" a="1"/>
  <c r="E55" i="56" a="1"/>
  <c r="F13" i="56" a="1"/>
  <c r="D5" i="33" a="1"/>
  <c r="F197" i="1" a="1"/>
  <c r="B62" i="13" a="1"/>
  <c r="D85" i="66" a="1"/>
  <c r="D69" i="25" a="1"/>
  <c r="D5" i="66" a="1"/>
  <c r="D36" i="66" a="1"/>
  <c r="D36" i="33" a="1"/>
  <c r="D353" i="1" a="1"/>
  <c r="D10" i="24" a="1"/>
  <c r="K122" i="40" a="1"/>
  <c r="I5" i="55" a="1"/>
  <c r="D43" i="24" a="1"/>
  <c r="F336" i="1" a="1"/>
  <c r="F54" i="28" a="1"/>
  <c r="F18" i="41" a="1"/>
  <c r="C379" i="1" a="1"/>
  <c r="H6" i="31" a="1"/>
  <c r="B71" i="29" a="1"/>
  <c r="D47" i="20" a="1"/>
  <c r="D344" i="1" a="1"/>
  <c r="F30" i="28" a="1"/>
  <c r="F20" i="1" a="1"/>
  <c r="I91" i="55" a="1"/>
  <c r="C136" i="20" a="1"/>
  <c r="B87" i="9" a="1"/>
  <c r="F43" i="43" a="1"/>
  <c r="E38" i="67" a="1"/>
  <c r="E103" i="9" a="1"/>
  <c r="K74" i="40" a="1"/>
  <c r="K157" i="40" a="1"/>
  <c r="F10" i="9" a="1"/>
  <c r="C16" i="7" a="1"/>
  <c r="D5" i="36" a="1"/>
  <c r="H40" i="61" a="1"/>
  <c r="K130" i="40" a="1"/>
  <c r="B147" i="10" a="1"/>
  <c r="E7" i="12" a="1"/>
  <c r="C71" i="13" a="1"/>
  <c r="D92" i="20" a="1"/>
  <c r="C380" i="1" a="1"/>
  <c r="K148" i="40" a="1"/>
  <c r="D67" i="24" a="1"/>
  <c r="D33" i="33" a="1"/>
  <c r="I85" i="55" a="1"/>
  <c r="I183" i="55" a="1"/>
  <c r="E95" i="24" a="1"/>
  <c r="D53" i="20" a="1"/>
  <c r="I23" i="55" a="1"/>
  <c r="I151" i="55" a="1"/>
  <c r="G17" i="23" a="1"/>
  <c r="C69" i="25" a="1"/>
  <c r="D217" i="30" a="1"/>
  <c r="B146" i="57" a="1"/>
  <c r="H23" i="31" a="1"/>
  <c r="B96" i="21" a="1"/>
  <c r="E60" i="12" a="1"/>
  <c r="D75" i="20" a="1"/>
  <c r="B95" i="13" a="1"/>
  <c r="F127" i="9" a="1"/>
  <c r="G7" i="23" a="1"/>
  <c r="B82" i="63" a="1"/>
  <c r="B128" i="64" a="1"/>
  <c r="G38" i="23" a="1"/>
  <c r="B122" i="21" a="1"/>
  <c r="I66" i="27" a="1"/>
  <c r="B92" i="21" a="1"/>
  <c r="E5" i="29" a="1"/>
  <c r="G31" i="23" a="1"/>
  <c r="G62" i="6" a="1"/>
  <c r="K90" i="40" a="1"/>
  <c r="E6" i="51" a="1"/>
  <c r="B158" i="29" a="1"/>
  <c r="G28" i="23" a="1"/>
  <c r="B45" i="42" a="1"/>
  <c r="I167" i="55" a="1"/>
  <c r="D76" i="20" a="1"/>
  <c r="C127" i="20" a="1"/>
  <c r="B295" i="1" a="1"/>
  <c r="K108" i="40" a="1"/>
  <c r="D72" i="20" a="1"/>
  <c r="D327" i="1" a="1"/>
  <c r="H5" i="34" a="1"/>
  <c r="B47" i="10" a="1"/>
  <c r="I24" i="55" a="1"/>
  <c r="D66" i="17" a="1"/>
  <c r="F60" i="31" a="1"/>
  <c r="D51" i="20" a="1"/>
  <c r="D59" i="24" a="1"/>
  <c r="C175" i="1" a="1"/>
  <c r="C115" i="32" a="1"/>
  <c r="K19" i="40" a="1"/>
  <c r="B135" i="43" a="1"/>
  <c r="K32" i="40" a="1"/>
  <c r="I39" i="55" a="1"/>
  <c r="D68" i="20" a="1"/>
  <c r="F6" i="25" a="1"/>
  <c r="B88" i="13" a="1"/>
  <c r="B71" i="21" a="1"/>
  <c r="D81" i="24" a="1"/>
  <c r="G49" i="23" a="1"/>
  <c r="B83" i="44" a="1"/>
  <c r="D343" i="1" a="1"/>
  <c r="C401" i="1" a="1"/>
  <c r="E18" i="67" a="1"/>
  <c r="L158" i="55" a="1"/>
  <c r="B256" i="1" a="1"/>
  <c r="I14" i="55" a="1"/>
  <c r="F29" i="61" a="1"/>
  <c r="C412" i="1" a="1"/>
  <c r="I123" i="55" a="1"/>
  <c r="F334" i="1" a="1"/>
  <c r="D43" i="17" a="1"/>
  <c r="B29" i="21" a="1"/>
  <c r="E85" i="66" a="1"/>
  <c r="F335" i="1" a="1"/>
  <c r="D67" i="20" a="1"/>
  <c r="E64" i="29" a="1"/>
  <c r="G11" i="23" a="1"/>
  <c r="D83" i="24" a="1"/>
  <c r="B298" i="60" a="1"/>
  <c r="C140" i="1" a="1"/>
  <c r="K45" i="40" a="1"/>
  <c r="H23" i="11" a="1"/>
  <c r="F27" i="43" a="1"/>
  <c r="C52" i="7" a="1"/>
  <c r="D46" i="20" a="1"/>
  <c r="D26" i="33" a="1"/>
  <c r="C411" i="1" a="1"/>
  <c r="E17" i="51" a="1"/>
  <c r="D72" i="17" a="1"/>
  <c r="E29" i="51" a="1"/>
  <c r="G53" i="6" a="1"/>
  <c r="D312" i="1" a="1"/>
  <c r="D6" i="24" a="1"/>
  <c r="N257" i="26" a="1"/>
  <c r="D44" i="20" a="1"/>
  <c r="E40" i="29" a="1"/>
  <c r="E50" i="46" a="1"/>
  <c r="I292" i="40" a="1"/>
  <c r="B131" i="9" a="1"/>
  <c r="I40" i="55" a="1"/>
  <c r="F16" i="61" a="1"/>
  <c r="F23" i="28" a="1"/>
  <c r="I22" i="55" a="1"/>
  <c r="B75" i="63" a="1"/>
  <c r="D16" i="24" a="1"/>
  <c r="B231" i="1" a="1"/>
  <c r="D48" i="20" a="1"/>
  <c r="C327" i="1" a="1"/>
  <c r="D38" i="24" a="1"/>
  <c r="H39" i="34" a="1"/>
  <c r="D352" i="1" a="1"/>
  <c r="H4" i="44" a="1"/>
  <c r="F11" i="61" a="1"/>
  <c r="I109" i="55" a="1"/>
  <c r="E39" i="51" a="1"/>
  <c r="D6" i="33" a="1"/>
  <c r="E61" i="46" a="1"/>
  <c r="C156" i="21" a="1"/>
  <c r="E27" i="12" a="1"/>
  <c r="I106" i="55" a="1"/>
  <c r="B112" i="21" a="1"/>
  <c r="C25" i="47" a="1"/>
  <c r="E34" i="51" a="1"/>
  <c r="E13" i="42" a="1"/>
  <c r="C10" i="16" a="1"/>
  <c r="L230" i="22" a="1"/>
  <c r="F144" i="43" a="1"/>
  <c r="B20" i="6" a="1"/>
  <c r="I114" i="55" a="1"/>
  <c r="K140" i="40" a="1"/>
  <c r="C118" i="20" a="1"/>
  <c r="H5" i="19" a="1"/>
  <c r="F57" i="25" a="1"/>
  <c r="B264" i="22" a="1"/>
  <c r="D49" i="33" a="1"/>
  <c r="D18" i="33" a="1"/>
  <c r="F25" i="61" a="1"/>
  <c r="F48" i="9" a="1"/>
  <c r="F44" i="41" a="1"/>
  <c r="L220" i="22" a="1"/>
  <c r="K6" i="40" a="1"/>
  <c r="D19" i="33" a="1"/>
  <c r="H101" i="44" a="1"/>
  <c r="D40" i="33" a="1"/>
  <c r="H7" i="11" a="1"/>
  <c r="E40" i="46" a="1"/>
  <c r="F6" i="56" a="1"/>
  <c r="H63" i="34" a="1"/>
  <c r="I180" i="55" a="1"/>
  <c r="F15" i="28" a="1"/>
  <c r="C386" i="1" a="1"/>
  <c r="E150" i="29" a="1"/>
  <c r="C109" i="20" a="1"/>
  <c r="D57" i="17" a="1"/>
  <c r="C141" i="18" a="1"/>
  <c r="E69" i="25" a="1"/>
  <c r="C154" i="60" a="1"/>
  <c r="D7" i="33" a="1"/>
  <c r="B64" i="43" a="1"/>
  <c r="D76" i="24" a="1"/>
  <c r="H34" i="61" a="1"/>
  <c r="F34" i="25" a="1"/>
  <c r="E23" i="51" a="1"/>
  <c r="B213" i="1" a="1"/>
  <c r="B286" i="60" a="1"/>
  <c r="D50" i="20" a="1"/>
  <c r="D50" i="17" a="1"/>
  <c r="D46" i="24" a="1"/>
  <c r="B136" i="21" a="1"/>
  <c r="E325" i="1" a="1"/>
  <c r="D52" i="24" a="1"/>
  <c r="F5" i="41" a="1"/>
  <c r="I75" i="27" a="1"/>
  <c r="C145" i="20" a="1"/>
  <c r="B232" i="30" a="1"/>
  <c r="I118" i="55" a="1"/>
  <c r="C133" i="1" a="1"/>
  <c r="C23" i="17" a="1"/>
  <c r="I51" i="55" a="1"/>
  <c r="D10" i="33" a="1"/>
  <c r="F51" i="43" a="1"/>
  <c r="B249" i="1" a="1"/>
  <c r="F90" i="25" a="1"/>
  <c r="B39" i="1" a="1"/>
  <c r="D49" i="20" a="1"/>
  <c r="F190" i="1" a="1"/>
  <c r="F14" i="25" a="1"/>
  <c r="E327" i="1" a="1"/>
  <c r="E74" i="9" a="1"/>
  <c r="E5" i="65" a="1"/>
  <c r="B81" i="13" a="1"/>
  <c r="C29" i="59" a="1"/>
  <c r="C85" i="7" a="1"/>
  <c r="D60" i="24" a="1"/>
  <c r="E66" i="12" a="1"/>
  <c r="F85" i="66" a="1"/>
  <c r="D13" i="33" a="1"/>
  <c r="E17" i="12" a="1"/>
  <c r="E200" i="29" a="1"/>
  <c r="E16" i="60" a="1"/>
  <c r="D45" i="20" a="1"/>
  <c r="D26" i="24" a="1"/>
  <c r="B69" i="25" a="1"/>
  <c r="F54" i="1" a="1"/>
  <c r="I129" i="55" a="1"/>
  <c r="I30" i="55" a="1"/>
  <c r="E41" i="51" a="1"/>
  <c r="G66" i="12" a="1"/>
  <c r="G26" i="23" a="1"/>
  <c r="F6" i="61" a="1"/>
  <c r="B81" i="21" a="1"/>
  <c r="G15" i="23" a="1"/>
  <c r="F333" i="1" a="1"/>
  <c r="G45" i="23" a="1"/>
  <c r="F44" i="25" a="1"/>
  <c r="D57" i="20" a="1"/>
  <c r="B55" i="21" a="1"/>
  <c r="H18" i="11" a="1"/>
  <c r="D59" i="55" a="1"/>
  <c r="G60" i="12" a="1"/>
  <c r="D14" i="24" a="1"/>
  <c r="I145" i="55" a="1"/>
  <c r="E57" i="29" a="1"/>
  <c r="D45" i="33" a="1"/>
  <c r="D54" i="20" a="1"/>
  <c r="C57" i="9" a="1"/>
  <c r="H32" i="44" a="1"/>
  <c r="F20" i="56" a="1"/>
  <c r="B123" i="43" a="1"/>
  <c r="I96" i="55" a="1"/>
  <c r="D208" i="30" a="1"/>
  <c r="E24" i="42" a="1"/>
  <c r="D58" i="20" a="1"/>
  <c r="B26" i="21" a="1"/>
  <c r="F58" i="41" a="1"/>
  <c r="D74" i="24" a="1"/>
  <c r="C141" i="20" a="1"/>
  <c r="I98" i="55" a="1"/>
  <c r="F13" i="43" a="1"/>
  <c r="H48" i="44" a="1"/>
  <c r="B144" i="21" a="1"/>
  <c r="I31" i="55" a="1"/>
  <c r="E56" i="67" a="1"/>
  <c r="I46" i="27" a="1"/>
  <c r="F9" i="1" a="1"/>
  <c r="F27" i="56" a="1"/>
  <c r="D313" i="1" a="1"/>
  <c r="D24" i="24" a="1"/>
  <c r="F5" i="28" a="1"/>
  <c r="F69" i="25" a="1"/>
  <c r="D54" i="33" a="1"/>
  <c r="D11" i="37" a="1"/>
  <c r="E12" i="51" a="1"/>
  <c r="E194" i="29" a="1"/>
  <c r="E5" i="67" a="1"/>
  <c r="H12" i="11" a="1"/>
  <c r="D56" i="20" a="1"/>
  <c r="D73" i="20" a="1"/>
  <c r="B155" i="10" a="1"/>
  <c r="E47" i="12" a="1"/>
  <c r="C4" i="16" a="1"/>
  <c r="C26" i="7" a="1"/>
  <c r="H28" i="34" a="1"/>
  <c r="F35" i="56" a="1"/>
  <c r="F5" i="43" a="1"/>
  <c r="I55" i="55" a="1"/>
  <c r="B84" i="9" a="1"/>
  <c r="C100" i="20" a="1"/>
  <c r="C402" i="1" a="1"/>
  <c r="D9" i="33" a="1"/>
  <c r="E45" i="56" a="1"/>
  <c r="E37" i="12" a="1"/>
  <c r="F44" i="9" a="1"/>
  <c r="H138" i="44" a="1"/>
  <c r="I57" i="55" a="1"/>
  <c r="I189" i="55" a="1"/>
  <c r="H17" i="34" a="1"/>
  <c r="H17" i="44" a="1"/>
  <c r="K60" i="40" a="1"/>
  <c r="D87" i="24" a="1"/>
  <c r="F20" i="61" a="1"/>
  <c r="F35" i="43" a="1"/>
  <c r="D8" i="33" a="1"/>
  <c r="C10" i="7" a="1"/>
  <c r="I54" i="27" a="1"/>
  <c r="I158" i="55" a="1"/>
  <c r="G90" i="6" a="1"/>
  <c r="D81" i="20" a="1"/>
  <c r="F31" i="41" a="1"/>
  <c r="B43" i="11" a="1"/>
  <c r="D16" i="66" a="1"/>
  <c r="B291" i="1" a="1"/>
  <c r="B82" i="9" a="1"/>
  <c r="C387" i="1" a="1"/>
  <c r="F23" i="25" a="1"/>
  <c r="E72" i="9" a="1"/>
  <c r="C325" i="1" a="1"/>
  <c r="F21" i="43" a="1"/>
  <c r="I97" i="55" a="1"/>
  <c r="C425" i="1" a="1"/>
  <c r="I50" i="55" a="1"/>
  <c r="K415" i="14" a="1"/>
  <c r="K398" i="14" a="1"/>
  <c r="K377" i="14" a="1"/>
  <c r="K454" i="14" a="1"/>
  <c r="K407" i="14" a="1"/>
  <c r="K442" i="14" a="1"/>
  <c r="K389" i="14" a="1"/>
  <c r="K356" i="14" a="1"/>
  <c r="B25" i="63" a="1"/>
  <c r="D102" i="64" a="1"/>
  <c r="C112" i="10" a="1"/>
  <c r="E125" i="47" a="1"/>
  <c r="C4" i="20" a="1"/>
  <c r="E149" i="60" a="1"/>
  <c r="D83" i="57" a="1"/>
  <c r="G250" i="60" a="1"/>
  <c r="M28" i="39" a="1"/>
  <c r="B63" i="30" a="1"/>
  <c r="C4" i="13" a="1"/>
  <c r="E124" i="47" a="1"/>
  <c r="C74" i="10" a="1"/>
  <c r="D168" i="30" a="1"/>
  <c r="J25" i="59" a="1"/>
  <c r="C10" i="13" a="1"/>
  <c r="I17" i="59" a="1"/>
  <c r="J5" i="59" a="1"/>
  <c r="B53" i="57" a="1"/>
  <c r="D78" i="30" a="1"/>
  <c r="D8" i="30" a="1"/>
  <c r="E21" i="62" a="1"/>
  <c r="E26" i="38" a="1"/>
  <c r="D113" i="30" a="1"/>
  <c r="J17" i="59" a="1"/>
  <c r="D56" i="30" a="1"/>
  <c r="G267" i="60" a="1"/>
  <c r="B73" i="30" a="1"/>
  <c r="C19" i="13" a="1"/>
  <c r="D47" i="57" a="1"/>
  <c r="C22" i="20" a="1"/>
  <c r="B28" i="57" a="1"/>
  <c r="B86" i="57" a="1"/>
  <c r="C152" i="20" a="1"/>
  <c r="I10" i="59" a="1"/>
  <c r="D30" i="30" a="1"/>
  <c r="G105" i="30" a="1"/>
  <c r="G236" i="60" a="1"/>
  <c r="B11" i="63" a="1"/>
  <c r="D182" i="30" a="1"/>
  <c r="F48" i="28" a="1"/>
  <c r="D62" i="30" a="1"/>
  <c r="B37" i="1" a="1"/>
  <c r="B24" i="64" a="1"/>
  <c r="E22" i="62" a="1"/>
  <c r="F27" i="9" a="1"/>
  <c r="I7" i="59" a="1"/>
  <c r="C141" i="1" a="1"/>
  <c r="C12" i="13" a="1"/>
  <c r="B34" i="10" a="1"/>
  <c r="D11" i="30" a="1"/>
  <c r="B87" i="20" a="1"/>
  <c r="D50" i="30" a="1"/>
  <c r="B37" i="59" a="1"/>
  <c r="C142" i="1" a="1"/>
  <c r="C38" i="20" a="1"/>
  <c r="E145" i="29" a="1"/>
  <c r="D171" i="30" a="1"/>
  <c r="B78" i="66" a="1"/>
  <c r="C111" i="45" a="1"/>
  <c r="C18" i="20" a="1"/>
  <c r="J82" i="49" a="1"/>
  <c r="I11" i="59" a="1"/>
  <c r="G104" i="30" a="1"/>
  <c r="C38" i="13" a="1"/>
  <c r="D198" i="30" a="1"/>
  <c r="D25" i="57" a="1"/>
  <c r="E138" i="60" a="1"/>
  <c r="E5" i="62" a="1"/>
  <c r="M36" i="39" a="1"/>
  <c r="C34" i="59" a="1"/>
  <c r="J20" i="59" a="1"/>
  <c r="D121" i="57" a="1"/>
  <c r="I6" i="59" a="1"/>
  <c r="B74" i="66" a="1"/>
  <c r="D188" i="30" a="1"/>
  <c r="C33" i="59" a="1"/>
  <c r="E5" i="35" a="1"/>
  <c r="B88" i="20" a="1"/>
  <c r="E117" i="47" a="1"/>
  <c r="M84" i="15" a="1"/>
  <c r="C112" i="7" a="1"/>
  <c r="J22" i="59" a="1"/>
  <c r="D110" i="30" a="1"/>
  <c r="B44" i="63" a="1"/>
  <c r="I8" i="59" a="1"/>
  <c r="F45" i="28" a="1"/>
  <c r="D46" i="30" a="1"/>
  <c r="G7" i="53" a="1"/>
  <c r="J21" i="59" a="1"/>
  <c r="E5" i="38" a="1"/>
  <c r="C90" i="10" a="1"/>
  <c r="E21" i="35" a="1"/>
  <c r="D59" i="30" a="1"/>
  <c r="C8" i="13" a="1"/>
  <c r="D103" i="57" a="1"/>
  <c r="E74" i="35" a="1"/>
  <c r="B64" i="30" a="1"/>
  <c r="H185" i="18" a="1"/>
  <c r="B70" i="31" a="1"/>
  <c r="E45" i="35" a="1"/>
  <c r="B42" i="30" a="1"/>
  <c r="E68" i="35" a="1"/>
  <c r="C68" i="13" a="1"/>
  <c r="C25" i="10"/>
  <c r="I13" i="59" a="1"/>
  <c r="E87" i="35" a="1"/>
  <c r="C56" i="10" a="1"/>
  <c r="J23" i="59" a="1"/>
  <c r="C133" i="11" a="1"/>
  <c r="B41" i="30" a="1"/>
  <c r="C40" i="13" a="1"/>
  <c r="E22" i="35" a="1"/>
  <c r="B82" i="66" a="1"/>
  <c r="E65" i="35" a="1"/>
  <c r="D24" i="30" a="1"/>
  <c r="E56" i="35" a="1"/>
  <c r="C100" i="1" a="1"/>
  <c r="C10" i="10" a="1"/>
  <c r="B8" i="57" a="1"/>
  <c r="G53" i="53" a="1"/>
  <c r="D195" i="30" a="1"/>
  <c r="C189" i="45" a="1"/>
  <c r="C114" i="7" a="1"/>
  <c r="C325" i="1" l="1"/>
  <c r="C115" i="32"/>
  <c r="F190" i="1"/>
  <c r="C380" i="1"/>
  <c r="D327" i="1"/>
  <c r="C48" i="10"/>
  <c r="B48" i="10"/>
  <c r="C47" i="10"/>
  <c r="B47" i="10"/>
  <c r="C49" i="10"/>
  <c r="B49" i="10"/>
  <c r="B66" i="31"/>
  <c r="B65" i="31"/>
  <c r="B64" i="31"/>
  <c r="C231" i="1"/>
  <c r="B231" i="1"/>
  <c r="C56" i="10"/>
  <c r="C402" i="1"/>
  <c r="F335" i="1"/>
  <c r="C10" i="10"/>
  <c r="D352" i="1"/>
  <c r="C140" i="1"/>
  <c r="C133" i="1"/>
  <c r="C175" i="1"/>
  <c r="C379" i="1"/>
  <c r="C401" i="1"/>
  <c r="C425" i="1"/>
  <c r="C182" i="10"/>
  <c r="B181" i="10"/>
  <c r="H179" i="10"/>
  <c r="G178" i="10"/>
  <c r="F177" i="10"/>
  <c r="E176" i="10"/>
  <c r="D175" i="10"/>
  <c r="C174" i="10"/>
  <c r="B173" i="10"/>
  <c r="H171" i="10"/>
  <c r="G170" i="10"/>
  <c r="F169" i="10"/>
  <c r="E168" i="10"/>
  <c r="D167" i="10"/>
  <c r="C166" i="10"/>
  <c r="B165" i="10"/>
  <c r="H163" i="10"/>
  <c r="G162" i="10"/>
  <c r="F161" i="10"/>
  <c r="E160" i="10"/>
  <c r="D159" i="10"/>
  <c r="C158" i="10"/>
  <c r="B157" i="10"/>
  <c r="H155" i="10"/>
  <c r="B182" i="10"/>
  <c r="H180" i="10"/>
  <c r="G179" i="10"/>
  <c r="F178" i="10"/>
  <c r="E177" i="10"/>
  <c r="D176" i="10"/>
  <c r="C175" i="10"/>
  <c r="B174" i="10"/>
  <c r="H172" i="10"/>
  <c r="G171" i="10"/>
  <c r="F170" i="10"/>
  <c r="E169" i="10"/>
  <c r="D168" i="10"/>
  <c r="C167" i="10"/>
  <c r="B166" i="10"/>
  <c r="H164" i="10"/>
  <c r="G163" i="10"/>
  <c r="F162" i="10"/>
  <c r="E161" i="10"/>
  <c r="D160" i="10"/>
  <c r="C159" i="10"/>
  <c r="B158" i="10"/>
  <c r="H156" i="10"/>
  <c r="G155" i="10"/>
  <c r="H181" i="10"/>
  <c r="G180" i="10"/>
  <c r="F179" i="10"/>
  <c r="E178" i="10"/>
  <c r="D177" i="10"/>
  <c r="C176" i="10"/>
  <c r="B175" i="10"/>
  <c r="H173" i="10"/>
  <c r="G172" i="10"/>
  <c r="F171" i="10"/>
  <c r="E170" i="10"/>
  <c r="D169" i="10"/>
  <c r="C168" i="10"/>
  <c r="B167" i="10"/>
  <c r="H165" i="10"/>
  <c r="G164" i="10"/>
  <c r="F163" i="10"/>
  <c r="E162" i="10"/>
  <c r="D161" i="10"/>
  <c r="C160" i="10"/>
  <c r="B159" i="10"/>
  <c r="H157" i="10"/>
  <c r="G156" i="10"/>
  <c r="F155" i="10"/>
  <c r="H182" i="10"/>
  <c r="G181" i="10"/>
  <c r="F180" i="10"/>
  <c r="E179" i="10"/>
  <c r="D178" i="10"/>
  <c r="C177" i="10"/>
  <c r="B176" i="10"/>
  <c r="H174" i="10"/>
  <c r="G173" i="10"/>
  <c r="F172" i="10"/>
  <c r="E171" i="10"/>
  <c r="D170" i="10"/>
  <c r="C169" i="10"/>
  <c r="B168" i="10"/>
  <c r="H166" i="10"/>
  <c r="G165" i="10"/>
  <c r="F164" i="10"/>
  <c r="E163" i="10"/>
  <c r="D162" i="10"/>
  <c r="C161" i="10"/>
  <c r="B160" i="10"/>
  <c r="H158" i="10"/>
  <c r="G157" i="10"/>
  <c r="F156" i="10"/>
  <c r="E155" i="10"/>
  <c r="E182" i="10"/>
  <c r="D181" i="10"/>
  <c r="C180" i="10"/>
  <c r="B179" i="10"/>
  <c r="H177" i="10"/>
  <c r="G176" i="10"/>
  <c r="F175" i="10"/>
  <c r="E174" i="10"/>
  <c r="D173" i="10"/>
  <c r="C172" i="10"/>
  <c r="B171" i="10"/>
  <c r="H169" i="10"/>
  <c r="G168" i="10"/>
  <c r="F167" i="10"/>
  <c r="E166" i="10"/>
  <c r="D165" i="10"/>
  <c r="C164" i="10"/>
  <c r="B163" i="10"/>
  <c r="H161" i="10"/>
  <c r="G160" i="10"/>
  <c r="F159" i="10"/>
  <c r="E158" i="10"/>
  <c r="D157" i="10"/>
  <c r="C156" i="10"/>
  <c r="B155" i="10"/>
  <c r="D182" i="10"/>
  <c r="C181" i="10"/>
  <c r="B180" i="10"/>
  <c r="H178" i="10"/>
  <c r="G177" i="10"/>
  <c r="F176" i="10"/>
  <c r="E175" i="10"/>
  <c r="D174" i="10"/>
  <c r="C173" i="10"/>
  <c r="B172" i="10"/>
  <c r="H170" i="10"/>
  <c r="G169" i="10"/>
  <c r="F168" i="10"/>
  <c r="E167" i="10"/>
  <c r="D166" i="10"/>
  <c r="C165" i="10"/>
  <c r="B164" i="10"/>
  <c r="H162" i="10"/>
  <c r="G161" i="10"/>
  <c r="F160" i="10"/>
  <c r="E159" i="10"/>
  <c r="D158" i="10"/>
  <c r="C157" i="10"/>
  <c r="B156" i="10"/>
  <c r="C179" i="10"/>
  <c r="F174" i="10"/>
  <c r="B170" i="10"/>
  <c r="E165" i="10"/>
  <c r="H160" i="10"/>
  <c r="D156" i="10"/>
  <c r="G182" i="10"/>
  <c r="C178" i="10"/>
  <c r="F173" i="10"/>
  <c r="B169" i="10"/>
  <c r="E164" i="10"/>
  <c r="H159" i="10"/>
  <c r="D155" i="10"/>
  <c r="F182" i="10"/>
  <c r="B178" i="10"/>
  <c r="E173" i="10"/>
  <c r="H168" i="10"/>
  <c r="D164" i="10"/>
  <c r="G159" i="10"/>
  <c r="C155" i="10"/>
  <c r="F181" i="10"/>
  <c r="B177" i="10"/>
  <c r="E172" i="10"/>
  <c r="H167" i="10"/>
  <c r="D163" i="10"/>
  <c r="G158" i="10"/>
  <c r="E181" i="10"/>
  <c r="H176" i="10"/>
  <c r="D172" i="10"/>
  <c r="G167" i="10"/>
  <c r="C163" i="10"/>
  <c r="F158" i="10"/>
  <c r="E180" i="10"/>
  <c r="H175" i="10"/>
  <c r="D171" i="10"/>
  <c r="G166" i="10"/>
  <c r="C162" i="10"/>
  <c r="F157" i="10"/>
  <c r="D180" i="10"/>
  <c r="G175" i="10"/>
  <c r="C171" i="10"/>
  <c r="F166" i="10"/>
  <c r="B162" i="10"/>
  <c r="E157" i="10"/>
  <c r="D179" i="10"/>
  <c r="G174" i="10"/>
  <c r="C170" i="10"/>
  <c r="F165" i="10"/>
  <c r="B161" i="10"/>
  <c r="E156" i="10"/>
  <c r="I24" i="31"/>
  <c r="H23" i="31"/>
  <c r="I23" i="31"/>
  <c r="H24" i="31"/>
  <c r="F20" i="1"/>
  <c r="C291" i="1"/>
  <c r="B291" i="1"/>
  <c r="D313" i="1"/>
  <c r="C327" i="1"/>
  <c r="F334" i="1"/>
  <c r="D344" i="1"/>
  <c r="F54" i="1"/>
  <c r="C141" i="1"/>
  <c r="F197" i="1"/>
  <c r="C295" i="1"/>
  <c r="B295" i="1"/>
  <c r="C386" i="1"/>
  <c r="C411" i="1"/>
  <c r="B35" i="10"/>
  <c r="C34" i="10"/>
  <c r="B34" i="10"/>
  <c r="B36" i="10"/>
  <c r="C35" i="10"/>
  <c r="C36" i="10"/>
  <c r="C74" i="10"/>
  <c r="C90" i="10"/>
  <c r="C112" i="10"/>
  <c r="B37" i="1"/>
  <c r="B249" i="1"/>
  <c r="D325" i="1"/>
  <c r="E327" i="1"/>
  <c r="F336" i="1"/>
  <c r="D353" i="1"/>
  <c r="I6" i="31"/>
  <c r="H6" i="31"/>
  <c r="G60" i="31"/>
  <c r="F60" i="31"/>
  <c r="C100" i="1"/>
  <c r="C142" i="1"/>
  <c r="B213" i="1"/>
  <c r="C387" i="1"/>
  <c r="C412" i="1"/>
  <c r="D149" i="10"/>
  <c r="B147" i="10"/>
  <c r="C149" i="10"/>
  <c r="B149" i="10"/>
  <c r="D148" i="10"/>
  <c r="D147" i="10"/>
  <c r="C147" i="10"/>
  <c r="C148" i="10"/>
  <c r="B148" i="10"/>
  <c r="M84" i="15"/>
  <c r="F9" i="1"/>
  <c r="C39" i="1"/>
  <c r="B39" i="1"/>
  <c r="C40" i="1"/>
  <c r="B40" i="1"/>
  <c r="B256" i="1"/>
  <c r="D312" i="1"/>
  <c r="E325" i="1"/>
  <c r="F333" i="1"/>
  <c r="D343" i="1"/>
  <c r="B70" i="31"/>
  <c r="L225" i="22"/>
  <c r="L221" i="22"/>
  <c r="M226" i="22"/>
  <c r="L222" i="22"/>
  <c r="L226" i="22"/>
  <c r="M221" i="22"/>
  <c r="M225" i="22"/>
  <c r="M220" i="22"/>
  <c r="M224" i="22"/>
  <c r="L220" i="22"/>
  <c r="L223" i="22"/>
  <c r="L224" i="22"/>
  <c r="M223" i="22"/>
  <c r="M222" i="22"/>
  <c r="H185" i="18"/>
  <c r="P402" i="14"/>
  <c r="N401" i="14"/>
  <c r="L400" i="14"/>
  <c r="P398" i="14"/>
  <c r="O402" i="14"/>
  <c r="M401" i="14"/>
  <c r="K400" i="14"/>
  <c r="O398" i="14"/>
  <c r="N403" i="14"/>
  <c r="L402" i="14"/>
  <c r="P400" i="14"/>
  <c r="N399" i="14"/>
  <c r="L398" i="14"/>
  <c r="L403" i="14"/>
  <c r="K401" i="14"/>
  <c r="K399" i="14"/>
  <c r="K403" i="14"/>
  <c r="O400" i="14"/>
  <c r="N398" i="14"/>
  <c r="N402" i="14"/>
  <c r="N400" i="14"/>
  <c r="M398" i="14"/>
  <c r="M402" i="14"/>
  <c r="M400" i="14"/>
  <c r="K398" i="14"/>
  <c r="O403" i="14"/>
  <c r="O401" i="14"/>
  <c r="M399" i="14"/>
  <c r="O399" i="14"/>
  <c r="L399" i="14"/>
  <c r="P403" i="14"/>
  <c r="M403" i="14"/>
  <c r="K402" i="14"/>
  <c r="P401" i="14"/>
  <c r="L401" i="14"/>
  <c r="P399" i="14"/>
  <c r="P448" i="14"/>
  <c r="N447" i="14"/>
  <c r="L446" i="14"/>
  <c r="P444" i="14"/>
  <c r="N443" i="14"/>
  <c r="L442" i="14"/>
  <c r="O448" i="14"/>
  <c r="M447" i="14"/>
  <c r="K446" i="14"/>
  <c r="O444" i="14"/>
  <c r="M443" i="14"/>
  <c r="K442" i="14"/>
  <c r="N449" i="14"/>
  <c r="L448" i="14"/>
  <c r="P446" i="14"/>
  <c r="N445" i="14"/>
  <c r="L444" i="14"/>
  <c r="P442" i="14"/>
  <c r="K448" i="14"/>
  <c r="P445" i="14"/>
  <c r="P443" i="14"/>
  <c r="P449" i="14"/>
  <c r="P447" i="14"/>
  <c r="O445" i="14"/>
  <c r="O443" i="14"/>
  <c r="O449" i="14"/>
  <c r="O447" i="14"/>
  <c r="M445" i="14"/>
  <c r="L443" i="14"/>
  <c r="M449" i="14"/>
  <c r="L447" i="14"/>
  <c r="L445" i="14"/>
  <c r="K443" i="14"/>
  <c r="N448" i="14"/>
  <c r="N446" i="14"/>
  <c r="M444" i="14"/>
  <c r="M442" i="14"/>
  <c r="K447" i="14"/>
  <c r="O446" i="14"/>
  <c r="M446" i="14"/>
  <c r="K445" i="14"/>
  <c r="N444" i="14"/>
  <c r="L449" i="14"/>
  <c r="K444" i="14"/>
  <c r="K449" i="14"/>
  <c r="M448" i="14"/>
  <c r="O442" i="14"/>
  <c r="N442" i="14"/>
  <c r="O394" i="14"/>
  <c r="M393" i="14"/>
  <c r="K392" i="14"/>
  <c r="O390" i="14"/>
  <c r="M389" i="14"/>
  <c r="N394" i="14"/>
  <c r="L393" i="14"/>
  <c r="P391" i="14"/>
  <c r="N390" i="14"/>
  <c r="L389" i="14"/>
  <c r="K394" i="14"/>
  <c r="O392" i="14"/>
  <c r="M391" i="14"/>
  <c r="K390" i="14"/>
  <c r="P393" i="14"/>
  <c r="O391" i="14"/>
  <c r="O389" i="14"/>
  <c r="O393" i="14"/>
  <c r="N391" i="14"/>
  <c r="N389" i="14"/>
  <c r="N393" i="14"/>
  <c r="L391" i="14"/>
  <c r="K389" i="14"/>
  <c r="K393" i="14"/>
  <c r="K391" i="14"/>
  <c r="M394" i="14"/>
  <c r="M392" i="14"/>
  <c r="L390" i="14"/>
  <c r="P390" i="14"/>
  <c r="M390" i="14"/>
  <c r="P389" i="14"/>
  <c r="P394" i="14"/>
  <c r="L394" i="14"/>
  <c r="P392" i="14"/>
  <c r="L392" i="14"/>
  <c r="N392" i="14"/>
  <c r="C141" i="18"/>
  <c r="L419" i="14"/>
  <c r="P417" i="14"/>
  <c r="N416" i="14"/>
  <c r="L415" i="14"/>
  <c r="K419" i="14"/>
  <c r="O417" i="14"/>
  <c r="M416" i="14"/>
  <c r="K415" i="14"/>
  <c r="P419" i="14"/>
  <c r="N418" i="14"/>
  <c r="L417" i="14"/>
  <c r="P415" i="14"/>
  <c r="N419" i="14"/>
  <c r="M417" i="14"/>
  <c r="M415" i="14"/>
  <c r="M419" i="14"/>
  <c r="K417" i="14"/>
  <c r="P418" i="14"/>
  <c r="P416" i="14"/>
  <c r="O418" i="14"/>
  <c r="O416" i="14"/>
  <c r="K418" i="14"/>
  <c r="O415" i="14"/>
  <c r="L416" i="14"/>
  <c r="K416" i="14"/>
  <c r="N415" i="14"/>
  <c r="O419" i="14"/>
  <c r="M418" i="14"/>
  <c r="N417" i="14"/>
  <c r="L418" i="14"/>
  <c r="N257" i="26"/>
  <c r="M363" i="14"/>
  <c r="K362" i="14"/>
  <c r="O360" i="14"/>
  <c r="M359" i="14"/>
  <c r="K358" i="14"/>
  <c r="O356" i="14"/>
  <c r="L363" i="14"/>
  <c r="P361" i="14"/>
  <c r="N360" i="14"/>
  <c r="L359" i="14"/>
  <c r="P357" i="14"/>
  <c r="N356" i="14"/>
  <c r="O362" i="14"/>
  <c r="M361" i="14"/>
  <c r="K360" i="14"/>
  <c r="O358" i="14"/>
  <c r="M357" i="14"/>
  <c r="K356" i="14"/>
  <c r="M362" i="14"/>
  <c r="L360" i="14"/>
  <c r="L358" i="14"/>
  <c r="L362" i="14"/>
  <c r="P359" i="14"/>
  <c r="O357" i="14"/>
  <c r="P363" i="14"/>
  <c r="O361" i="14"/>
  <c r="O359" i="14"/>
  <c r="N357" i="14"/>
  <c r="O363" i="14"/>
  <c r="N361" i="14"/>
  <c r="N359" i="14"/>
  <c r="L357" i="14"/>
  <c r="P362" i="14"/>
  <c r="P360" i="14"/>
  <c r="N358" i="14"/>
  <c r="M356" i="14"/>
  <c r="K363" i="14"/>
  <c r="K357" i="14"/>
  <c r="N362" i="14"/>
  <c r="P356" i="14"/>
  <c r="L361" i="14"/>
  <c r="L356" i="14"/>
  <c r="K361" i="14"/>
  <c r="M360" i="14"/>
  <c r="K359" i="14"/>
  <c r="N363" i="14"/>
  <c r="P358" i="14"/>
  <c r="M358" i="14"/>
  <c r="L384" i="14"/>
  <c r="P382" i="14"/>
  <c r="N381" i="14"/>
  <c r="L380" i="14"/>
  <c r="P378" i="14"/>
  <c r="N377" i="14"/>
  <c r="K384" i="14"/>
  <c r="O382" i="14"/>
  <c r="M381" i="14"/>
  <c r="K380" i="14"/>
  <c r="O378" i="14"/>
  <c r="M377" i="14"/>
  <c r="P384" i="14"/>
  <c r="N383" i="14"/>
  <c r="L382" i="14"/>
  <c r="P380" i="14"/>
  <c r="N379" i="14"/>
  <c r="L378" i="14"/>
  <c r="O383" i="14"/>
  <c r="O381" i="14"/>
  <c r="M379" i="14"/>
  <c r="L377" i="14"/>
  <c r="M383" i="14"/>
  <c r="L381" i="14"/>
  <c r="L379" i="14"/>
  <c r="K377" i="14"/>
  <c r="L383" i="14"/>
  <c r="K381" i="14"/>
  <c r="K379" i="14"/>
  <c r="K383" i="14"/>
  <c r="O380" i="14"/>
  <c r="N378" i="14"/>
  <c r="M384" i="14"/>
  <c r="K382" i="14"/>
  <c r="P379" i="14"/>
  <c r="P377" i="14"/>
  <c r="P381" i="14"/>
  <c r="N380" i="14"/>
  <c r="M380" i="14"/>
  <c r="O384" i="14"/>
  <c r="O379" i="14"/>
  <c r="N384" i="14"/>
  <c r="M378" i="14"/>
  <c r="P383" i="14"/>
  <c r="K378" i="14"/>
  <c r="M382" i="14"/>
  <c r="O377" i="14"/>
  <c r="N382" i="14"/>
  <c r="E14" i="12"/>
  <c r="E10" i="12"/>
  <c r="E12" i="12"/>
  <c r="E8" i="12"/>
  <c r="F14" i="12"/>
  <c r="E9" i="12"/>
  <c r="F13" i="12"/>
  <c r="F8" i="12"/>
  <c r="E13" i="12"/>
  <c r="F7" i="12"/>
  <c r="F12" i="12"/>
  <c r="E7" i="12"/>
  <c r="F10" i="12"/>
  <c r="F11" i="12"/>
  <c r="E11" i="12"/>
  <c r="F9" i="12"/>
  <c r="E61" i="12"/>
  <c r="E62" i="12"/>
  <c r="E60" i="12"/>
  <c r="K411" i="14"/>
  <c r="O409" i="14"/>
  <c r="M408" i="14"/>
  <c r="K407" i="14"/>
  <c r="P410" i="14"/>
  <c r="N409" i="14"/>
  <c r="L408" i="14"/>
  <c r="O411" i="14"/>
  <c r="M410" i="14"/>
  <c r="K409" i="14"/>
  <c r="O407" i="14"/>
  <c r="L410" i="14"/>
  <c r="K408" i="14"/>
  <c r="K410" i="14"/>
  <c r="P407" i="14"/>
  <c r="P411" i="14"/>
  <c r="P409" i="14"/>
  <c r="N407" i="14"/>
  <c r="N411" i="14"/>
  <c r="M409" i="14"/>
  <c r="M407" i="14"/>
  <c r="O410" i="14"/>
  <c r="O408" i="14"/>
  <c r="N408" i="14"/>
  <c r="L407" i="14"/>
  <c r="M411" i="14"/>
  <c r="L411" i="14"/>
  <c r="N410" i="14"/>
  <c r="L409" i="14"/>
  <c r="P408" i="14"/>
  <c r="O460" i="14"/>
  <c r="M459" i="14"/>
  <c r="K458" i="14"/>
  <c r="O456" i="14"/>
  <c r="M455" i="14"/>
  <c r="K454" i="14"/>
  <c r="P461" i="14"/>
  <c r="N460" i="14"/>
  <c r="L459" i="14"/>
  <c r="P457" i="14"/>
  <c r="N456" i="14"/>
  <c r="L455" i="14"/>
  <c r="M461" i="14"/>
  <c r="K460" i="14"/>
  <c r="O458" i="14"/>
  <c r="M457" i="14"/>
  <c r="K456" i="14"/>
  <c r="O454" i="14"/>
  <c r="M460" i="14"/>
  <c r="M458" i="14"/>
  <c r="L456" i="14"/>
  <c r="L454" i="14"/>
  <c r="L460" i="14"/>
  <c r="L458" i="14"/>
  <c r="P455" i="14"/>
  <c r="P459" i="14"/>
  <c r="O457" i="14"/>
  <c r="O455" i="14"/>
  <c r="O461" i="14"/>
  <c r="O459" i="14"/>
  <c r="N457" i="14"/>
  <c r="N455" i="14"/>
  <c r="K461" i="14"/>
  <c r="P458" i="14"/>
  <c r="P456" i="14"/>
  <c r="N454" i="14"/>
  <c r="K457" i="14"/>
  <c r="N461" i="14"/>
  <c r="M456" i="14"/>
  <c r="L461" i="14"/>
  <c r="K455" i="14"/>
  <c r="P460" i="14"/>
  <c r="P454" i="14"/>
  <c r="N459" i="14"/>
  <c r="M454" i="14"/>
  <c r="K459" i="14"/>
  <c r="L457" i="14"/>
  <c r="N458" i="14"/>
  <c r="H17" i="28"/>
  <c r="F15" i="28"/>
  <c r="G16" i="28"/>
  <c r="G17" i="28"/>
  <c r="F16" i="28"/>
  <c r="F17" i="28"/>
  <c r="H16" i="28"/>
  <c r="H15" i="28"/>
  <c r="G15" i="28"/>
  <c r="E68" i="35"/>
  <c r="F23" i="12"/>
  <c r="F19" i="12"/>
  <c r="F21" i="12"/>
  <c r="F17" i="12"/>
  <c r="E21" i="12"/>
  <c r="F20" i="12"/>
  <c r="E20" i="12"/>
  <c r="F24" i="12"/>
  <c r="E19" i="12"/>
  <c r="F22" i="12"/>
  <c r="E17" i="12"/>
  <c r="E24" i="12"/>
  <c r="E23" i="12"/>
  <c r="E22" i="12"/>
  <c r="F18" i="12"/>
  <c r="E18" i="12"/>
  <c r="C66" i="43"/>
  <c r="C65" i="43"/>
  <c r="B64" i="43"/>
  <c r="B65" i="43"/>
  <c r="C64" i="43"/>
  <c r="B66" i="43"/>
  <c r="E67" i="12"/>
  <c r="E68" i="12"/>
  <c r="E66" i="12"/>
  <c r="D50" i="17"/>
  <c r="D54" i="17"/>
  <c r="D53" i="17"/>
  <c r="D52" i="17"/>
  <c r="D51" i="17"/>
  <c r="F48" i="28"/>
  <c r="O163" i="40"/>
  <c r="M162" i="40"/>
  <c r="K161" i="40"/>
  <c r="O159" i="40"/>
  <c r="M158" i="40"/>
  <c r="K157" i="40"/>
  <c r="P162" i="40"/>
  <c r="N161" i="40"/>
  <c r="L160" i="40"/>
  <c r="P158" i="40"/>
  <c r="N157" i="40"/>
  <c r="M163" i="40"/>
  <c r="O161" i="40"/>
  <c r="P159" i="40"/>
  <c r="K158" i="40"/>
  <c r="N162" i="40"/>
  <c r="O160" i="40"/>
  <c r="K159" i="40"/>
  <c r="L157" i="40"/>
  <c r="L163" i="40"/>
  <c r="P160" i="40"/>
  <c r="N158" i="40"/>
  <c r="K162" i="40"/>
  <c r="N159" i="40"/>
  <c r="M157" i="40"/>
  <c r="P161" i="40"/>
  <c r="O158" i="40"/>
  <c r="M161" i="40"/>
  <c r="L158" i="40"/>
  <c r="L161" i="40"/>
  <c r="P157" i="40"/>
  <c r="P163" i="40"/>
  <c r="N160" i="40"/>
  <c r="O157" i="40"/>
  <c r="O162" i="40"/>
  <c r="M159" i="40"/>
  <c r="K163" i="40"/>
  <c r="L162" i="40"/>
  <c r="M160" i="40"/>
  <c r="K160" i="40"/>
  <c r="L159" i="40"/>
  <c r="N163" i="40"/>
  <c r="F56" i="28"/>
  <c r="H54" i="28"/>
  <c r="G56" i="28"/>
  <c r="H55" i="28"/>
  <c r="G54" i="28"/>
  <c r="H56" i="28"/>
  <c r="G55" i="28"/>
  <c r="F55" i="28"/>
  <c r="F54" i="28"/>
  <c r="D7" i="33"/>
  <c r="G67" i="12"/>
  <c r="G68" i="12"/>
  <c r="G66" i="12"/>
  <c r="D59" i="17"/>
  <c r="D60" i="17"/>
  <c r="D58" i="17"/>
  <c r="D61" i="17"/>
  <c r="D57" i="17"/>
  <c r="N55" i="40"/>
  <c r="K54" i="40"/>
  <c r="M52" i="40"/>
  <c r="O50" i="40"/>
  <c r="L49" i="40"/>
  <c r="N47" i="40"/>
  <c r="K46" i="40"/>
  <c r="M56" i="40"/>
  <c r="O54" i="40"/>
  <c r="L53" i="40"/>
  <c r="N51" i="40"/>
  <c r="K50" i="40"/>
  <c r="M48" i="40"/>
  <c r="O46" i="40"/>
  <c r="L45" i="40"/>
  <c r="K56" i="40"/>
  <c r="O53" i="40"/>
  <c r="O51" i="40"/>
  <c r="N49" i="40"/>
  <c r="M47" i="40"/>
  <c r="M45" i="40"/>
  <c r="K55" i="40"/>
  <c r="O52" i="40"/>
  <c r="N50" i="40"/>
  <c r="N48" i="40"/>
  <c r="M46" i="40"/>
  <c r="N54" i="40"/>
  <c r="K52" i="40"/>
  <c r="K49" i="40"/>
  <c r="L46" i="40"/>
  <c r="M54" i="40"/>
  <c r="M51" i="40"/>
  <c r="O48" i="40"/>
  <c r="O45" i="40"/>
  <c r="O56" i="40"/>
  <c r="L54" i="40"/>
  <c r="L51" i="40"/>
  <c r="L48" i="40"/>
  <c r="N45" i="40"/>
  <c r="N56" i="40"/>
  <c r="N53" i="40"/>
  <c r="K51" i="40"/>
  <c r="K48" i="40"/>
  <c r="K45" i="40"/>
  <c r="M55" i="40"/>
  <c r="N52" i="40"/>
  <c r="O49" i="40"/>
  <c r="K47" i="40"/>
  <c r="O55" i="40"/>
  <c r="O47" i="40"/>
  <c r="L55" i="40"/>
  <c r="L47" i="40"/>
  <c r="M53" i="40"/>
  <c r="N46" i="40"/>
  <c r="K53" i="40"/>
  <c r="L52" i="40"/>
  <c r="M50" i="40"/>
  <c r="L50" i="40"/>
  <c r="L56" i="40"/>
  <c r="M49" i="40"/>
  <c r="N102" i="40"/>
  <c r="K101" i="40"/>
  <c r="M99" i="40"/>
  <c r="M102" i="40"/>
  <c r="N100" i="40"/>
  <c r="O98" i="40"/>
  <c r="L97" i="40"/>
  <c r="N95" i="40"/>
  <c r="K94" i="40"/>
  <c r="M92" i="40"/>
  <c r="O90" i="40"/>
  <c r="M103" i="40"/>
  <c r="N101" i="40"/>
  <c r="O99" i="40"/>
  <c r="K98" i="40"/>
  <c r="M96" i="40"/>
  <c r="O94" i="40"/>
  <c r="L93" i="40"/>
  <c r="N91" i="40"/>
  <c r="K90" i="40"/>
  <c r="N103" i="40"/>
  <c r="L101" i="40"/>
  <c r="N98" i="40"/>
  <c r="N96" i="40"/>
  <c r="M94" i="40"/>
  <c r="L92" i="40"/>
  <c r="L90" i="40"/>
  <c r="L102" i="40"/>
  <c r="K100" i="40"/>
  <c r="N97" i="40"/>
  <c r="M95" i="40"/>
  <c r="M93" i="40"/>
  <c r="L91" i="40"/>
  <c r="M101" i="40"/>
  <c r="L98" i="40"/>
  <c r="L95" i="40"/>
  <c r="N92" i="40"/>
  <c r="O100" i="40"/>
  <c r="O97" i="40"/>
  <c r="K95" i="40"/>
  <c r="K92" i="40"/>
  <c r="O103" i="40"/>
  <c r="M100" i="40"/>
  <c r="M97" i="40"/>
  <c r="N94" i="40"/>
  <c r="O91" i="40"/>
  <c r="L103" i="40"/>
  <c r="L100" i="40"/>
  <c r="K97" i="40"/>
  <c r="L94" i="40"/>
  <c r="M91" i="40"/>
  <c r="K102" i="40"/>
  <c r="K99" i="40"/>
  <c r="K96" i="40"/>
  <c r="K93" i="40"/>
  <c r="M90" i="40"/>
  <c r="N99" i="40"/>
  <c r="O92" i="40"/>
  <c r="L99" i="40"/>
  <c r="K91" i="40"/>
  <c r="M98" i="40"/>
  <c r="N90" i="40"/>
  <c r="O96" i="40"/>
  <c r="L96" i="40"/>
  <c r="K103" i="40"/>
  <c r="O95" i="40"/>
  <c r="O102" i="40"/>
  <c r="O93" i="40"/>
  <c r="N93" i="40"/>
  <c r="O101" i="40"/>
  <c r="I55" i="55"/>
  <c r="E33" i="12"/>
  <c r="E29" i="12"/>
  <c r="E31" i="12"/>
  <c r="E27" i="12"/>
  <c r="F33" i="12"/>
  <c r="E28" i="12"/>
  <c r="F32" i="12"/>
  <c r="F27" i="12"/>
  <c r="E32" i="12"/>
  <c r="F31" i="12"/>
  <c r="F34" i="12"/>
  <c r="F29" i="12"/>
  <c r="F30" i="12"/>
  <c r="E30" i="12"/>
  <c r="F28" i="12"/>
  <c r="E34" i="12"/>
  <c r="E45" i="35"/>
  <c r="L41" i="40"/>
  <c r="M38" i="40"/>
  <c r="K36" i="40"/>
  <c r="L33" i="40"/>
  <c r="K40" i="40"/>
  <c r="L37" i="40"/>
  <c r="M34" i="40"/>
  <c r="K32" i="40"/>
  <c r="L39" i="40"/>
  <c r="M35" i="40"/>
  <c r="L32" i="40"/>
  <c r="K41" i="40"/>
  <c r="M37" i="40"/>
  <c r="K34" i="40"/>
  <c r="M39" i="40"/>
  <c r="K35" i="40"/>
  <c r="K39" i="40"/>
  <c r="L34" i="40"/>
  <c r="L38" i="40"/>
  <c r="M33" i="40"/>
  <c r="K38" i="40"/>
  <c r="K33" i="40"/>
  <c r="M40" i="40"/>
  <c r="L36" i="40"/>
  <c r="L35" i="40"/>
  <c r="M32" i="40"/>
  <c r="M41" i="40"/>
  <c r="L40" i="40"/>
  <c r="K37" i="40"/>
  <c r="M36" i="40"/>
  <c r="O135" i="40"/>
  <c r="L134" i="40"/>
  <c r="N132" i="40"/>
  <c r="K131" i="40"/>
  <c r="M136" i="40"/>
  <c r="O134" i="40"/>
  <c r="L133" i="40"/>
  <c r="N131" i="40"/>
  <c r="K130" i="40"/>
  <c r="K136" i="40"/>
  <c r="O133" i="40"/>
  <c r="O131" i="40"/>
  <c r="K135" i="40"/>
  <c r="O132" i="40"/>
  <c r="N130" i="40"/>
  <c r="N135" i="40"/>
  <c r="K133" i="40"/>
  <c r="L130" i="40"/>
  <c r="M134" i="40"/>
  <c r="M131" i="40"/>
  <c r="L136" i="40"/>
  <c r="L132" i="40"/>
  <c r="M135" i="40"/>
  <c r="K132" i="40"/>
  <c r="L135" i="40"/>
  <c r="L131" i="40"/>
  <c r="N134" i="40"/>
  <c r="O130" i="40"/>
  <c r="O136" i="40"/>
  <c r="M133" i="40"/>
  <c r="M132" i="40"/>
  <c r="M130" i="40"/>
  <c r="N136" i="40"/>
  <c r="K134" i="40"/>
  <c r="N133" i="40"/>
  <c r="E52" i="12"/>
  <c r="E48" i="12"/>
  <c r="E54" i="12"/>
  <c r="E50" i="12"/>
  <c r="F52" i="12"/>
  <c r="E47" i="12"/>
  <c r="F51" i="12"/>
  <c r="E51" i="12"/>
  <c r="F50" i="12"/>
  <c r="F53" i="12"/>
  <c r="F48" i="12"/>
  <c r="E49" i="12"/>
  <c r="F47" i="12"/>
  <c r="F54" i="12"/>
  <c r="E53" i="12"/>
  <c r="F49" i="12"/>
  <c r="G61" i="12"/>
  <c r="G60" i="12"/>
  <c r="G62" i="12"/>
  <c r="D66" i="17"/>
  <c r="D68" i="17"/>
  <c r="D69" i="17"/>
  <c r="D67" i="17"/>
  <c r="E56" i="35"/>
  <c r="M235" i="22"/>
  <c r="M231" i="22"/>
  <c r="M233" i="22"/>
  <c r="M234" i="22"/>
  <c r="L234" i="22"/>
  <c r="L233" i="22"/>
  <c r="M232" i="22"/>
  <c r="L236" i="22"/>
  <c r="M230" i="22"/>
  <c r="L235" i="22"/>
  <c r="L232" i="22"/>
  <c r="L231" i="22"/>
  <c r="L230" i="22"/>
  <c r="M236" i="22"/>
  <c r="D275" i="22"/>
  <c r="B273" i="22"/>
  <c r="C270" i="22"/>
  <c r="D267" i="22"/>
  <c r="B265" i="22"/>
  <c r="C274" i="22"/>
  <c r="D271" i="22"/>
  <c r="B269" i="22"/>
  <c r="C266" i="22"/>
  <c r="B274" i="22"/>
  <c r="D270" i="22"/>
  <c r="B267" i="22"/>
  <c r="D273" i="22"/>
  <c r="B270" i="22"/>
  <c r="D266" i="22"/>
  <c r="C273" i="22"/>
  <c r="D269" i="22"/>
  <c r="B266" i="22"/>
  <c r="D272" i="22"/>
  <c r="C269" i="22"/>
  <c r="D265" i="22"/>
  <c r="B275" i="22"/>
  <c r="C271" i="22"/>
  <c r="B268" i="22"/>
  <c r="C264" i="22"/>
  <c r="B272" i="22"/>
  <c r="B271" i="22"/>
  <c r="D268" i="22"/>
  <c r="C268" i="22"/>
  <c r="C267" i="22"/>
  <c r="C275" i="22"/>
  <c r="C265" i="22"/>
  <c r="D274" i="22"/>
  <c r="D264" i="22"/>
  <c r="B264" i="22"/>
  <c r="C272" i="22"/>
  <c r="F42" i="12"/>
  <c r="F38" i="12"/>
  <c r="F44" i="12"/>
  <c r="F40" i="12"/>
  <c r="E40" i="12"/>
  <c r="F39" i="12"/>
  <c r="E44" i="12"/>
  <c r="E39" i="12"/>
  <c r="F43" i="12"/>
  <c r="E38" i="12"/>
  <c r="F41" i="12"/>
  <c r="E43" i="12"/>
  <c r="E42" i="12"/>
  <c r="E41" i="12"/>
  <c r="F37" i="12"/>
  <c r="E37" i="12"/>
  <c r="D45" i="17"/>
  <c r="D47" i="17"/>
  <c r="D46" i="17"/>
  <c r="D43" i="17"/>
  <c r="D44" i="17"/>
  <c r="M152" i="40"/>
  <c r="K150" i="40"/>
  <c r="M153" i="40"/>
  <c r="K151" i="40"/>
  <c r="L148" i="40"/>
  <c r="K154" i="40"/>
  <c r="L150" i="40"/>
  <c r="K152" i="40"/>
  <c r="M148" i="40"/>
  <c r="L153" i="40"/>
  <c r="K149" i="40"/>
  <c r="L151" i="40"/>
  <c r="L152" i="40"/>
  <c r="M151" i="40"/>
  <c r="M150" i="40"/>
  <c r="M149" i="40"/>
  <c r="L154" i="40"/>
  <c r="L149" i="40"/>
  <c r="K148" i="40"/>
  <c r="M154" i="40"/>
  <c r="K153" i="40"/>
  <c r="C28" i="17"/>
  <c r="C24" i="17"/>
  <c r="C23" i="17"/>
  <c r="C27" i="17"/>
  <c r="C26" i="17"/>
  <c r="C25" i="17"/>
  <c r="F5" i="28"/>
  <c r="F45" i="28"/>
  <c r="I96" i="6"/>
  <c r="I94" i="6"/>
  <c r="I92" i="6"/>
  <c r="I90" i="6"/>
  <c r="I95" i="6"/>
  <c r="I93" i="6"/>
  <c r="I91" i="6"/>
  <c r="H94" i="6"/>
  <c r="J91" i="6"/>
  <c r="J95" i="6"/>
  <c r="G93" i="6"/>
  <c r="H90" i="6"/>
  <c r="J94" i="6"/>
  <c r="G91" i="6"/>
  <c r="J93" i="6"/>
  <c r="G90" i="6"/>
  <c r="J96" i="6"/>
  <c r="H93" i="6"/>
  <c r="H95" i="6"/>
  <c r="G92" i="6"/>
  <c r="J90" i="6"/>
  <c r="H96" i="6"/>
  <c r="G96" i="6"/>
  <c r="G95" i="6"/>
  <c r="G94" i="6"/>
  <c r="J92" i="6"/>
  <c r="H92" i="6"/>
  <c r="H91" i="6"/>
  <c r="E22" i="35"/>
  <c r="E74" i="35"/>
  <c r="H40" i="41"/>
  <c r="F38" i="41"/>
  <c r="G35" i="41"/>
  <c r="H32" i="41"/>
  <c r="F40" i="41"/>
  <c r="G37" i="41"/>
  <c r="H34" i="41"/>
  <c r="F32" i="41"/>
  <c r="H41" i="41"/>
  <c r="F39" i="41"/>
  <c r="G36" i="41"/>
  <c r="H33" i="41"/>
  <c r="F31" i="41"/>
  <c r="G40" i="41"/>
  <c r="F36" i="41"/>
  <c r="H31" i="41"/>
  <c r="H39" i="41"/>
  <c r="H35" i="41"/>
  <c r="G31" i="41"/>
  <c r="G38" i="41"/>
  <c r="F34" i="41"/>
  <c r="F41" i="41"/>
  <c r="G33" i="41"/>
  <c r="F37" i="41"/>
  <c r="G34" i="41"/>
  <c r="F33" i="41"/>
  <c r="G41" i="41"/>
  <c r="G32" i="41"/>
  <c r="G39" i="41"/>
  <c r="H36" i="41"/>
  <c r="H38" i="41"/>
  <c r="H37" i="41"/>
  <c r="F35" i="41"/>
  <c r="D67" i="20"/>
  <c r="K49" i="27"/>
  <c r="K47" i="27"/>
  <c r="K50" i="27"/>
  <c r="K48" i="27"/>
  <c r="K46" i="27"/>
  <c r="J48" i="27"/>
  <c r="L50" i="27"/>
  <c r="I48" i="27"/>
  <c r="L49" i="27"/>
  <c r="I47" i="27"/>
  <c r="L47" i="27"/>
  <c r="J47" i="27"/>
  <c r="L46" i="27"/>
  <c r="J50" i="27"/>
  <c r="J46" i="27"/>
  <c r="I49" i="27"/>
  <c r="J49" i="27"/>
  <c r="L48" i="27"/>
  <c r="I46" i="27"/>
  <c r="I50" i="27"/>
  <c r="J58" i="27"/>
  <c r="J56" i="27"/>
  <c r="J54" i="27"/>
  <c r="J57" i="27"/>
  <c r="J55" i="27"/>
  <c r="K56" i="27"/>
  <c r="L58" i="27"/>
  <c r="I56" i="27"/>
  <c r="L57" i="27"/>
  <c r="I55" i="27"/>
  <c r="L54" i="27"/>
  <c r="K58" i="27"/>
  <c r="K54" i="27"/>
  <c r="I58" i="27"/>
  <c r="I54" i="27"/>
  <c r="K57" i="27"/>
  <c r="L55" i="27"/>
  <c r="I57" i="27"/>
  <c r="L56" i="27"/>
  <c r="K55" i="27"/>
  <c r="I69" i="27"/>
  <c r="I67" i="27"/>
  <c r="I70" i="27"/>
  <c r="I68" i="27"/>
  <c r="I66" i="27"/>
  <c r="K68" i="27"/>
  <c r="L70" i="27"/>
  <c r="J68" i="27"/>
  <c r="L69" i="27"/>
  <c r="J67" i="27"/>
  <c r="J70" i="27"/>
  <c r="J66" i="27"/>
  <c r="K69" i="27"/>
  <c r="J69" i="27"/>
  <c r="L68" i="27"/>
  <c r="L66" i="27"/>
  <c r="K70" i="27"/>
  <c r="L67" i="27"/>
  <c r="K67" i="27"/>
  <c r="K66" i="27"/>
  <c r="F25" i="28"/>
  <c r="H23" i="28"/>
  <c r="H25" i="28"/>
  <c r="G24" i="28"/>
  <c r="G25" i="28"/>
  <c r="H24" i="28"/>
  <c r="F24" i="28"/>
  <c r="G23" i="28"/>
  <c r="F23" i="28"/>
  <c r="G31" i="28"/>
  <c r="H32" i="28"/>
  <c r="F30" i="28"/>
  <c r="H31" i="28"/>
  <c r="F31" i="28"/>
  <c r="H30" i="28"/>
  <c r="G30" i="28"/>
  <c r="G32" i="28"/>
  <c r="F32" i="28"/>
  <c r="M114" i="40"/>
  <c r="O112" i="40"/>
  <c r="L111" i="40"/>
  <c r="N109" i="40"/>
  <c r="K108" i="40"/>
  <c r="M113" i="40"/>
  <c r="O111" i="40"/>
  <c r="L110" i="40"/>
  <c r="N108" i="40"/>
  <c r="N114" i="40"/>
  <c r="M112" i="40"/>
  <c r="M110" i="40"/>
  <c r="L108" i="40"/>
  <c r="N113" i="40"/>
  <c r="M111" i="40"/>
  <c r="L109" i="40"/>
  <c r="K113" i="40"/>
  <c r="K110" i="40"/>
  <c r="L114" i="40"/>
  <c r="N111" i="40"/>
  <c r="O108" i="40"/>
  <c r="L112" i="40"/>
  <c r="M108" i="40"/>
  <c r="K112" i="40"/>
  <c r="K111" i="40"/>
  <c r="O114" i="40"/>
  <c r="O110" i="40"/>
  <c r="L113" i="40"/>
  <c r="M109" i="40"/>
  <c r="O113" i="40"/>
  <c r="N112" i="40"/>
  <c r="N110" i="40"/>
  <c r="O109" i="40"/>
  <c r="K109" i="40"/>
  <c r="K114" i="40"/>
  <c r="F53" i="41"/>
  <c r="G50" i="41"/>
  <c r="H47" i="41"/>
  <c r="F45" i="41"/>
  <c r="G52" i="41"/>
  <c r="H49" i="41"/>
  <c r="F47" i="41"/>
  <c r="G44" i="41"/>
  <c r="F54" i="41"/>
  <c r="G51" i="41"/>
  <c r="H48" i="41"/>
  <c r="F46" i="41"/>
  <c r="H54" i="41"/>
  <c r="H50" i="41"/>
  <c r="G46" i="41"/>
  <c r="G54" i="41"/>
  <c r="F50" i="41"/>
  <c r="H45" i="41"/>
  <c r="H52" i="41"/>
  <c r="G48" i="41"/>
  <c r="F44" i="41"/>
  <c r="F49" i="41"/>
  <c r="F52" i="41"/>
  <c r="G45" i="41"/>
  <c r="H53" i="41"/>
  <c r="H44" i="41"/>
  <c r="G53" i="41"/>
  <c r="H51" i="41"/>
  <c r="F51" i="41"/>
  <c r="G47" i="41"/>
  <c r="G49" i="41"/>
  <c r="F48" i="41"/>
  <c r="H46" i="41"/>
  <c r="C46" i="42"/>
  <c r="D45" i="42"/>
  <c r="I46" i="42"/>
  <c r="J45" i="42"/>
  <c r="B45" i="42"/>
  <c r="F46" i="42"/>
  <c r="G45" i="42"/>
  <c r="D46" i="42"/>
  <c r="B46" i="42"/>
  <c r="J46" i="42"/>
  <c r="F45" i="42"/>
  <c r="C45" i="42"/>
  <c r="E46" i="42"/>
  <c r="E45" i="42"/>
  <c r="I45" i="42"/>
  <c r="H46" i="42"/>
  <c r="G46" i="42"/>
  <c r="H45" i="42"/>
  <c r="B31" i="6"/>
  <c r="B29" i="6"/>
  <c r="B27" i="6"/>
  <c r="B25" i="6"/>
  <c r="B23" i="6"/>
  <c r="B21" i="6"/>
  <c r="B32" i="6"/>
  <c r="B30" i="6"/>
  <c r="B28" i="6"/>
  <c r="B26" i="6"/>
  <c r="B24" i="6"/>
  <c r="B22" i="6"/>
  <c r="B20" i="6"/>
  <c r="D30" i="6"/>
  <c r="E27" i="6"/>
  <c r="C25" i="6"/>
  <c r="D22" i="6"/>
  <c r="D32" i="6"/>
  <c r="E29" i="6"/>
  <c r="C27" i="6"/>
  <c r="D24" i="6"/>
  <c r="E21" i="6"/>
  <c r="C32" i="6"/>
  <c r="D29" i="6"/>
  <c r="E26" i="6"/>
  <c r="C24" i="6"/>
  <c r="D21" i="6"/>
  <c r="C31" i="6"/>
  <c r="D28" i="6"/>
  <c r="E25" i="6"/>
  <c r="C23" i="6"/>
  <c r="D20" i="6"/>
  <c r="C30" i="6"/>
  <c r="E24" i="6"/>
  <c r="C29" i="6"/>
  <c r="E23" i="6"/>
  <c r="E28" i="6"/>
  <c r="D23" i="6"/>
  <c r="C28" i="6"/>
  <c r="E22" i="6"/>
  <c r="E32" i="6"/>
  <c r="D27" i="6"/>
  <c r="C22" i="6"/>
  <c r="E31" i="6"/>
  <c r="D26" i="6"/>
  <c r="C21" i="6"/>
  <c r="D31" i="6"/>
  <c r="C26" i="6"/>
  <c r="E20" i="6"/>
  <c r="C20" i="6"/>
  <c r="E30" i="6"/>
  <c r="D25" i="6"/>
  <c r="E65" i="35"/>
  <c r="L71" i="40"/>
  <c r="N69" i="40"/>
  <c r="K68" i="40"/>
  <c r="M66" i="40"/>
  <c r="O64" i="40"/>
  <c r="L63" i="40"/>
  <c r="N61" i="40"/>
  <c r="K60" i="40"/>
  <c r="M70" i="40"/>
  <c r="O68" i="40"/>
  <c r="L67" i="40"/>
  <c r="N65" i="40"/>
  <c r="K64" i="40"/>
  <c r="M62" i="40"/>
  <c r="O60" i="40"/>
  <c r="N71" i="40"/>
  <c r="M69" i="40"/>
  <c r="M67" i="40"/>
  <c r="L65" i="40"/>
  <c r="K63" i="40"/>
  <c r="K61" i="40"/>
  <c r="N70" i="40"/>
  <c r="M68" i="40"/>
  <c r="L66" i="40"/>
  <c r="L64" i="40"/>
  <c r="K62" i="40"/>
  <c r="O71" i="40"/>
  <c r="K69" i="40"/>
  <c r="K66" i="40"/>
  <c r="M63" i="40"/>
  <c r="M60" i="40"/>
  <c r="M71" i="40"/>
  <c r="N68" i="40"/>
  <c r="O65" i="40"/>
  <c r="O62" i="40"/>
  <c r="L60" i="40"/>
  <c r="K71" i="40"/>
  <c r="L68" i="40"/>
  <c r="M65" i="40"/>
  <c r="N62" i="40"/>
  <c r="O70" i="40"/>
  <c r="O67" i="40"/>
  <c r="K65" i="40"/>
  <c r="L62" i="40"/>
  <c r="O69" i="40"/>
  <c r="O66" i="40"/>
  <c r="O63" i="40"/>
  <c r="L61" i="40"/>
  <c r="N66" i="40"/>
  <c r="N64" i="40"/>
  <c r="M64" i="40"/>
  <c r="L70" i="40"/>
  <c r="N63" i="40"/>
  <c r="K70" i="40"/>
  <c r="O61" i="40"/>
  <c r="L69" i="40"/>
  <c r="M61" i="40"/>
  <c r="N67" i="40"/>
  <c r="N60" i="40"/>
  <c r="K67" i="40"/>
  <c r="J146" i="43"/>
  <c r="G145" i="43"/>
  <c r="H146" i="43"/>
  <c r="J144" i="43"/>
  <c r="J145" i="43"/>
  <c r="G144" i="43"/>
  <c r="I145" i="43"/>
  <c r="F144" i="43"/>
  <c r="H144" i="43"/>
  <c r="I146" i="43"/>
  <c r="H145" i="43"/>
  <c r="F145" i="43"/>
  <c r="G146" i="43"/>
  <c r="F146" i="43"/>
  <c r="I144" i="43"/>
  <c r="J44" i="44"/>
  <c r="J42" i="44"/>
  <c r="J40" i="44"/>
  <c r="J38" i="44"/>
  <c r="J36" i="44"/>
  <c r="J34" i="44"/>
  <c r="J32" i="44"/>
  <c r="H44" i="44"/>
  <c r="H42" i="44"/>
  <c r="H40" i="44"/>
  <c r="H38" i="44"/>
  <c r="H36" i="44"/>
  <c r="H34" i="44"/>
  <c r="H32" i="44"/>
  <c r="I43" i="44"/>
  <c r="I41" i="44"/>
  <c r="I39" i="44"/>
  <c r="I37" i="44"/>
  <c r="I35" i="44"/>
  <c r="I33" i="44"/>
  <c r="H43" i="44"/>
  <c r="H41" i="44"/>
  <c r="H39" i="44"/>
  <c r="H37" i="44"/>
  <c r="H35" i="44"/>
  <c r="H33" i="44"/>
  <c r="J43" i="44"/>
  <c r="J39" i="44"/>
  <c r="J35" i="44"/>
  <c r="I42" i="44"/>
  <c r="I38" i="44"/>
  <c r="I34" i="44"/>
  <c r="K44" i="44"/>
  <c r="K40" i="44"/>
  <c r="K36" i="44"/>
  <c r="K32" i="44"/>
  <c r="K43" i="44"/>
  <c r="J37" i="44"/>
  <c r="K42" i="44"/>
  <c r="I36" i="44"/>
  <c r="I40" i="44"/>
  <c r="K33" i="44"/>
  <c r="K41" i="44"/>
  <c r="I32" i="44"/>
  <c r="J41" i="44"/>
  <c r="K37" i="44"/>
  <c r="K38" i="44"/>
  <c r="K35" i="44"/>
  <c r="K34" i="44"/>
  <c r="J33" i="44"/>
  <c r="I44" i="44"/>
  <c r="K39" i="44"/>
  <c r="H146" i="44"/>
  <c r="I143" i="44"/>
  <c r="J140" i="44"/>
  <c r="H138" i="44"/>
  <c r="H147" i="44"/>
  <c r="I144" i="44"/>
  <c r="J141" i="44"/>
  <c r="H139" i="44"/>
  <c r="J146" i="44"/>
  <c r="H144" i="44"/>
  <c r="I141" i="44"/>
  <c r="J138" i="44"/>
  <c r="J145" i="44"/>
  <c r="H142" i="44"/>
  <c r="H145" i="44"/>
  <c r="I140" i="44"/>
  <c r="J147" i="44"/>
  <c r="H143" i="44"/>
  <c r="I139" i="44"/>
  <c r="I147" i="44"/>
  <c r="J142" i="44"/>
  <c r="I138" i="44"/>
  <c r="J139" i="44"/>
  <c r="I145" i="44"/>
  <c r="I142" i="44"/>
  <c r="I146" i="44"/>
  <c r="J144" i="44"/>
  <c r="H140" i="44"/>
  <c r="H141" i="44"/>
  <c r="J143" i="44"/>
  <c r="G17" i="23"/>
  <c r="D75" i="17"/>
  <c r="D74" i="17"/>
  <c r="D73" i="17"/>
  <c r="D72" i="17"/>
  <c r="L78" i="27"/>
  <c r="L76" i="27"/>
  <c r="L79" i="27"/>
  <c r="L77" i="27"/>
  <c r="L75" i="27"/>
  <c r="K77" i="27"/>
  <c r="I75" i="27"/>
  <c r="J77" i="27"/>
  <c r="I79" i="27"/>
  <c r="J76" i="27"/>
  <c r="J78" i="27"/>
  <c r="I78" i="27"/>
  <c r="I77" i="27"/>
  <c r="K76" i="27"/>
  <c r="J79" i="27"/>
  <c r="J75" i="27"/>
  <c r="K79" i="27"/>
  <c r="K78" i="27"/>
  <c r="I76" i="27"/>
  <c r="K75" i="27"/>
  <c r="J58" i="6"/>
  <c r="J56" i="6"/>
  <c r="J54" i="6"/>
  <c r="J59" i="6"/>
  <c r="J57" i="6"/>
  <c r="J55" i="6"/>
  <c r="J53" i="6"/>
  <c r="H58" i="6"/>
  <c r="I55" i="6"/>
  <c r="G53" i="6"/>
  <c r="I57" i="6"/>
  <c r="G55" i="6"/>
  <c r="H57" i="6"/>
  <c r="I54" i="6"/>
  <c r="G59" i="6"/>
  <c r="H56" i="6"/>
  <c r="I53" i="6"/>
  <c r="H55" i="6"/>
  <c r="I59" i="6"/>
  <c r="H54" i="6"/>
  <c r="H59" i="6"/>
  <c r="G54" i="6"/>
  <c r="I58" i="6"/>
  <c r="H53" i="6"/>
  <c r="G58" i="6"/>
  <c r="G57" i="6"/>
  <c r="I56" i="6"/>
  <c r="G56" i="6"/>
  <c r="E5" i="35"/>
  <c r="E21" i="35"/>
  <c r="E87" i="35"/>
  <c r="G14" i="24"/>
  <c r="F14" i="24"/>
  <c r="E14" i="24"/>
  <c r="D14" i="24"/>
  <c r="K28" i="40"/>
  <c r="L25" i="40"/>
  <c r="M22" i="40"/>
  <c r="K20" i="40"/>
  <c r="M26" i="40"/>
  <c r="K24" i="40"/>
  <c r="L21" i="40"/>
  <c r="K26" i="40"/>
  <c r="L22" i="40"/>
  <c r="K19" i="40"/>
  <c r="M27" i="40"/>
  <c r="L24" i="40"/>
  <c r="M20" i="40"/>
  <c r="L27" i="40"/>
  <c r="K23" i="40"/>
  <c r="K27" i="40"/>
  <c r="K22" i="40"/>
  <c r="L26" i="40"/>
  <c r="M21" i="40"/>
  <c r="M25" i="40"/>
  <c r="K21" i="40"/>
  <c r="M28" i="40"/>
  <c r="M23" i="40"/>
  <c r="L19" i="40"/>
  <c r="M19" i="40"/>
  <c r="L28" i="40"/>
  <c r="K25" i="40"/>
  <c r="M24" i="40"/>
  <c r="L23" i="40"/>
  <c r="L20" i="40"/>
  <c r="M87" i="40"/>
  <c r="O85" i="40"/>
  <c r="L84" i="40"/>
  <c r="N82" i="40"/>
  <c r="K81" i="40"/>
  <c r="M79" i="40"/>
  <c r="O77" i="40"/>
  <c r="L76" i="40"/>
  <c r="N74" i="40"/>
  <c r="N86" i="40"/>
  <c r="K85" i="40"/>
  <c r="M83" i="40"/>
  <c r="O81" i="40"/>
  <c r="L80" i="40"/>
  <c r="N78" i="40"/>
  <c r="K77" i="40"/>
  <c r="M75" i="40"/>
  <c r="L86" i="40"/>
  <c r="K84" i="40"/>
  <c r="K82" i="40"/>
  <c r="O79" i="40"/>
  <c r="N77" i="40"/>
  <c r="N75" i="40"/>
  <c r="L87" i="40"/>
  <c r="L85" i="40"/>
  <c r="K83" i="40"/>
  <c r="O80" i="40"/>
  <c r="O78" i="40"/>
  <c r="N76" i="40"/>
  <c r="M74" i="40"/>
  <c r="O87" i="40"/>
  <c r="O84" i="40"/>
  <c r="L82" i="40"/>
  <c r="L79" i="40"/>
  <c r="M76" i="40"/>
  <c r="N87" i="40"/>
  <c r="N84" i="40"/>
  <c r="N81" i="40"/>
  <c r="K79" i="40"/>
  <c r="K76" i="40"/>
  <c r="K87" i="40"/>
  <c r="M84" i="40"/>
  <c r="M81" i="40"/>
  <c r="M78" i="40"/>
  <c r="O75" i="40"/>
  <c r="O86" i="40"/>
  <c r="O83" i="40"/>
  <c r="L81" i="40"/>
  <c r="L78" i="40"/>
  <c r="L75" i="40"/>
  <c r="N85" i="40"/>
  <c r="O82" i="40"/>
  <c r="K80" i="40"/>
  <c r="L77" i="40"/>
  <c r="L74" i="40"/>
  <c r="L83" i="40"/>
  <c r="K75" i="40"/>
  <c r="M82" i="40"/>
  <c r="O74" i="40"/>
  <c r="N80" i="40"/>
  <c r="K74" i="40"/>
  <c r="M80" i="40"/>
  <c r="M86" i="40"/>
  <c r="N79" i="40"/>
  <c r="K86" i="40"/>
  <c r="K78" i="40"/>
  <c r="M85" i="40"/>
  <c r="M77" i="40"/>
  <c r="N83" i="40"/>
  <c r="O76" i="40"/>
  <c r="M145" i="40"/>
  <c r="K143" i="40"/>
  <c r="L140" i="40"/>
  <c r="K144" i="40"/>
  <c r="L141" i="40"/>
  <c r="K145" i="40"/>
  <c r="M141" i="40"/>
  <c r="L143" i="40"/>
  <c r="L142" i="40"/>
  <c r="M144" i="40"/>
  <c r="K140" i="40"/>
  <c r="L144" i="40"/>
  <c r="M143" i="40"/>
  <c r="M142" i="40"/>
  <c r="K142" i="40"/>
  <c r="L145" i="40"/>
  <c r="K141" i="40"/>
  <c r="M140" i="40"/>
  <c r="J293" i="40"/>
  <c r="J292" i="40"/>
  <c r="J294" i="40"/>
  <c r="I294" i="40"/>
  <c r="I292" i="40"/>
  <c r="I293" i="40"/>
  <c r="I11" i="44"/>
  <c r="J8" i="44"/>
  <c r="H6" i="44"/>
  <c r="I13" i="44"/>
  <c r="J10" i="44"/>
  <c r="H8" i="44"/>
  <c r="I5" i="44"/>
  <c r="I12" i="44"/>
  <c r="J9" i="44"/>
  <c r="H7" i="44"/>
  <c r="I4" i="44"/>
  <c r="H12" i="44"/>
  <c r="I9" i="44"/>
  <c r="J6" i="44"/>
  <c r="H4" i="44"/>
  <c r="H10" i="44"/>
  <c r="J4" i="44"/>
  <c r="J13" i="44"/>
  <c r="I8" i="44"/>
  <c r="J11" i="44"/>
  <c r="I6" i="44"/>
  <c r="H13" i="44"/>
  <c r="H5" i="44"/>
  <c r="J12" i="44"/>
  <c r="H9" i="44"/>
  <c r="J5" i="44"/>
  <c r="H11" i="44"/>
  <c r="I10" i="44"/>
  <c r="J7" i="44"/>
  <c r="I7" i="44"/>
  <c r="J67" i="6"/>
  <c r="J65" i="6"/>
  <c r="J63" i="6"/>
  <c r="J68" i="6"/>
  <c r="J66" i="6"/>
  <c r="J64" i="6"/>
  <c r="J62" i="6"/>
  <c r="H68" i="6"/>
  <c r="I65" i="6"/>
  <c r="G63" i="6"/>
  <c r="G67" i="6"/>
  <c r="H64" i="6"/>
  <c r="I66" i="6"/>
  <c r="H63" i="6"/>
  <c r="G66" i="6"/>
  <c r="H62" i="6"/>
  <c r="H65" i="6"/>
  <c r="G62" i="6"/>
  <c r="I67" i="6"/>
  <c r="G64" i="6"/>
  <c r="I62" i="6"/>
  <c r="I68" i="6"/>
  <c r="G68" i="6"/>
  <c r="H67" i="6"/>
  <c r="H66" i="6"/>
  <c r="G65" i="6"/>
  <c r="I64" i="6"/>
  <c r="I63" i="6"/>
  <c r="M13" i="40"/>
  <c r="K11" i="40"/>
  <c r="L8" i="40"/>
  <c r="L12" i="40"/>
  <c r="M9" i="40"/>
  <c r="K7" i="40"/>
  <c r="M11" i="40"/>
  <c r="K8" i="40"/>
  <c r="L13" i="40"/>
  <c r="K10" i="40"/>
  <c r="L6" i="40"/>
  <c r="L14" i="40"/>
  <c r="L9" i="40"/>
  <c r="K14" i="40"/>
  <c r="K9" i="40"/>
  <c r="K13" i="40"/>
  <c r="M8" i="40"/>
  <c r="M12" i="40"/>
  <c r="M7" i="40"/>
  <c r="M10" i="40"/>
  <c r="K6" i="40"/>
  <c r="M14" i="40"/>
  <c r="K12" i="40"/>
  <c r="L11" i="40"/>
  <c r="L10" i="40"/>
  <c r="L7" i="40"/>
  <c r="M6" i="40"/>
  <c r="F10" i="42"/>
  <c r="F6" i="42"/>
  <c r="F9" i="42"/>
  <c r="F5" i="42"/>
  <c r="E8" i="42"/>
  <c r="E11" i="42"/>
  <c r="E10" i="42"/>
  <c r="F7" i="42"/>
  <c r="E7" i="42"/>
  <c r="F11" i="42"/>
  <c r="E9" i="42"/>
  <c r="F8" i="42"/>
  <c r="E6" i="42"/>
  <c r="E5" i="42"/>
  <c r="F31" i="43"/>
  <c r="F27" i="43"/>
  <c r="F30" i="43"/>
  <c r="G32" i="43"/>
  <c r="G28" i="43"/>
  <c r="F32" i="43"/>
  <c r="G29" i="43"/>
  <c r="F28" i="43"/>
  <c r="G30" i="43"/>
  <c r="F29" i="43"/>
  <c r="G27" i="43"/>
  <c r="G31" i="43"/>
  <c r="G40" i="43"/>
  <c r="G36" i="43"/>
  <c r="G39" i="43"/>
  <c r="G35" i="43"/>
  <c r="F38" i="43"/>
  <c r="F40" i="43"/>
  <c r="G37" i="43"/>
  <c r="F35" i="43"/>
  <c r="F39" i="43"/>
  <c r="F36" i="43"/>
  <c r="G38" i="43"/>
  <c r="F37" i="43"/>
  <c r="F46" i="43"/>
  <c r="F45" i="43"/>
  <c r="G47" i="43"/>
  <c r="G43" i="43"/>
  <c r="G48" i="43"/>
  <c r="F48" i="43"/>
  <c r="G45" i="43"/>
  <c r="G46" i="43"/>
  <c r="F47" i="43"/>
  <c r="G44" i="43"/>
  <c r="F44" i="43"/>
  <c r="F43" i="43"/>
  <c r="F11" i="61"/>
  <c r="N127" i="40"/>
  <c r="K126" i="40"/>
  <c r="M124" i="40"/>
  <c r="O122" i="40"/>
  <c r="N126" i="40"/>
  <c r="K125" i="40"/>
  <c r="M123" i="40"/>
  <c r="O127" i="40"/>
  <c r="N125" i="40"/>
  <c r="N123" i="40"/>
  <c r="O126" i="40"/>
  <c r="N124" i="40"/>
  <c r="M122" i="40"/>
  <c r="M125" i="40"/>
  <c r="N122" i="40"/>
  <c r="K127" i="40"/>
  <c r="K124" i="40"/>
  <c r="M126" i="40"/>
  <c r="K123" i="40"/>
  <c r="L126" i="40"/>
  <c r="L122" i="40"/>
  <c r="O125" i="40"/>
  <c r="K122" i="40"/>
  <c r="L125" i="40"/>
  <c r="M127" i="40"/>
  <c r="O123" i="40"/>
  <c r="L127" i="40"/>
  <c r="O124" i="40"/>
  <c r="L124" i="40"/>
  <c r="L123" i="40"/>
  <c r="F11" i="41"/>
  <c r="F7" i="41"/>
  <c r="F10" i="41"/>
  <c r="F6" i="41"/>
  <c r="G12" i="41"/>
  <c r="G8" i="41"/>
  <c r="G10" i="41"/>
  <c r="G9" i="41"/>
  <c r="G13" i="41"/>
  <c r="G7" i="41"/>
  <c r="F12" i="41"/>
  <c r="G6" i="41"/>
  <c r="G5" i="41"/>
  <c r="F5" i="41"/>
  <c r="F9" i="41"/>
  <c r="F13" i="41"/>
  <c r="G11" i="41"/>
  <c r="F8" i="41"/>
  <c r="E19" i="42"/>
  <c r="E15" i="42"/>
  <c r="E18" i="42"/>
  <c r="E14" i="42"/>
  <c r="F20" i="42"/>
  <c r="F16" i="42"/>
  <c r="F17" i="42"/>
  <c r="E17" i="42"/>
  <c r="E21" i="42"/>
  <c r="F14" i="42"/>
  <c r="F18" i="42"/>
  <c r="E13" i="42"/>
  <c r="F21" i="42"/>
  <c r="E20" i="42"/>
  <c r="F15" i="42"/>
  <c r="E16" i="42"/>
  <c r="F13" i="42"/>
  <c r="F19" i="42"/>
  <c r="F15" i="43"/>
  <c r="F14" i="43"/>
  <c r="G16" i="43"/>
  <c r="F16" i="43"/>
  <c r="G15" i="43"/>
  <c r="F13" i="43"/>
  <c r="G13" i="43"/>
  <c r="F17" i="43"/>
  <c r="G14" i="43"/>
  <c r="G17" i="43"/>
  <c r="C137" i="43"/>
  <c r="C136" i="43"/>
  <c r="B135" i="43"/>
  <c r="B137" i="43"/>
  <c r="C135" i="43"/>
  <c r="B136" i="43"/>
  <c r="I8" i="59"/>
  <c r="J146" i="55"/>
  <c r="J145" i="55"/>
  <c r="I147" i="55"/>
  <c r="I146" i="55"/>
  <c r="I145" i="55"/>
  <c r="J148" i="55"/>
  <c r="I148" i="55"/>
  <c r="J147" i="55"/>
  <c r="G26" i="41"/>
  <c r="H23" i="41"/>
  <c r="F21" i="41"/>
  <c r="G18" i="41"/>
  <c r="H25" i="41"/>
  <c r="F23" i="41"/>
  <c r="G20" i="41"/>
  <c r="H24" i="41"/>
  <c r="F22" i="41"/>
  <c r="G19" i="41"/>
  <c r="F24" i="41"/>
  <c r="H19" i="41"/>
  <c r="G23" i="41"/>
  <c r="F19" i="41"/>
  <c r="F26" i="41"/>
  <c r="H21" i="41"/>
  <c r="H22" i="41"/>
  <c r="H26" i="41"/>
  <c r="F20" i="41"/>
  <c r="G21" i="41"/>
  <c r="H20" i="41"/>
  <c r="H18" i="41"/>
  <c r="F18" i="41"/>
  <c r="G24" i="41"/>
  <c r="G22" i="41"/>
  <c r="G25" i="41"/>
  <c r="F25" i="41"/>
  <c r="G66" i="41"/>
  <c r="G62" i="41"/>
  <c r="G58" i="41"/>
  <c r="G65" i="41"/>
  <c r="G61" i="41"/>
  <c r="F64" i="41"/>
  <c r="F60" i="41"/>
  <c r="G63" i="41"/>
  <c r="F63" i="41"/>
  <c r="G60" i="41"/>
  <c r="F59" i="41"/>
  <c r="G64" i="41"/>
  <c r="F66" i="41"/>
  <c r="F65" i="41"/>
  <c r="G59" i="41"/>
  <c r="F62" i="41"/>
  <c r="F61" i="41"/>
  <c r="F58" i="41"/>
  <c r="F36" i="42"/>
  <c r="F32" i="42"/>
  <c r="F28" i="42"/>
  <c r="F24" i="42"/>
  <c r="F35" i="42"/>
  <c r="F31" i="42"/>
  <c r="F27" i="42"/>
  <c r="E38" i="42"/>
  <c r="E34" i="42"/>
  <c r="E30" i="42"/>
  <c r="E26" i="42"/>
  <c r="F38" i="42"/>
  <c r="E32" i="42"/>
  <c r="F25" i="42"/>
  <c r="F37" i="42"/>
  <c r="E31" i="42"/>
  <c r="E25" i="42"/>
  <c r="E35" i="42"/>
  <c r="E29" i="42"/>
  <c r="F29" i="42"/>
  <c r="F34" i="42"/>
  <c r="E24" i="42"/>
  <c r="E27" i="42"/>
  <c r="F26" i="42"/>
  <c r="E37" i="42"/>
  <c r="E36" i="42"/>
  <c r="F30" i="42"/>
  <c r="F33" i="42"/>
  <c r="E33" i="42"/>
  <c r="E28" i="42"/>
  <c r="G21" i="43"/>
  <c r="G24" i="43"/>
  <c r="F23" i="43"/>
  <c r="F24" i="43"/>
  <c r="F22" i="43"/>
  <c r="F21" i="43"/>
  <c r="G23" i="43"/>
  <c r="G22" i="43"/>
  <c r="G51" i="43"/>
  <c r="G54" i="43"/>
  <c r="F53" i="43"/>
  <c r="G53" i="43"/>
  <c r="G52" i="43"/>
  <c r="F52" i="43"/>
  <c r="F54" i="43"/>
  <c r="F51" i="43"/>
  <c r="F97" i="44"/>
  <c r="H96" i="44"/>
  <c r="J95" i="44"/>
  <c r="B95" i="44"/>
  <c r="D94" i="44"/>
  <c r="F93" i="44"/>
  <c r="H92" i="44"/>
  <c r="J91" i="44"/>
  <c r="B91" i="44"/>
  <c r="D90" i="44"/>
  <c r="F89" i="44"/>
  <c r="H88" i="44"/>
  <c r="J87" i="44"/>
  <c r="B87" i="44"/>
  <c r="D86" i="44"/>
  <c r="F85" i="44"/>
  <c r="H84" i="44"/>
  <c r="J83" i="44"/>
  <c r="B83" i="44"/>
  <c r="D97" i="44"/>
  <c r="F96" i="44"/>
  <c r="H95" i="44"/>
  <c r="J94" i="44"/>
  <c r="B94" i="44"/>
  <c r="D93" i="44"/>
  <c r="F92" i="44"/>
  <c r="H91" i="44"/>
  <c r="J90" i="44"/>
  <c r="B90" i="44"/>
  <c r="D89" i="44"/>
  <c r="F88" i="44"/>
  <c r="H87" i="44"/>
  <c r="J86" i="44"/>
  <c r="B86" i="44"/>
  <c r="D85" i="44"/>
  <c r="F84" i="44"/>
  <c r="H83" i="44"/>
  <c r="I97" i="44"/>
  <c r="K96" i="44"/>
  <c r="C96" i="44"/>
  <c r="E95" i="44"/>
  <c r="G94" i="44"/>
  <c r="I93" i="44"/>
  <c r="K92" i="44"/>
  <c r="C92" i="44"/>
  <c r="E91" i="44"/>
  <c r="G90" i="44"/>
  <c r="I89" i="44"/>
  <c r="K88" i="44"/>
  <c r="C88" i="44"/>
  <c r="E87" i="44"/>
  <c r="G86" i="44"/>
  <c r="I85" i="44"/>
  <c r="K84" i="44"/>
  <c r="C84" i="44"/>
  <c r="E83" i="44"/>
  <c r="H97" i="44"/>
  <c r="J96" i="44"/>
  <c r="B96" i="44"/>
  <c r="D95" i="44"/>
  <c r="F94" i="44"/>
  <c r="H93" i="44"/>
  <c r="J92" i="44"/>
  <c r="B92" i="44"/>
  <c r="D91" i="44"/>
  <c r="F90" i="44"/>
  <c r="H89" i="44"/>
  <c r="J88" i="44"/>
  <c r="B88" i="44"/>
  <c r="D87" i="44"/>
  <c r="F86" i="44"/>
  <c r="H85" i="44"/>
  <c r="J84" i="44"/>
  <c r="B84" i="44"/>
  <c r="D83" i="44"/>
  <c r="J97" i="44"/>
  <c r="D96" i="44"/>
  <c r="H94" i="44"/>
  <c r="B93" i="44"/>
  <c r="F91" i="44"/>
  <c r="J89" i="44"/>
  <c r="D88" i="44"/>
  <c r="H86" i="44"/>
  <c r="B85" i="44"/>
  <c r="F83" i="44"/>
  <c r="E97" i="44"/>
  <c r="I95" i="44"/>
  <c r="C94" i="44"/>
  <c r="G92" i="44"/>
  <c r="K90" i="44"/>
  <c r="E89" i="44"/>
  <c r="I87" i="44"/>
  <c r="C86" i="44"/>
  <c r="G84" i="44"/>
  <c r="I96" i="44"/>
  <c r="C95" i="44"/>
  <c r="G93" i="44"/>
  <c r="K91" i="44"/>
  <c r="E90" i="44"/>
  <c r="I88" i="44"/>
  <c r="C87" i="44"/>
  <c r="G85" i="44"/>
  <c r="K83" i="44"/>
  <c r="G96" i="44"/>
  <c r="K93" i="44"/>
  <c r="G91" i="44"/>
  <c r="B89" i="44"/>
  <c r="E86" i="44"/>
  <c r="I83" i="44"/>
  <c r="E96" i="44"/>
  <c r="J93" i="44"/>
  <c r="C91" i="44"/>
  <c r="G88" i="44"/>
  <c r="K85" i="44"/>
  <c r="G83" i="44"/>
  <c r="K97" i="44"/>
  <c r="F95" i="44"/>
  <c r="I92" i="44"/>
  <c r="C90" i="44"/>
  <c r="G87" i="44"/>
  <c r="C85" i="44"/>
  <c r="I94" i="44"/>
  <c r="H90" i="44"/>
  <c r="I86" i="44"/>
  <c r="E94" i="44"/>
  <c r="K89" i="44"/>
  <c r="J85" i="44"/>
  <c r="B97" i="44"/>
  <c r="E92" i="44"/>
  <c r="E88" i="44"/>
  <c r="E84" i="44"/>
  <c r="K95" i="44"/>
  <c r="G89" i="44"/>
  <c r="C83" i="44"/>
  <c r="G95" i="44"/>
  <c r="C89" i="44"/>
  <c r="K94" i="44"/>
  <c r="K87" i="44"/>
  <c r="E93" i="44"/>
  <c r="F87" i="44"/>
  <c r="G97" i="44"/>
  <c r="I91" i="44"/>
  <c r="I84" i="44"/>
  <c r="C97" i="44"/>
  <c r="C93" i="44"/>
  <c r="D92" i="44"/>
  <c r="I90" i="44"/>
  <c r="K86" i="44"/>
  <c r="E85" i="44"/>
  <c r="D84" i="44"/>
  <c r="F76" i="24"/>
  <c r="E76" i="24"/>
  <c r="D76" i="24"/>
  <c r="G76" i="24"/>
  <c r="E6" i="51"/>
  <c r="E7" i="51"/>
  <c r="G8" i="43"/>
  <c r="G7" i="43"/>
  <c r="F6" i="43"/>
  <c r="F7" i="43"/>
  <c r="G6" i="43"/>
  <c r="G5" i="43"/>
  <c r="G9" i="43"/>
  <c r="F9" i="43"/>
  <c r="F8" i="43"/>
  <c r="F5" i="43"/>
  <c r="C125" i="43"/>
  <c r="B124" i="43"/>
  <c r="C124" i="43"/>
  <c r="B125" i="43"/>
  <c r="C123" i="43"/>
  <c r="B123" i="43"/>
  <c r="I7" i="11"/>
  <c r="H9" i="11"/>
  <c r="I8" i="11"/>
  <c r="H10" i="11"/>
  <c r="H8" i="11"/>
  <c r="I10" i="11"/>
  <c r="I9" i="11"/>
  <c r="H7" i="11"/>
  <c r="B82" i="66"/>
  <c r="I115" i="55"/>
  <c r="J114" i="55"/>
  <c r="K114" i="55"/>
  <c r="I114" i="55"/>
  <c r="K115" i="55"/>
  <c r="J115" i="55"/>
  <c r="C4" i="20"/>
  <c r="J57" i="44"/>
  <c r="H55" i="44"/>
  <c r="I52" i="44"/>
  <c r="J49" i="44"/>
  <c r="J59" i="44"/>
  <c r="H57" i="44"/>
  <c r="I54" i="44"/>
  <c r="J51" i="44"/>
  <c r="H49" i="44"/>
  <c r="J58" i="44"/>
  <c r="H56" i="44"/>
  <c r="I53" i="44"/>
  <c r="J50" i="44"/>
  <c r="H48" i="44"/>
  <c r="I58" i="44"/>
  <c r="J55" i="44"/>
  <c r="H53" i="44"/>
  <c r="I50" i="44"/>
  <c r="I56" i="44"/>
  <c r="H51" i="44"/>
  <c r="J54" i="44"/>
  <c r="I49" i="44"/>
  <c r="H58" i="44"/>
  <c r="J52" i="44"/>
  <c r="H54" i="44"/>
  <c r="J53" i="44"/>
  <c r="H59" i="44"/>
  <c r="H50" i="44"/>
  <c r="I57" i="44"/>
  <c r="J56" i="44"/>
  <c r="I51" i="44"/>
  <c r="I59" i="44"/>
  <c r="I55" i="44"/>
  <c r="H52" i="44"/>
  <c r="J48" i="44"/>
  <c r="I48" i="44"/>
  <c r="H12" i="11"/>
  <c r="I15" i="11"/>
  <c r="I13" i="11"/>
  <c r="H13" i="11"/>
  <c r="H15" i="11"/>
  <c r="I12" i="11"/>
  <c r="I14" i="11"/>
  <c r="H14" i="11"/>
  <c r="I92" i="55"/>
  <c r="I91" i="55"/>
  <c r="B78" i="66"/>
  <c r="I109" i="44"/>
  <c r="H109" i="44"/>
  <c r="H110" i="44"/>
  <c r="J106" i="44"/>
  <c r="H104" i="44"/>
  <c r="I101" i="44"/>
  <c r="J108" i="44"/>
  <c r="H106" i="44"/>
  <c r="I103" i="44"/>
  <c r="J107" i="44"/>
  <c r="H105" i="44"/>
  <c r="I102" i="44"/>
  <c r="J110" i="44"/>
  <c r="I107" i="44"/>
  <c r="J104" i="44"/>
  <c r="H102" i="44"/>
  <c r="I105" i="44"/>
  <c r="J109" i="44"/>
  <c r="J103" i="44"/>
  <c r="H107" i="44"/>
  <c r="J101" i="44"/>
  <c r="I104" i="44"/>
  <c r="H103" i="44"/>
  <c r="I108" i="44"/>
  <c r="J102" i="44"/>
  <c r="H101" i="44"/>
  <c r="I110" i="44"/>
  <c r="H108" i="44"/>
  <c r="J105" i="44"/>
  <c r="I106" i="44"/>
  <c r="F24" i="24"/>
  <c r="E24" i="24"/>
  <c r="D24" i="24"/>
  <c r="H24" i="24"/>
  <c r="G24" i="24"/>
  <c r="I30" i="55"/>
  <c r="E40" i="29"/>
  <c r="K28" i="44"/>
  <c r="K26" i="44"/>
  <c r="K24" i="44"/>
  <c r="K22" i="44"/>
  <c r="K20" i="44"/>
  <c r="K18" i="44"/>
  <c r="I28" i="44"/>
  <c r="I26" i="44"/>
  <c r="I24" i="44"/>
  <c r="I22" i="44"/>
  <c r="I20" i="44"/>
  <c r="I18" i="44"/>
  <c r="J29" i="44"/>
  <c r="J27" i="44"/>
  <c r="J25" i="44"/>
  <c r="J23" i="44"/>
  <c r="J21" i="44"/>
  <c r="J19" i="44"/>
  <c r="J17" i="44"/>
  <c r="I29" i="44"/>
  <c r="I27" i="44"/>
  <c r="I25" i="44"/>
  <c r="I23" i="44"/>
  <c r="I21" i="44"/>
  <c r="I19" i="44"/>
  <c r="I17" i="44"/>
  <c r="K29" i="44"/>
  <c r="K25" i="44"/>
  <c r="K21" i="44"/>
  <c r="K17" i="44"/>
  <c r="J28" i="44"/>
  <c r="J24" i="44"/>
  <c r="J20" i="44"/>
  <c r="H27" i="44"/>
  <c r="H23" i="44"/>
  <c r="H19" i="44"/>
  <c r="H29" i="44"/>
  <c r="J22" i="44"/>
  <c r="H28" i="44"/>
  <c r="H22" i="44"/>
  <c r="H26" i="44"/>
  <c r="K19" i="44"/>
  <c r="H20" i="44"/>
  <c r="J18" i="44"/>
  <c r="H25" i="44"/>
  <c r="H21" i="44"/>
  <c r="H18" i="44"/>
  <c r="H17" i="44"/>
  <c r="H24" i="44"/>
  <c r="K27" i="44"/>
  <c r="J26" i="44"/>
  <c r="K23" i="44"/>
  <c r="I141" i="55"/>
  <c r="I139" i="55"/>
  <c r="I137" i="55"/>
  <c r="I135" i="55"/>
  <c r="I133" i="55"/>
  <c r="I131" i="55"/>
  <c r="I129" i="55"/>
  <c r="K140" i="55"/>
  <c r="K138" i="55"/>
  <c r="K136" i="55"/>
  <c r="K134" i="55"/>
  <c r="K132" i="55"/>
  <c r="K130" i="55"/>
  <c r="J140" i="55"/>
  <c r="L137" i="55"/>
  <c r="J135" i="55"/>
  <c r="J132" i="55"/>
  <c r="L129" i="55"/>
  <c r="I140" i="55"/>
  <c r="K137" i="55"/>
  <c r="L134" i="55"/>
  <c r="I132" i="55"/>
  <c r="K129" i="55"/>
  <c r="L139" i="55"/>
  <c r="J137" i="55"/>
  <c r="J134" i="55"/>
  <c r="L131" i="55"/>
  <c r="J129" i="55"/>
  <c r="K141" i="55"/>
  <c r="L138" i="55"/>
  <c r="I136" i="55"/>
  <c r="K133" i="55"/>
  <c r="L130" i="55"/>
  <c r="J141" i="55"/>
  <c r="J138" i="55"/>
  <c r="L135" i="55"/>
  <c r="J133" i="55"/>
  <c r="J130" i="55"/>
  <c r="J139" i="55"/>
  <c r="K131" i="55"/>
  <c r="I138" i="55"/>
  <c r="J131" i="55"/>
  <c r="L136" i="55"/>
  <c r="I130" i="55"/>
  <c r="L141" i="55"/>
  <c r="I134" i="55"/>
  <c r="L140" i="55"/>
  <c r="L133" i="55"/>
  <c r="J136" i="55"/>
  <c r="K135" i="55"/>
  <c r="K139" i="55"/>
  <c r="L132" i="55"/>
  <c r="B42" i="30"/>
  <c r="E18" i="67"/>
  <c r="F6" i="24"/>
  <c r="E6" i="24"/>
  <c r="D6" i="24"/>
  <c r="F52" i="24"/>
  <c r="E52" i="24"/>
  <c r="F54" i="24"/>
  <c r="D52" i="24"/>
  <c r="F53" i="24"/>
  <c r="E53" i="24"/>
  <c r="D53" i="24"/>
  <c r="E54" i="24"/>
  <c r="D54" i="24"/>
  <c r="H65" i="34"/>
  <c r="H64" i="34"/>
  <c r="H63" i="34"/>
  <c r="D46" i="20"/>
  <c r="C141" i="20"/>
  <c r="B161" i="29"/>
  <c r="H159" i="29"/>
  <c r="G158" i="29"/>
  <c r="H160" i="29"/>
  <c r="G159" i="29"/>
  <c r="F158" i="29"/>
  <c r="H161" i="29"/>
  <c r="G160" i="29"/>
  <c r="F159" i="29"/>
  <c r="E158" i="29"/>
  <c r="E161" i="29"/>
  <c r="D160" i="29"/>
  <c r="C159" i="29"/>
  <c r="B158" i="29"/>
  <c r="B160" i="29"/>
  <c r="F161" i="29"/>
  <c r="D159" i="29"/>
  <c r="C161" i="29"/>
  <c r="H158" i="29"/>
  <c r="F160" i="29"/>
  <c r="D158" i="29"/>
  <c r="E160" i="29"/>
  <c r="C158" i="29"/>
  <c r="G161" i="29"/>
  <c r="E159" i="29"/>
  <c r="B159" i="29"/>
  <c r="C160" i="29"/>
  <c r="D161" i="29"/>
  <c r="D5" i="33"/>
  <c r="E19" i="33"/>
  <c r="D19" i="33"/>
  <c r="D56" i="33"/>
  <c r="D55" i="33"/>
  <c r="D54" i="33"/>
  <c r="I23" i="55"/>
  <c r="E78" i="55"/>
  <c r="F75" i="55"/>
  <c r="D73" i="55"/>
  <c r="E70" i="55"/>
  <c r="F67" i="55"/>
  <c r="D65" i="55"/>
  <c r="E62" i="55"/>
  <c r="F59" i="55"/>
  <c r="F80" i="55"/>
  <c r="D78" i="55"/>
  <c r="E75" i="55"/>
  <c r="F72" i="55"/>
  <c r="D70" i="55"/>
  <c r="E67" i="55"/>
  <c r="F64" i="55"/>
  <c r="D62" i="55"/>
  <c r="E59" i="55"/>
  <c r="E80" i="55"/>
  <c r="F77" i="55"/>
  <c r="D75" i="55"/>
  <c r="E72" i="55"/>
  <c r="F69" i="55"/>
  <c r="D67" i="55"/>
  <c r="E64" i="55"/>
  <c r="F61" i="55"/>
  <c r="D59" i="55"/>
  <c r="E79" i="55"/>
  <c r="F76" i="55"/>
  <c r="D74" i="55"/>
  <c r="E71" i="55"/>
  <c r="F68" i="55"/>
  <c r="D66" i="55"/>
  <c r="E63" i="55"/>
  <c r="F60" i="55"/>
  <c r="D79" i="55"/>
  <c r="E76" i="55"/>
  <c r="F73" i="55"/>
  <c r="D71" i="55"/>
  <c r="E68" i="55"/>
  <c r="F65" i="55"/>
  <c r="D63" i="55"/>
  <c r="E60" i="55"/>
  <c r="E77" i="55"/>
  <c r="F70" i="55"/>
  <c r="F63" i="55"/>
  <c r="D77" i="55"/>
  <c r="E69" i="55"/>
  <c r="F62" i="55"/>
  <c r="D76" i="55"/>
  <c r="D69" i="55"/>
  <c r="E61" i="55"/>
  <c r="D80" i="55"/>
  <c r="E73" i="55"/>
  <c r="E66" i="55"/>
  <c r="F79" i="55"/>
  <c r="D72" i="55"/>
  <c r="E65" i="55"/>
  <c r="F78" i="55"/>
  <c r="D60" i="55"/>
  <c r="E74" i="55"/>
  <c r="F66" i="55"/>
  <c r="D64" i="55"/>
  <c r="F74" i="55"/>
  <c r="F71" i="55"/>
  <c r="D68" i="55"/>
  <c r="D61" i="55"/>
  <c r="I106" i="55"/>
  <c r="J106" i="55"/>
  <c r="D50" i="20"/>
  <c r="C111" i="45"/>
  <c r="G87" i="24"/>
  <c r="F87" i="24"/>
  <c r="E87" i="24"/>
  <c r="D87" i="24"/>
  <c r="D9" i="33"/>
  <c r="I39" i="55"/>
  <c r="I152" i="55"/>
  <c r="I151" i="55"/>
  <c r="J153" i="55"/>
  <c r="I153" i="55"/>
  <c r="J152" i="55"/>
  <c r="J154" i="55"/>
  <c r="I154" i="55"/>
  <c r="J151" i="55"/>
  <c r="F20" i="56"/>
  <c r="J22" i="59"/>
  <c r="H23" i="11"/>
  <c r="I24" i="11"/>
  <c r="H24" i="11"/>
  <c r="I23" i="11"/>
  <c r="H25" i="11"/>
  <c r="I25" i="11"/>
  <c r="B43" i="11"/>
  <c r="C44" i="11"/>
  <c r="B44" i="11"/>
  <c r="C43" i="11"/>
  <c r="C133" i="11"/>
  <c r="G40" i="23"/>
  <c r="G39" i="23"/>
  <c r="G38" i="23"/>
  <c r="E16" i="24"/>
  <c r="D16" i="24"/>
  <c r="F16" i="24"/>
  <c r="F43" i="24"/>
  <c r="E43" i="24"/>
  <c r="D43" i="24"/>
  <c r="G43" i="24"/>
  <c r="G60" i="24"/>
  <c r="F60" i="24"/>
  <c r="E60" i="24"/>
  <c r="D60" i="24"/>
  <c r="E40" i="33"/>
  <c r="D40" i="33"/>
  <c r="E39" i="51"/>
  <c r="E5" i="65"/>
  <c r="F45" i="25"/>
  <c r="F44" i="25"/>
  <c r="F48" i="25"/>
  <c r="F46" i="25"/>
  <c r="F51" i="25"/>
  <c r="F50" i="25"/>
  <c r="F49" i="25"/>
  <c r="F47" i="25"/>
  <c r="H19" i="11"/>
  <c r="I18" i="11"/>
  <c r="I19" i="11"/>
  <c r="I20" i="11"/>
  <c r="H18" i="11"/>
  <c r="H20" i="11"/>
  <c r="F131" i="64"/>
  <c r="C130" i="64"/>
  <c r="E128" i="64"/>
  <c r="E131" i="64"/>
  <c r="B130" i="64"/>
  <c r="D128" i="64"/>
  <c r="D131" i="64"/>
  <c r="F129" i="64"/>
  <c r="C128" i="64"/>
  <c r="D132" i="64"/>
  <c r="F130" i="64"/>
  <c r="C129" i="64"/>
  <c r="C132" i="64"/>
  <c r="E130" i="64"/>
  <c r="B129" i="64"/>
  <c r="B132" i="64"/>
  <c r="C131" i="64"/>
  <c r="B131" i="64"/>
  <c r="D129" i="64"/>
  <c r="F132" i="64"/>
  <c r="F128" i="64"/>
  <c r="E132" i="64"/>
  <c r="E129" i="64"/>
  <c r="D130" i="64"/>
  <c r="B128" i="64"/>
  <c r="K95" i="24"/>
  <c r="J95" i="24"/>
  <c r="I95" i="24"/>
  <c r="F95" i="24"/>
  <c r="E95" i="24"/>
  <c r="H95" i="24"/>
  <c r="G95" i="24"/>
  <c r="F29" i="61"/>
  <c r="D14" i="33"/>
  <c r="E13" i="33"/>
  <c r="D13" i="33"/>
  <c r="E14" i="33"/>
  <c r="D45" i="33"/>
  <c r="I50" i="55"/>
  <c r="E41" i="51"/>
  <c r="E5" i="67"/>
  <c r="B24" i="64"/>
  <c r="D102" i="64"/>
  <c r="G15" i="23"/>
  <c r="G31" i="23"/>
  <c r="G49" i="23"/>
  <c r="D46" i="24"/>
  <c r="E46" i="24"/>
  <c r="G81" i="24"/>
  <c r="D81" i="24"/>
  <c r="E81" i="24"/>
  <c r="F81" i="24"/>
  <c r="F6" i="61"/>
  <c r="F25" i="61"/>
  <c r="H17" i="34"/>
  <c r="H19" i="34"/>
  <c r="H18" i="34"/>
  <c r="H39" i="34"/>
  <c r="H40" i="34"/>
  <c r="D18" i="33"/>
  <c r="E18" i="33"/>
  <c r="E30" i="51"/>
  <c r="E29" i="51"/>
  <c r="D47" i="20"/>
  <c r="C100" i="20"/>
  <c r="F38" i="56"/>
  <c r="G37" i="56"/>
  <c r="G39" i="56"/>
  <c r="G35" i="56"/>
  <c r="F35" i="56"/>
  <c r="F40" i="56"/>
  <c r="G38" i="56"/>
  <c r="F37" i="56"/>
  <c r="G36" i="56"/>
  <c r="F36" i="56"/>
  <c r="G40" i="56"/>
  <c r="F39" i="56"/>
  <c r="B147" i="21"/>
  <c r="B144" i="21"/>
  <c r="B146" i="21"/>
  <c r="B145" i="21"/>
  <c r="B86" i="57"/>
  <c r="G26" i="24"/>
  <c r="F26" i="24"/>
  <c r="D26" i="24"/>
  <c r="E26" i="24"/>
  <c r="G67" i="24"/>
  <c r="F67" i="24"/>
  <c r="E67" i="24"/>
  <c r="D67" i="24"/>
  <c r="I41" i="61"/>
  <c r="H41" i="61"/>
  <c r="H40" i="61"/>
  <c r="I40" i="61"/>
  <c r="D6" i="33"/>
  <c r="D10" i="33"/>
  <c r="D34" i="33"/>
  <c r="D33" i="33"/>
  <c r="I16" i="55"/>
  <c r="I15" i="55"/>
  <c r="I14" i="55"/>
  <c r="I24" i="55"/>
  <c r="I40" i="55"/>
  <c r="I57" i="55"/>
  <c r="K97" i="55"/>
  <c r="I97" i="55"/>
  <c r="J97" i="55"/>
  <c r="K124" i="55"/>
  <c r="K126" i="55"/>
  <c r="I124" i="55"/>
  <c r="I125" i="55"/>
  <c r="J124" i="55"/>
  <c r="K123" i="55"/>
  <c r="I126" i="55"/>
  <c r="K125" i="55"/>
  <c r="J125" i="55"/>
  <c r="J123" i="55"/>
  <c r="I123" i="55"/>
  <c r="J126" i="55"/>
  <c r="D36" i="66"/>
  <c r="D48" i="20"/>
  <c r="E5" i="29"/>
  <c r="E6" i="29"/>
  <c r="B44" i="63"/>
  <c r="D12" i="37"/>
  <c r="D11" i="37"/>
  <c r="D13" i="37"/>
  <c r="E38" i="67"/>
  <c r="G7" i="23"/>
  <c r="G26" i="23"/>
  <c r="H118" i="24"/>
  <c r="G118" i="24"/>
  <c r="I118" i="24"/>
  <c r="F16" i="61"/>
  <c r="I34" i="61"/>
  <c r="H34" i="61"/>
  <c r="I35" i="61"/>
  <c r="H35" i="61"/>
  <c r="H29" i="34"/>
  <c r="H28" i="34"/>
  <c r="H30" i="34"/>
  <c r="D37" i="33"/>
  <c r="D36" i="33"/>
  <c r="D46" i="33"/>
  <c r="J119" i="55"/>
  <c r="K118" i="55"/>
  <c r="J118" i="55"/>
  <c r="I118" i="55"/>
  <c r="K119" i="55"/>
  <c r="I119" i="55"/>
  <c r="L161" i="55"/>
  <c r="L159" i="55"/>
  <c r="L160" i="55"/>
  <c r="L158" i="55"/>
  <c r="L162" i="55"/>
  <c r="B74" i="66"/>
  <c r="C22" i="20"/>
  <c r="B87" i="20"/>
  <c r="C152" i="20"/>
  <c r="B73" i="21"/>
  <c r="B72" i="21"/>
  <c r="B71" i="21"/>
  <c r="D59" i="24"/>
  <c r="G59" i="24"/>
  <c r="F59" i="24"/>
  <c r="E59" i="24"/>
  <c r="D83" i="24"/>
  <c r="G83" i="24"/>
  <c r="F83" i="24"/>
  <c r="E83" i="24"/>
  <c r="D8" i="33"/>
  <c r="I5" i="55"/>
  <c r="I7" i="55"/>
  <c r="I6" i="55"/>
  <c r="I22" i="55"/>
  <c r="I31" i="55"/>
  <c r="I51" i="55"/>
  <c r="I96" i="55"/>
  <c r="K96" i="55"/>
  <c r="J96" i="55"/>
  <c r="I98" i="55"/>
  <c r="D5" i="66"/>
  <c r="D85" i="66"/>
  <c r="C38" i="20"/>
  <c r="B88" i="20"/>
  <c r="F185" i="20"/>
  <c r="C184" i="20"/>
  <c r="E182" i="20"/>
  <c r="B181" i="20"/>
  <c r="D179" i="20"/>
  <c r="F177" i="20"/>
  <c r="C176" i="20"/>
  <c r="E174" i="20"/>
  <c r="B173" i="20"/>
  <c r="D171" i="20"/>
  <c r="F169" i="20"/>
  <c r="C168" i="20"/>
  <c r="E166" i="20"/>
  <c r="B165" i="20"/>
  <c r="D163" i="20"/>
  <c r="F161" i="20"/>
  <c r="C160" i="20"/>
  <c r="E158" i="20"/>
  <c r="B157" i="20"/>
  <c r="F184" i="20"/>
  <c r="C183" i="20"/>
  <c r="B185" i="20"/>
  <c r="F182" i="20"/>
  <c r="F180" i="20"/>
  <c r="B179" i="20"/>
  <c r="C177" i="20"/>
  <c r="D175" i="20"/>
  <c r="E173" i="20"/>
  <c r="F171" i="20"/>
  <c r="B170" i="20"/>
  <c r="B168" i="20"/>
  <c r="C166" i="20"/>
  <c r="D164" i="20"/>
  <c r="E162" i="20"/>
  <c r="F160" i="20"/>
  <c r="B159" i="20"/>
  <c r="C157" i="20"/>
  <c r="D184" i="20"/>
  <c r="C182" i="20"/>
  <c r="D180" i="20"/>
  <c r="E178" i="20"/>
  <c r="F176" i="20"/>
  <c r="B175" i="20"/>
  <c r="C173" i="20"/>
  <c r="C171" i="20"/>
  <c r="D169" i="20"/>
  <c r="E167" i="20"/>
  <c r="F165" i="20"/>
  <c r="B164" i="20"/>
  <c r="C162" i="20"/>
  <c r="D160" i="20"/>
  <c r="D158" i="20"/>
  <c r="F183" i="20"/>
  <c r="F181" i="20"/>
  <c r="B180" i="20"/>
  <c r="C178" i="20"/>
  <c r="D176" i="20"/>
  <c r="D174" i="20"/>
  <c r="E172" i="20"/>
  <c r="F170" i="20"/>
  <c r="B169" i="20"/>
  <c r="C167" i="20"/>
  <c r="D165" i="20"/>
  <c r="E163" i="20"/>
  <c r="E161" i="20"/>
  <c r="F159" i="20"/>
  <c r="B158" i="20"/>
  <c r="E185" i="20"/>
  <c r="E183" i="20"/>
  <c r="E181" i="20"/>
  <c r="F179" i="20"/>
  <c r="B178" i="20"/>
  <c r="B176" i="20"/>
  <c r="C174" i="20"/>
  <c r="D172" i="20"/>
  <c r="E170" i="20"/>
  <c r="F168" i="20"/>
  <c r="B167" i="20"/>
  <c r="C165" i="20"/>
  <c r="C163" i="20"/>
  <c r="D161" i="20"/>
  <c r="E159" i="20"/>
  <c r="F157" i="20"/>
  <c r="D185" i="20"/>
  <c r="D183" i="20"/>
  <c r="D181" i="20"/>
  <c r="E179" i="20"/>
  <c r="E177" i="20"/>
  <c r="F175" i="20"/>
  <c r="B174" i="20"/>
  <c r="C172" i="20"/>
  <c r="D170" i="20"/>
  <c r="E168" i="20"/>
  <c r="F166" i="20"/>
  <c r="F164" i="20"/>
  <c r="B163" i="20"/>
  <c r="C161" i="20"/>
  <c r="D159" i="20"/>
  <c r="E157" i="20"/>
  <c r="B182" i="20"/>
  <c r="B177" i="20"/>
  <c r="B172" i="20"/>
  <c r="D167" i="20"/>
  <c r="D162" i="20"/>
  <c r="D157" i="20"/>
  <c r="C181" i="20"/>
  <c r="E176" i="20"/>
  <c r="E171" i="20"/>
  <c r="D166" i="20"/>
  <c r="B162" i="20"/>
  <c r="E180" i="20"/>
  <c r="E175" i="20"/>
  <c r="B171" i="20"/>
  <c r="B166" i="20"/>
  <c r="B161" i="20"/>
  <c r="B184" i="20"/>
  <c r="F178" i="20"/>
  <c r="F173" i="20"/>
  <c r="C169" i="20"/>
  <c r="C164" i="20"/>
  <c r="C159" i="20"/>
  <c r="B183" i="20"/>
  <c r="D178" i="20"/>
  <c r="D173" i="20"/>
  <c r="D168" i="20"/>
  <c r="F163" i="20"/>
  <c r="F158" i="20"/>
  <c r="C179" i="20"/>
  <c r="E165" i="20"/>
  <c r="D177" i="20"/>
  <c r="E164" i="20"/>
  <c r="C175" i="20"/>
  <c r="F162" i="20"/>
  <c r="E184" i="20"/>
  <c r="C170" i="20"/>
  <c r="C158" i="20"/>
  <c r="D182" i="20"/>
  <c r="E169" i="20"/>
  <c r="C180" i="20"/>
  <c r="F167" i="20"/>
  <c r="E160" i="20"/>
  <c r="C185" i="20"/>
  <c r="F174" i="20"/>
  <c r="F172" i="20"/>
  <c r="B160" i="20"/>
  <c r="E56" i="67"/>
  <c r="G11" i="23"/>
  <c r="G28" i="23"/>
  <c r="G45" i="23"/>
  <c r="F10" i="24"/>
  <c r="E10" i="24"/>
  <c r="D10" i="24"/>
  <c r="F38" i="24"/>
  <c r="E38" i="24"/>
  <c r="G38" i="24"/>
  <c r="D38" i="24"/>
  <c r="F74" i="24"/>
  <c r="E74" i="24"/>
  <c r="G74" i="24"/>
  <c r="D74" i="24"/>
  <c r="F20" i="61"/>
  <c r="H5" i="34"/>
  <c r="E26" i="33"/>
  <c r="D26" i="33"/>
  <c r="D51" i="33"/>
  <c r="D50" i="33"/>
  <c r="D49" i="33"/>
  <c r="I87" i="55"/>
  <c r="I86" i="55"/>
  <c r="I85" i="55"/>
  <c r="K105" i="55"/>
  <c r="J105" i="55"/>
  <c r="I105" i="55"/>
  <c r="D17" i="66"/>
  <c r="D16" i="66"/>
  <c r="F85" i="66"/>
  <c r="D44" i="20"/>
  <c r="D58" i="20"/>
  <c r="E78" i="25"/>
  <c r="E70" i="25"/>
  <c r="E77" i="25"/>
  <c r="E69" i="25"/>
  <c r="E73" i="25"/>
  <c r="E74" i="25"/>
  <c r="E71" i="25"/>
  <c r="E76" i="25"/>
  <c r="E75" i="25"/>
  <c r="E72" i="25"/>
  <c r="B26" i="21"/>
  <c r="B114" i="21"/>
  <c r="B113" i="21"/>
  <c r="B112" i="21"/>
  <c r="I167" i="55"/>
  <c r="D54" i="20"/>
  <c r="D76" i="20"/>
  <c r="C109" i="20"/>
  <c r="F35" i="25"/>
  <c r="F34" i="25"/>
  <c r="F38" i="25"/>
  <c r="F40" i="25"/>
  <c r="F37" i="25"/>
  <c r="F36" i="25"/>
  <c r="F39" i="25"/>
  <c r="H93" i="25"/>
  <c r="F91" i="25"/>
  <c r="G93" i="25"/>
  <c r="H90" i="25"/>
  <c r="F92" i="25"/>
  <c r="H92" i="25"/>
  <c r="H91" i="25"/>
  <c r="G90" i="25"/>
  <c r="F90" i="25"/>
  <c r="F93" i="25"/>
  <c r="G92" i="25"/>
  <c r="G91" i="25"/>
  <c r="F6" i="56"/>
  <c r="B94" i="21"/>
  <c r="B93" i="21"/>
  <c r="B92" i="21"/>
  <c r="D11" i="30"/>
  <c r="C26" i="7"/>
  <c r="C57" i="9"/>
  <c r="I189" i="55"/>
  <c r="E17" i="51"/>
  <c r="E18" i="51"/>
  <c r="D5" i="36"/>
  <c r="E85" i="66"/>
  <c r="C18" i="20"/>
  <c r="D45" i="20"/>
  <c r="D49" i="20"/>
  <c r="D68" i="20"/>
  <c r="C145" i="20"/>
  <c r="F75" i="25"/>
  <c r="F74" i="25"/>
  <c r="F78" i="25"/>
  <c r="F70" i="25"/>
  <c r="F76" i="25"/>
  <c r="F72" i="25"/>
  <c r="F69" i="25"/>
  <c r="F71" i="25"/>
  <c r="F77" i="25"/>
  <c r="F73" i="25"/>
  <c r="I17" i="59"/>
  <c r="D47" i="57"/>
  <c r="I180" i="55"/>
  <c r="E35" i="51"/>
  <c r="E34" i="51"/>
  <c r="D56" i="20"/>
  <c r="C118" i="20"/>
  <c r="F7" i="25"/>
  <c r="F10" i="25"/>
  <c r="F8" i="25"/>
  <c r="F9" i="25"/>
  <c r="F6" i="25"/>
  <c r="F25" i="25"/>
  <c r="F24" i="25"/>
  <c r="F28" i="25"/>
  <c r="F29" i="25"/>
  <c r="F26" i="25"/>
  <c r="F30" i="25"/>
  <c r="F27" i="25"/>
  <c r="F23" i="25"/>
  <c r="I6" i="59"/>
  <c r="J20" i="59"/>
  <c r="C34" i="59"/>
  <c r="B56" i="21"/>
  <c r="B57" i="21"/>
  <c r="B55" i="21"/>
  <c r="B41" i="30"/>
  <c r="D83" i="57"/>
  <c r="I159" i="55"/>
  <c r="I162" i="55"/>
  <c r="I158" i="55"/>
  <c r="I161" i="55"/>
  <c r="I160" i="55"/>
  <c r="I184" i="55"/>
  <c r="I186" i="55"/>
  <c r="I183" i="55"/>
  <c r="I185" i="55"/>
  <c r="E24" i="51"/>
  <c r="E23" i="51"/>
  <c r="D73" i="20"/>
  <c r="D93" i="20"/>
  <c r="D92" i="20"/>
  <c r="C127" i="20"/>
  <c r="C189" i="45"/>
  <c r="K109" i="55"/>
  <c r="J109" i="55"/>
  <c r="I109" i="55"/>
  <c r="E13" i="51"/>
  <c r="E12" i="51"/>
  <c r="D53" i="20"/>
  <c r="D75" i="20"/>
  <c r="C136" i="20"/>
  <c r="B71" i="25"/>
  <c r="B78" i="25"/>
  <c r="B70" i="25"/>
  <c r="B74" i="25"/>
  <c r="B77" i="25"/>
  <c r="B75" i="25"/>
  <c r="B73" i="25"/>
  <c r="B72" i="25"/>
  <c r="B76" i="25"/>
  <c r="B69" i="25"/>
  <c r="F62" i="56"/>
  <c r="G59" i="56"/>
  <c r="E57" i="56"/>
  <c r="E62" i="56"/>
  <c r="F59" i="56"/>
  <c r="G56" i="56"/>
  <c r="G61" i="56"/>
  <c r="E59" i="56"/>
  <c r="F56" i="56"/>
  <c r="G60" i="56"/>
  <c r="E58" i="56"/>
  <c r="F55" i="56"/>
  <c r="E60" i="56"/>
  <c r="F58" i="56"/>
  <c r="G62" i="56"/>
  <c r="F57" i="56"/>
  <c r="F61" i="56"/>
  <c r="E56" i="56"/>
  <c r="E61" i="56"/>
  <c r="G55" i="56"/>
  <c r="G58" i="56"/>
  <c r="G57" i="56"/>
  <c r="F60" i="56"/>
  <c r="E55" i="56"/>
  <c r="E64" i="29"/>
  <c r="E200" i="29"/>
  <c r="I11" i="59"/>
  <c r="J25" i="59"/>
  <c r="D73" i="25"/>
  <c r="D72" i="25"/>
  <c r="D76" i="25"/>
  <c r="D71" i="25"/>
  <c r="D69" i="25"/>
  <c r="D78" i="25"/>
  <c r="D77" i="25"/>
  <c r="D75" i="25"/>
  <c r="D74" i="25"/>
  <c r="D70" i="25"/>
  <c r="F13" i="56"/>
  <c r="B123" i="29"/>
  <c r="B115" i="29"/>
  <c r="B107" i="29"/>
  <c r="B99" i="29"/>
  <c r="B91" i="29"/>
  <c r="B83" i="29"/>
  <c r="B75" i="29"/>
  <c r="B122" i="29"/>
  <c r="B114" i="29"/>
  <c r="B106" i="29"/>
  <c r="B98" i="29"/>
  <c r="B90" i="29"/>
  <c r="B82" i="29"/>
  <c r="B74" i="29"/>
  <c r="B121" i="29"/>
  <c r="B113" i="29"/>
  <c r="B105" i="29"/>
  <c r="B97" i="29"/>
  <c r="B89" i="29"/>
  <c r="B81" i="29"/>
  <c r="B73" i="29"/>
  <c r="B126" i="29"/>
  <c r="B118" i="29"/>
  <c r="B110" i="29"/>
  <c r="B102" i="29"/>
  <c r="B94" i="29"/>
  <c r="B86" i="29"/>
  <c r="B78" i="29"/>
  <c r="B116" i="29"/>
  <c r="B100" i="29"/>
  <c r="B84" i="29"/>
  <c r="B127" i="29"/>
  <c r="B111" i="29"/>
  <c r="B95" i="29"/>
  <c r="B79" i="29"/>
  <c r="B124" i="29"/>
  <c r="B108" i="29"/>
  <c r="B92" i="29"/>
  <c r="B76" i="29"/>
  <c r="B120" i="29"/>
  <c r="B104" i="29"/>
  <c r="B88" i="29"/>
  <c r="B72" i="29"/>
  <c r="B119" i="29"/>
  <c r="B103" i="29"/>
  <c r="B87" i="29"/>
  <c r="B71" i="29"/>
  <c r="B128" i="29"/>
  <c r="B85" i="29"/>
  <c r="B125" i="29"/>
  <c r="B80" i="29"/>
  <c r="B117" i="29"/>
  <c r="B77" i="29"/>
  <c r="B101" i="29"/>
  <c r="B96" i="29"/>
  <c r="B109" i="29"/>
  <c r="B93" i="29"/>
  <c r="B112" i="29"/>
  <c r="I7" i="59"/>
  <c r="I13" i="59"/>
  <c r="J21" i="59"/>
  <c r="C29" i="59"/>
  <c r="B37" i="59"/>
  <c r="D8" i="30"/>
  <c r="D56" i="30"/>
  <c r="B73" i="30"/>
  <c r="D110" i="30"/>
  <c r="D182" i="30"/>
  <c r="E40" i="46"/>
  <c r="C16" i="7"/>
  <c r="E26" i="38"/>
  <c r="J82" i="49"/>
  <c r="E5" i="62"/>
  <c r="E125" i="47"/>
  <c r="G50" i="56"/>
  <c r="E48" i="56"/>
  <c r="F45" i="56"/>
  <c r="F50" i="56"/>
  <c r="G47" i="56"/>
  <c r="E45" i="56"/>
  <c r="E50" i="56"/>
  <c r="F47" i="56"/>
  <c r="E49" i="56"/>
  <c r="F46" i="56"/>
  <c r="G45" i="56"/>
  <c r="F49" i="56"/>
  <c r="F48" i="56"/>
  <c r="E47" i="56"/>
  <c r="G46" i="56"/>
  <c r="G49" i="56"/>
  <c r="G48" i="56"/>
  <c r="E46" i="56"/>
  <c r="E145" i="29"/>
  <c r="B138" i="21"/>
  <c r="B137" i="21"/>
  <c r="B136" i="21"/>
  <c r="D24" i="30"/>
  <c r="D103" i="57"/>
  <c r="C52" i="7"/>
  <c r="G7" i="53"/>
  <c r="E21" i="62"/>
  <c r="F14" i="25"/>
  <c r="F17" i="25"/>
  <c r="F18" i="25"/>
  <c r="F16" i="25"/>
  <c r="F15" i="25"/>
  <c r="F57" i="25"/>
  <c r="F60" i="25"/>
  <c r="F59" i="25"/>
  <c r="F61" i="25"/>
  <c r="F58" i="25"/>
  <c r="F27" i="56"/>
  <c r="E57" i="29"/>
  <c r="E194" i="29"/>
  <c r="J5" i="59"/>
  <c r="I10" i="59"/>
  <c r="J17" i="59"/>
  <c r="J23" i="59"/>
  <c r="C33" i="59"/>
  <c r="B29" i="21"/>
  <c r="D161" i="21"/>
  <c r="G161" i="21"/>
  <c r="D160" i="21"/>
  <c r="H158" i="21"/>
  <c r="F157" i="21"/>
  <c r="D156" i="21"/>
  <c r="F161" i="21"/>
  <c r="C160" i="21"/>
  <c r="G158" i="21"/>
  <c r="E157" i="21"/>
  <c r="C156" i="21"/>
  <c r="E161" i="21"/>
  <c r="H159" i="21"/>
  <c r="F158" i="21"/>
  <c r="D157" i="21"/>
  <c r="C161" i="21"/>
  <c r="G159" i="21"/>
  <c r="E158" i="21"/>
  <c r="C157" i="21"/>
  <c r="F160" i="21"/>
  <c r="D159" i="21"/>
  <c r="H157" i="21"/>
  <c r="F156" i="21"/>
  <c r="H161" i="21"/>
  <c r="C158" i="21"/>
  <c r="G160" i="21"/>
  <c r="H156" i="21"/>
  <c r="F159" i="21"/>
  <c r="E156" i="21"/>
  <c r="E159" i="21"/>
  <c r="C159" i="21"/>
  <c r="H160" i="21"/>
  <c r="E160" i="21"/>
  <c r="G156" i="21"/>
  <c r="D158" i="21"/>
  <c r="G157" i="21"/>
  <c r="D46" i="30"/>
  <c r="B63" i="30"/>
  <c r="G104" i="30"/>
  <c r="D208" i="30"/>
  <c r="F27" i="9"/>
  <c r="C4" i="13"/>
  <c r="D51" i="20"/>
  <c r="D57" i="20"/>
  <c r="D72" i="20"/>
  <c r="D83" i="20"/>
  <c r="D81" i="20"/>
  <c r="D82" i="20"/>
  <c r="C76" i="25"/>
  <c r="C75" i="25"/>
  <c r="C71" i="25"/>
  <c r="C70" i="25"/>
  <c r="C77" i="25"/>
  <c r="C74" i="25"/>
  <c r="C73" i="25"/>
  <c r="C69" i="25"/>
  <c r="C78" i="25"/>
  <c r="C72" i="25"/>
  <c r="E150" i="29"/>
  <c r="D30" i="30"/>
  <c r="D25" i="57"/>
  <c r="B154" i="57"/>
  <c r="H152" i="57"/>
  <c r="G151" i="57"/>
  <c r="F150" i="57"/>
  <c r="E149" i="57"/>
  <c r="D148" i="57"/>
  <c r="C147" i="57"/>
  <c r="B146" i="57"/>
  <c r="H154" i="57"/>
  <c r="G153" i="57"/>
  <c r="F152" i="57"/>
  <c r="E151" i="57"/>
  <c r="D150" i="57"/>
  <c r="C149" i="57"/>
  <c r="B148" i="57"/>
  <c r="H146" i="57"/>
  <c r="G154" i="57"/>
  <c r="F153" i="57"/>
  <c r="E152" i="57"/>
  <c r="D151" i="57"/>
  <c r="C150" i="57"/>
  <c r="B149" i="57"/>
  <c r="H147" i="57"/>
  <c r="G146" i="57"/>
  <c r="D154" i="57"/>
  <c r="C153" i="57"/>
  <c r="B152" i="57"/>
  <c r="H150" i="57"/>
  <c r="G149" i="57"/>
  <c r="F148" i="57"/>
  <c r="E147" i="57"/>
  <c r="D146" i="57"/>
  <c r="B153" i="57"/>
  <c r="G150" i="57"/>
  <c r="E148" i="57"/>
  <c r="C146" i="57"/>
  <c r="G152" i="57"/>
  <c r="E150" i="57"/>
  <c r="C148" i="57"/>
  <c r="F154" i="57"/>
  <c r="D152" i="57"/>
  <c r="B150" i="57"/>
  <c r="G147" i="57"/>
  <c r="E154" i="57"/>
  <c r="C152" i="57"/>
  <c r="H149" i="57"/>
  <c r="F147" i="57"/>
  <c r="E153" i="57"/>
  <c r="C151" i="57"/>
  <c r="H148" i="57"/>
  <c r="F146" i="57"/>
  <c r="H153" i="57"/>
  <c r="D147" i="57"/>
  <c r="H151" i="57"/>
  <c r="E146" i="57"/>
  <c r="B151" i="57"/>
  <c r="F149" i="57"/>
  <c r="D149" i="57"/>
  <c r="C154" i="57"/>
  <c r="D153" i="57"/>
  <c r="B147" i="57"/>
  <c r="F151" i="57"/>
  <c r="G148" i="57"/>
  <c r="B82" i="21"/>
  <c r="B81" i="21"/>
  <c r="B83" i="21"/>
  <c r="B97" i="21"/>
  <c r="B98" i="21"/>
  <c r="B96" i="21"/>
  <c r="B123" i="21"/>
  <c r="B125" i="21"/>
  <c r="B122" i="21"/>
  <c r="B124" i="21"/>
  <c r="D50" i="30"/>
  <c r="B28" i="57"/>
  <c r="B11" i="63"/>
  <c r="E149" i="60"/>
  <c r="C71" i="13"/>
  <c r="D62" i="30"/>
  <c r="D171" i="30"/>
  <c r="D198" i="30"/>
  <c r="C114" i="7"/>
  <c r="E50" i="46"/>
  <c r="M28" i="39"/>
  <c r="F44" i="9"/>
  <c r="C82" i="9"/>
  <c r="B82" i="9"/>
  <c r="F127" i="9"/>
  <c r="E138" i="60"/>
  <c r="G236" i="60"/>
  <c r="D65" i="13"/>
  <c r="B63" i="13"/>
  <c r="C65" i="13"/>
  <c r="D62" i="13"/>
  <c r="B65" i="13"/>
  <c r="C62" i="13"/>
  <c r="D63" i="13"/>
  <c r="D64" i="13"/>
  <c r="C64" i="13"/>
  <c r="B64" i="13"/>
  <c r="C63" i="13"/>
  <c r="B62" i="13"/>
  <c r="C8" i="13"/>
  <c r="E302" i="60"/>
  <c r="C301" i="60"/>
  <c r="G299" i="60"/>
  <c r="E298" i="60"/>
  <c r="D302" i="60"/>
  <c r="B301" i="60"/>
  <c r="F299" i="60"/>
  <c r="D298" i="60"/>
  <c r="F301" i="60"/>
  <c r="D300" i="60"/>
  <c r="B299" i="60"/>
  <c r="G300" i="60"/>
  <c r="G298" i="60"/>
  <c r="G302" i="60"/>
  <c r="F300" i="60"/>
  <c r="F298" i="60"/>
  <c r="F302" i="60"/>
  <c r="E300" i="60"/>
  <c r="C298" i="60"/>
  <c r="C302" i="60"/>
  <c r="C300" i="60"/>
  <c r="B298" i="60"/>
  <c r="B302" i="60"/>
  <c r="B300" i="60"/>
  <c r="G301" i="60"/>
  <c r="E299" i="60"/>
  <c r="E301" i="60"/>
  <c r="D299" i="60"/>
  <c r="D301" i="60"/>
  <c r="C299" i="60"/>
  <c r="B8" i="57"/>
  <c r="B53" i="57"/>
  <c r="D121" i="57"/>
  <c r="B25" i="63"/>
  <c r="D77" i="63"/>
  <c r="D75" i="63"/>
  <c r="B77" i="63"/>
  <c r="B75" i="63"/>
  <c r="E78" i="63"/>
  <c r="E76" i="63"/>
  <c r="B78" i="63"/>
  <c r="B76" i="63"/>
  <c r="E75" i="63"/>
  <c r="C75" i="63"/>
  <c r="D78" i="63"/>
  <c r="C78" i="63"/>
  <c r="C77" i="63"/>
  <c r="D76" i="63"/>
  <c r="E77" i="63"/>
  <c r="C76" i="63"/>
  <c r="H5" i="19"/>
  <c r="F68" i="9"/>
  <c r="C154" i="60"/>
  <c r="B88" i="13"/>
  <c r="D59" i="30"/>
  <c r="B64" i="30"/>
  <c r="D78" i="30"/>
  <c r="G105" i="30"/>
  <c r="D113" i="30"/>
  <c r="D188" i="30"/>
  <c r="D217" i="30"/>
  <c r="L88" i="63"/>
  <c r="D88" i="63"/>
  <c r="G87" i="63"/>
  <c r="J86" i="63"/>
  <c r="B86" i="63"/>
  <c r="E85" i="63"/>
  <c r="H84" i="63"/>
  <c r="G88" i="63"/>
  <c r="I87" i="63"/>
  <c r="K86" i="63"/>
  <c r="L85" i="63"/>
  <c r="C85" i="63"/>
  <c r="E84" i="63"/>
  <c r="H83" i="63"/>
  <c r="K82" i="63"/>
  <c r="C82" i="63"/>
  <c r="E88" i="63"/>
  <c r="F87" i="63"/>
  <c r="H86" i="63"/>
  <c r="J85" i="63"/>
  <c r="L84" i="63"/>
  <c r="C84" i="63"/>
  <c r="F83" i="63"/>
  <c r="I82" i="63"/>
  <c r="C88" i="63"/>
  <c r="E87" i="63"/>
  <c r="G86" i="63"/>
  <c r="I85" i="63"/>
  <c r="K84" i="63"/>
  <c r="B84" i="63"/>
  <c r="E83" i="63"/>
  <c r="H82" i="63"/>
  <c r="I88" i="63"/>
  <c r="K87" i="63"/>
  <c r="B87" i="63"/>
  <c r="D86" i="63"/>
  <c r="F85" i="63"/>
  <c r="G84" i="63"/>
  <c r="J83" i="63"/>
  <c r="B83" i="63"/>
  <c r="E82" i="63"/>
  <c r="H88" i="63"/>
  <c r="L86" i="63"/>
  <c r="D85" i="63"/>
  <c r="I83" i="63"/>
  <c r="D82" i="63"/>
  <c r="F88" i="63"/>
  <c r="I86" i="63"/>
  <c r="B85" i="63"/>
  <c r="G83" i="63"/>
  <c r="B82" i="63"/>
  <c r="B88" i="63"/>
  <c r="F86" i="63"/>
  <c r="J84" i="63"/>
  <c r="D83" i="63"/>
  <c r="L87" i="63"/>
  <c r="E86" i="63"/>
  <c r="I84" i="63"/>
  <c r="C83" i="63"/>
  <c r="H87" i="63"/>
  <c r="K85" i="63"/>
  <c r="D84" i="63"/>
  <c r="J82" i="63"/>
  <c r="K88" i="63"/>
  <c r="D87" i="63"/>
  <c r="H85" i="63"/>
  <c r="L83" i="63"/>
  <c r="G82" i="63"/>
  <c r="J87" i="63"/>
  <c r="C86" i="63"/>
  <c r="F84" i="63"/>
  <c r="K83" i="63"/>
  <c r="L82" i="63"/>
  <c r="C87" i="63"/>
  <c r="G85" i="63"/>
  <c r="F82" i="63"/>
  <c r="J88" i="63"/>
  <c r="C85" i="7"/>
  <c r="E61" i="46"/>
  <c r="G53" i="53"/>
  <c r="E16" i="60"/>
  <c r="C12" i="13"/>
  <c r="C10" i="7"/>
  <c r="C4" i="16"/>
  <c r="E117" i="47"/>
  <c r="F72" i="9"/>
  <c r="E72" i="9"/>
  <c r="B87" i="9"/>
  <c r="C87" i="9"/>
  <c r="D168" i="30"/>
  <c r="D195" i="30"/>
  <c r="B245" i="30"/>
  <c r="C242" i="30"/>
  <c r="D239" i="30"/>
  <c r="B237" i="30"/>
  <c r="C234" i="30"/>
  <c r="C244" i="30"/>
  <c r="D241" i="30"/>
  <c r="B239" i="30"/>
  <c r="C236" i="30"/>
  <c r="D233" i="30"/>
  <c r="B244" i="30"/>
  <c r="C241" i="30"/>
  <c r="D238" i="30"/>
  <c r="B236" i="30"/>
  <c r="C233" i="30"/>
  <c r="D245" i="30"/>
  <c r="B243" i="30"/>
  <c r="C240" i="30"/>
  <c r="D237" i="30"/>
  <c r="B235" i="30"/>
  <c r="C232" i="30"/>
  <c r="D242" i="30"/>
  <c r="C237" i="30"/>
  <c r="B232" i="30"/>
  <c r="B242" i="30"/>
  <c r="D236" i="30"/>
  <c r="B241" i="30"/>
  <c r="D235" i="30"/>
  <c r="D240" i="30"/>
  <c r="C235" i="30"/>
  <c r="D243" i="30"/>
  <c r="C238" i="30"/>
  <c r="B233" i="30"/>
  <c r="C243" i="30"/>
  <c r="C239" i="30"/>
  <c r="D234" i="30"/>
  <c r="B234" i="30"/>
  <c r="C245" i="30"/>
  <c r="D232" i="30"/>
  <c r="B240" i="30"/>
  <c r="B238" i="30"/>
  <c r="D244" i="30"/>
  <c r="C112" i="7"/>
  <c r="F74" i="9"/>
  <c r="E74" i="9"/>
  <c r="C68" i="13"/>
  <c r="E5" i="38"/>
  <c r="E22" i="62"/>
  <c r="C25" i="47"/>
  <c r="F10" i="9"/>
  <c r="G250" i="60"/>
  <c r="G267" i="60"/>
  <c r="C10" i="13"/>
  <c r="C40" i="13"/>
  <c r="B82" i="13"/>
  <c r="C81" i="13"/>
  <c r="B81" i="13"/>
  <c r="B83" i="13"/>
  <c r="C83" i="13"/>
  <c r="C82" i="13"/>
  <c r="C18" i="16"/>
  <c r="C10" i="16"/>
  <c r="C17" i="16"/>
  <c r="C13" i="16"/>
  <c r="C20" i="16"/>
  <c r="C19" i="16"/>
  <c r="C16" i="16"/>
  <c r="C12" i="16"/>
  <c r="C15" i="16"/>
  <c r="C14" i="16"/>
  <c r="C11" i="16"/>
  <c r="E124" i="47"/>
  <c r="B84" i="9"/>
  <c r="C85" i="9"/>
  <c r="B85" i="9"/>
  <c r="C84" i="9"/>
  <c r="E103" i="9"/>
  <c r="F104" i="9"/>
  <c r="F105" i="9"/>
  <c r="F103" i="9"/>
  <c r="E105" i="9"/>
  <c r="E104" i="9"/>
  <c r="B131" i="9"/>
  <c r="C131" i="9"/>
  <c r="P295" i="60"/>
  <c r="H295" i="60"/>
  <c r="R294" i="60"/>
  <c r="J294" i="60"/>
  <c r="B294" i="60"/>
  <c r="L293" i="60"/>
  <c r="D293" i="60"/>
  <c r="N292" i="60"/>
  <c r="F292" i="60"/>
  <c r="P291" i="60"/>
  <c r="H291" i="60"/>
  <c r="R290" i="60"/>
  <c r="J290" i="60"/>
  <c r="B290" i="60"/>
  <c r="L289" i="60"/>
  <c r="D289" i="60"/>
  <c r="N288" i="60"/>
  <c r="F288" i="60"/>
  <c r="P287" i="60"/>
  <c r="H287" i="60"/>
  <c r="R286" i="60"/>
  <c r="J286" i="60"/>
  <c r="B286" i="60"/>
  <c r="O295" i="60"/>
  <c r="G295" i="60"/>
  <c r="Q294" i="60"/>
  <c r="I294" i="60"/>
  <c r="S293" i="60"/>
  <c r="K293" i="60"/>
  <c r="C293" i="60"/>
  <c r="M292" i="60"/>
  <c r="E292" i="60"/>
  <c r="O291" i="60"/>
  <c r="G291" i="60"/>
  <c r="Q290" i="60"/>
  <c r="I290" i="60"/>
  <c r="S289" i="60"/>
  <c r="K289" i="60"/>
  <c r="C289" i="60"/>
  <c r="M288" i="60"/>
  <c r="E288" i="60"/>
  <c r="O287" i="60"/>
  <c r="G287" i="60"/>
  <c r="Q286" i="60"/>
  <c r="I286" i="60"/>
  <c r="S295" i="60"/>
  <c r="K295" i="60"/>
  <c r="C295" i="60"/>
  <c r="M294" i="60"/>
  <c r="E294" i="60"/>
  <c r="O293" i="60"/>
  <c r="G293" i="60"/>
  <c r="Q292" i="60"/>
  <c r="I292" i="60"/>
  <c r="S291" i="60"/>
  <c r="K291" i="60"/>
  <c r="C291" i="60"/>
  <c r="M290" i="60"/>
  <c r="E290" i="60"/>
  <c r="O289" i="60"/>
  <c r="G289" i="60"/>
  <c r="Q288" i="60"/>
  <c r="I288" i="60"/>
  <c r="S287" i="60"/>
  <c r="K287" i="60"/>
  <c r="C287" i="60"/>
  <c r="M286" i="60"/>
  <c r="E286" i="60"/>
  <c r="M295" i="60"/>
  <c r="S294" i="60"/>
  <c r="F294" i="60"/>
  <c r="J293" i="60"/>
  <c r="P292" i="60"/>
  <c r="C292" i="60"/>
  <c r="I291" i="60"/>
  <c r="N290" i="60"/>
  <c r="R289" i="60"/>
  <c r="F289" i="60"/>
  <c r="K288" i="60"/>
  <c r="Q287" i="60"/>
  <c r="D287" i="60"/>
  <c r="H286" i="60"/>
  <c r="L295" i="60"/>
  <c r="P294" i="60"/>
  <c r="D294" i="60"/>
  <c r="I293" i="60"/>
  <c r="O292" i="60"/>
  <c r="B292" i="60"/>
  <c r="F291" i="60"/>
  <c r="L290" i="60"/>
  <c r="Q289" i="60"/>
  <c r="E289" i="60"/>
  <c r="J288" i="60"/>
  <c r="N287" i="60"/>
  <c r="B287" i="60"/>
  <c r="G286" i="60"/>
  <c r="J295" i="60"/>
  <c r="O294" i="60"/>
  <c r="C294" i="60"/>
  <c r="H293" i="60"/>
  <c r="L292" i="60"/>
  <c r="R291" i="60"/>
  <c r="E291" i="60"/>
  <c r="K290" i="60"/>
  <c r="P289" i="60"/>
  <c r="B289" i="60"/>
  <c r="H288" i="60"/>
  <c r="M287" i="60"/>
  <c r="S286" i="60"/>
  <c r="F286" i="60"/>
  <c r="I295" i="60"/>
  <c r="N294" i="60"/>
  <c r="R293" i="60"/>
  <c r="F293" i="60"/>
  <c r="K292" i="60"/>
  <c r="Q291" i="60"/>
  <c r="D291" i="60"/>
  <c r="H290" i="60"/>
  <c r="N289" i="60"/>
  <c r="S288" i="60"/>
  <c r="G288" i="60"/>
  <c r="L287" i="60"/>
  <c r="P286" i="60"/>
  <c r="D286" i="60"/>
  <c r="F295" i="60"/>
  <c r="L294" i="60"/>
  <c r="Q293" i="60"/>
  <c r="E293" i="60"/>
  <c r="J292" i="60"/>
  <c r="N291" i="60"/>
  <c r="B291" i="60"/>
  <c r="G290" i="60"/>
  <c r="M289" i="60"/>
  <c r="R288" i="60"/>
  <c r="D288" i="60"/>
  <c r="J287" i="60"/>
  <c r="O286" i="60"/>
  <c r="C286" i="60"/>
  <c r="R295" i="60"/>
  <c r="E295" i="60"/>
  <c r="K294" i="60"/>
  <c r="P293" i="60"/>
  <c r="B293" i="60"/>
  <c r="H292" i="60"/>
  <c r="M291" i="60"/>
  <c r="S290" i="60"/>
  <c r="F290" i="60"/>
  <c r="J289" i="60"/>
  <c r="P288" i="60"/>
  <c r="C288" i="60"/>
  <c r="I287" i="60"/>
  <c r="N286" i="60"/>
  <c r="Q295" i="60"/>
  <c r="D295" i="60"/>
  <c r="H294" i="60"/>
  <c r="N293" i="60"/>
  <c r="S292" i="60"/>
  <c r="G292" i="60"/>
  <c r="L291" i="60"/>
  <c r="P290" i="60"/>
  <c r="D290" i="60"/>
  <c r="I289" i="60"/>
  <c r="O288" i="60"/>
  <c r="B288" i="60"/>
  <c r="F287" i="60"/>
  <c r="L286" i="60"/>
  <c r="M293" i="60"/>
  <c r="R287" i="60"/>
  <c r="R292" i="60"/>
  <c r="E287" i="60"/>
  <c r="D292" i="60"/>
  <c r="K286" i="60"/>
  <c r="J291" i="60"/>
  <c r="O290" i="60"/>
  <c r="N295" i="60"/>
  <c r="C290" i="60"/>
  <c r="B295" i="60"/>
  <c r="H289" i="60"/>
  <c r="G294" i="60"/>
  <c r="L288" i="60"/>
  <c r="C19" i="13"/>
  <c r="C95" i="13"/>
  <c r="B95" i="13"/>
  <c r="C98" i="13"/>
  <c r="B98" i="13"/>
  <c r="C96" i="13"/>
  <c r="C97" i="13"/>
  <c r="B97" i="13"/>
  <c r="B96" i="13"/>
  <c r="M36" i="39"/>
  <c r="F48" i="9"/>
  <c r="C38" i="13"/>
  <c r="C272" i="58"/>
  <c r="E155" i="60" a="1"/>
  <c r="G142" i="18" a="1"/>
  <c r="H295" i="58" a="1"/>
  <c r="E12" i="65" a="1"/>
  <c r="H339" i="58" a="1"/>
  <c r="H321" i="58" a="1"/>
  <c r="F214" i="1" a="1"/>
  <c r="H331" i="58" a="1"/>
  <c r="H269" i="58" a="1"/>
  <c r="H313" i="58" a="1"/>
  <c r="H287" i="58" a="1"/>
  <c r="D12" i="36" a="1"/>
  <c r="M261" i="26" a="1"/>
  <c r="B369" i="1" a="1"/>
  <c r="H303" i="58" a="1"/>
  <c r="B136" i="11" a="1"/>
  <c r="B98" i="10" a="1"/>
  <c r="E74" i="66" a="1"/>
  <c r="D74" i="66" a="1"/>
  <c r="E48" i="35" a="1"/>
  <c r="B77" i="10" a="1"/>
  <c r="C81" i="49" a="1"/>
  <c r="B93" i="10" a="1"/>
  <c r="C139" i="10" a="1"/>
  <c r="D5" i="57" a="1"/>
  <c r="D34" i="30" a="1"/>
  <c r="E78" i="66" a="1"/>
  <c r="E8" i="35" a="1"/>
  <c r="D24" i="64" a="1"/>
  <c r="C141" i="10" a="1"/>
  <c r="B15" i="10" a="1"/>
  <c r="H186" i="18" a="1"/>
  <c r="D69" i="30" a="1"/>
  <c r="M45" i="39"/>
  <c r="D116" i="30" a="1"/>
  <c r="F35" i="1" a="1"/>
  <c r="D78" i="66" a="1"/>
  <c r="F74" i="66" a="1"/>
  <c r="F61" i="31" a="1"/>
  <c r="B115" i="10" a="1"/>
  <c r="L87" i="15" a="1"/>
  <c r="D82" i="66" a="1"/>
  <c r="E82" i="66" a="1"/>
  <c r="E30" i="9" a="1"/>
  <c r="C136" i="10" a="1"/>
  <c r="B82" i="10" a="1"/>
  <c r="M39" i="39" a="1"/>
  <c r="F78" i="66" a="1"/>
  <c r="D89" i="20" a="1"/>
  <c r="E25" i="35" a="1"/>
  <c r="D88" i="20" a="1"/>
  <c r="F82" i="66" a="1"/>
  <c r="AA4" i="2" a="1"/>
  <c r="M29" i="39" a="1"/>
  <c r="M95" i="15" l="1"/>
  <c r="T88" i="15"/>
  <c r="N96" i="15"/>
  <c r="Q91" i="15"/>
  <c r="L95" i="15"/>
  <c r="M88" i="15"/>
  <c r="R90" i="15"/>
  <c r="P87" i="15"/>
  <c r="T96" i="15"/>
  <c r="L88" i="15"/>
  <c r="L90" i="15"/>
  <c r="P92" i="15"/>
  <c r="N89" i="15"/>
  <c r="R91" i="15"/>
  <c r="O93" i="15"/>
  <c r="O95" i="15"/>
  <c r="N94" i="15"/>
  <c r="L91" i="15"/>
  <c r="P93" i="15"/>
  <c r="T89" i="15"/>
  <c r="R88" i="15"/>
  <c r="T91" i="15"/>
  <c r="L96" i="15"/>
  <c r="S92" i="15"/>
  <c r="Q93" i="15"/>
  <c r="N95" i="15"/>
  <c r="P90" i="15"/>
  <c r="P95" i="15"/>
  <c r="N87" i="15"/>
  <c r="Q94" i="15"/>
  <c r="M90" i="15"/>
  <c r="S91" i="15"/>
  <c r="N92" i="15"/>
  <c r="P88" i="15"/>
  <c r="L89" i="15"/>
  <c r="O96" i="15"/>
  <c r="N90" i="15"/>
  <c r="O88" i="15"/>
  <c r="L94" i="15"/>
  <c r="S93" i="15"/>
  <c r="S90" i="15"/>
  <c r="Q87" i="15"/>
  <c r="Q95" i="15"/>
  <c r="R93" i="15"/>
  <c r="S95" i="15"/>
  <c r="Q88" i="15"/>
  <c r="Q92" i="15"/>
  <c r="T92" i="15"/>
  <c r="M87" i="15"/>
  <c r="L92" i="15"/>
  <c r="P89" i="15"/>
  <c r="T93" i="15"/>
  <c r="O94" i="15"/>
  <c r="P96" i="15"/>
  <c r="O89" i="15"/>
  <c r="O90" i="15"/>
  <c r="Q96" i="15"/>
  <c r="L87" i="15"/>
  <c r="M96" i="15"/>
  <c r="R87" i="15"/>
  <c r="R94" i="15"/>
  <c r="R95" i="15"/>
  <c r="O91" i="15"/>
  <c r="S88" i="15"/>
  <c r="O87" i="15"/>
  <c r="L93" i="15"/>
  <c r="N91" i="15"/>
  <c r="M91" i="15"/>
  <c r="R96" i="15"/>
  <c r="Q90" i="15"/>
  <c r="M89" i="15"/>
  <c r="Q89" i="15"/>
  <c r="S94" i="15"/>
  <c r="M92" i="15"/>
  <c r="P91" i="15"/>
  <c r="O92" i="15"/>
  <c r="T90" i="15"/>
  <c r="M93" i="15"/>
  <c r="S87" i="15"/>
  <c r="N88" i="15"/>
  <c r="S96" i="15"/>
  <c r="M94" i="15"/>
  <c r="R92" i="15"/>
  <c r="T87" i="15"/>
  <c r="T94" i="15"/>
  <c r="R89" i="15"/>
  <c r="S89" i="15"/>
  <c r="T95" i="15"/>
  <c r="P94" i="15"/>
  <c r="N93" i="15"/>
  <c r="H186" i="18"/>
  <c r="H188" i="18"/>
  <c r="I186" i="18"/>
  <c r="H187" i="18"/>
  <c r="J187" i="18"/>
  <c r="I188" i="18"/>
  <c r="J186" i="18"/>
  <c r="J188" i="18"/>
  <c r="I187" i="18"/>
  <c r="L342" i="58"/>
  <c r="K344" i="58"/>
  <c r="H341" i="58"/>
  <c r="L339" i="58"/>
  <c r="K341" i="58"/>
  <c r="I340" i="58"/>
  <c r="H343" i="58"/>
  <c r="L344" i="58"/>
  <c r="I342" i="58"/>
  <c r="H340" i="58"/>
  <c r="L341" i="58"/>
  <c r="I343" i="58"/>
  <c r="J343" i="58"/>
  <c r="L340" i="58"/>
  <c r="J340" i="58"/>
  <c r="K343" i="58"/>
  <c r="H342" i="58"/>
  <c r="K340" i="58"/>
  <c r="H339" i="58"/>
  <c r="L343" i="58"/>
  <c r="I339" i="58"/>
  <c r="H344" i="58"/>
  <c r="J342" i="58"/>
  <c r="I344" i="58"/>
  <c r="J339" i="58"/>
  <c r="I341" i="58"/>
  <c r="J341" i="58"/>
  <c r="K342" i="58"/>
  <c r="K339" i="58"/>
  <c r="J344" i="58"/>
  <c r="J332" i="58"/>
  <c r="J331" i="58"/>
  <c r="L335" i="58"/>
  <c r="H333" i="58"/>
  <c r="L332" i="58"/>
  <c r="K333" i="58"/>
  <c r="H336" i="58"/>
  <c r="I336" i="58"/>
  <c r="I335" i="58"/>
  <c r="I333" i="58"/>
  <c r="L336" i="58"/>
  <c r="H334" i="58"/>
  <c r="I331" i="58"/>
  <c r="J333" i="58"/>
  <c r="J334" i="58"/>
  <c r="L333" i="58"/>
  <c r="L334" i="58"/>
  <c r="H331" i="58"/>
  <c r="H335" i="58"/>
  <c r="I334" i="58"/>
  <c r="K334" i="58"/>
  <c r="I332" i="58"/>
  <c r="K331" i="58"/>
  <c r="K335" i="58"/>
  <c r="L331" i="58"/>
  <c r="K332" i="58"/>
  <c r="J335" i="58"/>
  <c r="H332" i="58"/>
  <c r="J336" i="58"/>
  <c r="K336" i="58"/>
  <c r="J325" i="58"/>
  <c r="K326" i="58"/>
  <c r="L324" i="58"/>
  <c r="J322" i="58"/>
  <c r="L326" i="58"/>
  <c r="K325" i="58"/>
  <c r="K322" i="58"/>
  <c r="H321" i="58"/>
  <c r="H324" i="58"/>
  <c r="L325" i="58"/>
  <c r="L322" i="58"/>
  <c r="I321" i="58"/>
  <c r="I324" i="58"/>
  <c r="H323" i="58"/>
  <c r="J324" i="58"/>
  <c r="J326" i="58"/>
  <c r="K324" i="58"/>
  <c r="K323" i="58"/>
  <c r="K321" i="58"/>
  <c r="L323" i="58"/>
  <c r="L321" i="58"/>
  <c r="J323" i="58"/>
  <c r="H325" i="58"/>
  <c r="J321" i="58"/>
  <c r="H322" i="58"/>
  <c r="H326" i="58"/>
  <c r="I325" i="58"/>
  <c r="I322" i="58"/>
  <c r="I323" i="58"/>
  <c r="I326" i="58"/>
  <c r="K314" i="58"/>
  <c r="L317" i="58"/>
  <c r="H313" i="58"/>
  <c r="L314" i="58"/>
  <c r="I316" i="58"/>
  <c r="H318" i="58"/>
  <c r="J316" i="58"/>
  <c r="H315" i="58"/>
  <c r="K316" i="58"/>
  <c r="I318" i="58"/>
  <c r="H314" i="58"/>
  <c r="K315" i="58"/>
  <c r="K313" i="58"/>
  <c r="I315" i="58"/>
  <c r="L316" i="58"/>
  <c r="J318" i="58"/>
  <c r="L313" i="58"/>
  <c r="J315" i="58"/>
  <c r="H317" i="58"/>
  <c r="K318" i="58"/>
  <c r="I317" i="58"/>
  <c r="L318" i="58"/>
  <c r="I314" i="58"/>
  <c r="H316" i="58"/>
  <c r="J317" i="58"/>
  <c r="I313" i="58"/>
  <c r="J313" i="58"/>
  <c r="J314" i="58"/>
  <c r="K317" i="58"/>
  <c r="L315" i="58"/>
  <c r="H303" i="58"/>
  <c r="I305" i="58"/>
  <c r="H307" i="58"/>
  <c r="J305" i="58"/>
  <c r="I307" i="58"/>
  <c r="K305" i="58"/>
  <c r="J303" i="58"/>
  <c r="I306" i="58"/>
  <c r="J307" i="58"/>
  <c r="J306" i="58"/>
  <c r="K303" i="58"/>
  <c r="I303" i="58"/>
  <c r="I308" i="58"/>
  <c r="K307" i="58"/>
  <c r="H306" i="58"/>
  <c r="H304" i="58"/>
  <c r="K306" i="58"/>
  <c r="H308" i="58"/>
  <c r="I304" i="58"/>
  <c r="J304" i="58"/>
  <c r="J308" i="58"/>
  <c r="K304" i="58"/>
  <c r="K308" i="58"/>
  <c r="H305" i="58"/>
  <c r="I296" i="58"/>
  <c r="I300" i="58"/>
  <c r="J300" i="58"/>
  <c r="K300" i="58"/>
  <c r="H297" i="58"/>
  <c r="J297" i="58"/>
  <c r="H295" i="58"/>
  <c r="H300" i="58"/>
  <c r="H298" i="58"/>
  <c r="J298" i="58"/>
  <c r="K298" i="58"/>
  <c r="I295" i="58"/>
  <c r="I298" i="58"/>
  <c r="I299" i="58"/>
  <c r="H299" i="58"/>
  <c r="J296" i="58"/>
  <c r="J299" i="58"/>
  <c r="K296" i="58"/>
  <c r="K295" i="58"/>
  <c r="I297" i="58"/>
  <c r="K297" i="58"/>
  <c r="J295" i="58"/>
  <c r="K299" i="58"/>
  <c r="H296" i="58"/>
  <c r="K290" i="58"/>
  <c r="J289" i="58"/>
  <c r="H287" i="58"/>
  <c r="H290" i="58"/>
  <c r="H291" i="58"/>
  <c r="J290" i="58"/>
  <c r="I291" i="58"/>
  <c r="I287" i="58"/>
  <c r="J287" i="58"/>
  <c r="I289" i="58"/>
  <c r="K287" i="58"/>
  <c r="K289" i="58"/>
  <c r="I292" i="58"/>
  <c r="K291" i="58"/>
  <c r="I290" i="58"/>
  <c r="H288" i="58"/>
  <c r="J291" i="58"/>
  <c r="H292" i="58"/>
  <c r="I288" i="58"/>
  <c r="J288" i="58"/>
  <c r="J292" i="58"/>
  <c r="K288" i="58"/>
  <c r="K292" i="58"/>
  <c r="H289" i="58"/>
  <c r="I273" i="58"/>
  <c r="J273" i="58"/>
  <c r="K269" i="58"/>
  <c r="K273" i="58"/>
  <c r="H270" i="58"/>
  <c r="H274" i="58"/>
  <c r="I271" i="58"/>
  <c r="I270" i="58"/>
  <c r="I274" i="58"/>
  <c r="K272" i="58"/>
  <c r="J270" i="58"/>
  <c r="K274" i="58"/>
  <c r="J274" i="58"/>
  <c r="K271" i="58"/>
  <c r="H271" i="58"/>
  <c r="I272" i="58"/>
  <c r="J271" i="58"/>
  <c r="H269" i="58"/>
  <c r="H272" i="58"/>
  <c r="H273" i="58"/>
  <c r="I269" i="58"/>
  <c r="K270" i="58"/>
  <c r="J272" i="58"/>
  <c r="J269" i="58"/>
  <c r="G144" i="18"/>
  <c r="H144" i="18"/>
  <c r="H146" i="18"/>
  <c r="I143" i="18"/>
  <c r="G145" i="18"/>
  <c r="H143" i="18"/>
  <c r="H145" i="18"/>
  <c r="I145" i="18"/>
  <c r="G146" i="18"/>
  <c r="H142" i="18"/>
  <c r="G142" i="18"/>
  <c r="I147" i="18"/>
  <c r="I146" i="18"/>
  <c r="G148" i="18"/>
  <c r="H147" i="18"/>
  <c r="G143" i="18"/>
  <c r="G147" i="18"/>
  <c r="I144" i="18"/>
  <c r="H148" i="18"/>
  <c r="I142" i="18"/>
  <c r="I148" i="18"/>
  <c r="D24" i="64"/>
  <c r="E155" i="60"/>
  <c r="D74" i="66"/>
  <c r="F74" i="66"/>
  <c r="E74" i="66"/>
  <c r="E28" i="35"/>
  <c r="E26" i="35"/>
  <c r="F27" i="35"/>
  <c r="E25" i="35"/>
  <c r="F26" i="35"/>
  <c r="F28" i="35"/>
  <c r="E27" i="35"/>
  <c r="F25" i="35"/>
  <c r="B77" i="10"/>
  <c r="C79" i="10"/>
  <c r="B78" i="10"/>
  <c r="C77" i="10"/>
  <c r="B79" i="10"/>
  <c r="C78" i="10"/>
  <c r="C82" i="10"/>
  <c r="B82" i="10"/>
  <c r="C83" i="10"/>
  <c r="B83" i="10"/>
  <c r="B84" i="10"/>
  <c r="C84" i="10"/>
  <c r="F61" i="31"/>
  <c r="G61" i="31"/>
  <c r="D116" i="30"/>
  <c r="D123" i="30" s="1" a="1"/>
  <c r="E30" i="9"/>
  <c r="F31" i="9"/>
  <c r="E32" i="9"/>
  <c r="E31" i="9"/>
  <c r="F30" i="9"/>
  <c r="F32" i="9"/>
  <c r="D34" i="30"/>
  <c r="F9" i="35"/>
  <c r="F11" i="35"/>
  <c r="E9" i="35"/>
  <c r="F8" i="35"/>
  <c r="F10" i="35"/>
  <c r="E8" i="35"/>
  <c r="E11" i="35"/>
  <c r="E10" i="35"/>
  <c r="F35" i="1"/>
  <c r="F49" i="35"/>
  <c r="F51" i="35"/>
  <c r="F50" i="35"/>
  <c r="E48" i="35"/>
  <c r="E51" i="35"/>
  <c r="E50" i="35"/>
  <c r="E49" i="35"/>
  <c r="F48" i="35"/>
  <c r="B16" i="10"/>
  <c r="C15" i="10"/>
  <c r="B15" i="10"/>
  <c r="B17" i="10"/>
  <c r="C16" i="10"/>
  <c r="C17" i="10"/>
  <c r="AA4" i="2"/>
  <c r="D5" i="57"/>
  <c r="C370" i="1"/>
  <c r="B370" i="1"/>
  <c r="C369" i="1"/>
  <c r="B369" i="1"/>
  <c r="F214" i="1"/>
  <c r="M39" i="39"/>
  <c r="D69" i="30"/>
  <c r="E12" i="65"/>
  <c r="D82" i="66"/>
  <c r="F82" i="66"/>
  <c r="E82" i="66"/>
  <c r="D88" i="20"/>
  <c r="D89" i="20"/>
  <c r="B139" i="11"/>
  <c r="C138" i="11"/>
  <c r="C140" i="11"/>
  <c r="C136" i="11"/>
  <c r="B140" i="11"/>
  <c r="B136" i="11"/>
  <c r="B137" i="11"/>
  <c r="C139" i="11"/>
  <c r="B138" i="11"/>
  <c r="B141" i="11"/>
  <c r="C137" i="11"/>
  <c r="C141" i="11"/>
  <c r="H90" i="49"/>
  <c r="F89" i="49"/>
  <c r="D88" i="49"/>
  <c r="H86" i="49"/>
  <c r="F85" i="49"/>
  <c r="D84" i="49"/>
  <c r="H82" i="49"/>
  <c r="F81" i="49"/>
  <c r="G90" i="49"/>
  <c r="E89" i="49"/>
  <c r="C88" i="49"/>
  <c r="G86" i="49"/>
  <c r="E85" i="49"/>
  <c r="C84" i="49"/>
  <c r="G82" i="49"/>
  <c r="E81" i="49"/>
  <c r="C90" i="49"/>
  <c r="G88" i="49"/>
  <c r="E87" i="49"/>
  <c r="C86" i="49"/>
  <c r="G84" i="49"/>
  <c r="E83" i="49"/>
  <c r="C82" i="49"/>
  <c r="H89" i="49"/>
  <c r="G87" i="49"/>
  <c r="G85" i="49"/>
  <c r="F83" i="49"/>
  <c r="D81" i="49"/>
  <c r="G89" i="49"/>
  <c r="F87" i="49"/>
  <c r="D85" i="49"/>
  <c r="D83" i="49"/>
  <c r="C81" i="49"/>
  <c r="D89" i="49"/>
  <c r="D87" i="49"/>
  <c r="C85" i="49"/>
  <c r="C83" i="49"/>
  <c r="C89" i="49"/>
  <c r="C87" i="49"/>
  <c r="H84" i="49"/>
  <c r="F82" i="49"/>
  <c r="E90" i="49"/>
  <c r="E88" i="49"/>
  <c r="D86" i="49"/>
  <c r="H83" i="49"/>
  <c r="H81" i="49"/>
  <c r="H88" i="49"/>
  <c r="G83" i="49"/>
  <c r="F88" i="49"/>
  <c r="E82" i="49"/>
  <c r="H87" i="49"/>
  <c r="D82" i="49"/>
  <c r="F86" i="49"/>
  <c r="G81" i="49"/>
  <c r="E86" i="49"/>
  <c r="H85" i="49"/>
  <c r="F90" i="49"/>
  <c r="F84" i="49"/>
  <c r="E84" i="49"/>
  <c r="D90" i="49"/>
  <c r="D78" i="66"/>
  <c r="F78" i="66"/>
  <c r="E78" i="66"/>
  <c r="C136" i="10"/>
  <c r="C128" i="10"/>
  <c r="D125" i="10"/>
  <c r="B123" i="10"/>
  <c r="C120" i="10"/>
  <c r="D117" i="10"/>
  <c r="B115" i="10"/>
  <c r="D130" i="10"/>
  <c r="B128" i="10"/>
  <c r="C125" i="10"/>
  <c r="D122" i="10"/>
  <c r="B120" i="10"/>
  <c r="C117" i="10"/>
  <c r="C130" i="10"/>
  <c r="D127" i="10"/>
  <c r="B125" i="10"/>
  <c r="C122" i="10"/>
  <c r="D119" i="10"/>
  <c r="B117" i="10"/>
  <c r="B130" i="10"/>
  <c r="C127" i="10"/>
  <c r="D124" i="10"/>
  <c r="B122" i="10"/>
  <c r="C119" i="10"/>
  <c r="D116" i="10"/>
  <c r="B129" i="10"/>
  <c r="C126" i="10"/>
  <c r="D123" i="10"/>
  <c r="B121" i="10"/>
  <c r="C118" i="10"/>
  <c r="D115" i="10"/>
  <c r="D128" i="10"/>
  <c r="B126" i="10"/>
  <c r="C123" i="10"/>
  <c r="D120" i="10"/>
  <c r="B118" i="10"/>
  <c r="C115" i="10"/>
  <c r="C129" i="10"/>
  <c r="D118" i="10"/>
  <c r="B127" i="10"/>
  <c r="C116" i="10"/>
  <c r="D126" i="10"/>
  <c r="B116" i="10"/>
  <c r="C124" i="10"/>
  <c r="B124" i="10"/>
  <c r="D121" i="10"/>
  <c r="C121" i="10"/>
  <c r="D129" i="10"/>
  <c r="B119" i="10"/>
  <c r="C139" i="10"/>
  <c r="D141" i="10"/>
  <c r="C141" i="10"/>
  <c r="M29" i="39"/>
  <c r="D12" i="36"/>
  <c r="M261" i="26"/>
  <c r="B93" i="10"/>
  <c r="C95" i="10"/>
  <c r="B94" i="10"/>
  <c r="C93" i="10"/>
  <c r="B95" i="10"/>
  <c r="C94" i="10"/>
  <c r="C98" i="10"/>
  <c r="B98" i="10"/>
  <c r="C99" i="10"/>
  <c r="B99" i="10"/>
  <c r="C100" i="10"/>
  <c r="B100" i="10"/>
  <c r="H102" i="15"/>
  <c r="H103" i="15"/>
  <c r="H104" i="15"/>
  <c r="H105" i="15"/>
  <c r="H106" i="15"/>
  <c r="H107" i="15"/>
  <c r="H108" i="15"/>
  <c r="H109" i="15"/>
  <c r="H110" i="15"/>
  <c r="H111" i="15"/>
  <c r="H112" i="15"/>
  <c r="H113" i="15"/>
  <c r="H114" i="15"/>
  <c r="D70" i="39"/>
  <c r="D71" i="39"/>
  <c r="D72" i="39"/>
  <c r="D73" i="39"/>
  <c r="D74" i="39"/>
  <c r="D75" i="39"/>
  <c r="D76" i="39"/>
  <c r="D77" i="39"/>
  <c r="D78" i="39"/>
  <c r="D79" i="39"/>
  <c r="D80" i="39"/>
  <c r="D81" i="39"/>
  <c r="D82" i="39"/>
  <c r="E228" i="14"/>
  <c r="B30" i="66"/>
  <c r="E91" i="35" a="1"/>
  <c r="E91" i="35" s="1"/>
  <c r="H8" i="39"/>
  <c r="H9" i="39"/>
  <c r="H10" i="39"/>
  <c r="H11" i="39"/>
  <c r="H12" i="39"/>
  <c r="H13" i="39"/>
  <c r="H14" i="39"/>
  <c r="H15" i="39"/>
  <c r="H16" i="39"/>
  <c r="H17" i="39"/>
  <c r="H18" i="39"/>
  <c r="H19" i="39"/>
  <c r="H20" i="39"/>
  <c r="D8" i="14"/>
  <c r="D9" i="14"/>
  <c r="D10" i="14"/>
  <c r="D11" i="14"/>
  <c r="D12" i="14"/>
  <c r="D13" i="14"/>
  <c r="D14" i="14"/>
  <c r="D15" i="14"/>
  <c r="D16" i="14"/>
  <c r="D17" i="14"/>
  <c r="D18" i="14"/>
  <c r="D19" i="14"/>
  <c r="D20" i="14"/>
  <c r="B126" i="47"/>
  <c r="D17" i="22"/>
  <c r="D18" i="22"/>
  <c r="D19" i="22"/>
  <c r="D20" i="22"/>
  <c r="H8" i="14"/>
  <c r="H9" i="14"/>
  <c r="H10" i="14"/>
  <c r="H11" i="14"/>
  <c r="H12" i="14"/>
  <c r="H13" i="14"/>
  <c r="H14" i="14"/>
  <c r="H15" i="14"/>
  <c r="H16" i="14"/>
  <c r="H17" i="14"/>
  <c r="H18" i="14"/>
  <c r="H19" i="14"/>
  <c r="H20" i="14"/>
  <c r="D23" i="66" a="1"/>
  <c r="I255" i="26" a="1"/>
  <c r="L101" i="14" a="1"/>
  <c r="L58" i="14" a="1"/>
  <c r="L17" i="14" a="1"/>
  <c r="L205" i="14" a="1"/>
  <c r="L27" i="14" a="1"/>
  <c r="L153" i="14" a="1"/>
  <c r="L47" i="14" a="1"/>
  <c r="L183" i="14" a="1"/>
  <c r="L37" i="14" a="1"/>
  <c r="L128" i="14" a="1"/>
  <c r="L145" i="14" a="1"/>
  <c r="L163" i="14" a="1"/>
  <c r="L7" i="14" a="1"/>
  <c r="L118" i="14" a="1"/>
  <c r="L90" i="14" a="1"/>
  <c r="L173" i="14" a="1"/>
  <c r="G107" i="30" a="1"/>
  <c r="G106" i="30" a="1"/>
  <c r="B75" i="31" a="1"/>
  <c r="AB4" i="2" a="1"/>
  <c r="D72" i="30" a="1"/>
  <c r="J261" i="26" l="1"/>
  <c r="I255" i="26"/>
  <c r="J255" i="26"/>
  <c r="I259" i="26"/>
  <c r="I256" i="26"/>
  <c r="I258" i="26"/>
  <c r="J256" i="26"/>
  <c r="I257" i="26"/>
  <c r="J258" i="26"/>
  <c r="J259" i="26"/>
  <c r="I260" i="26"/>
  <c r="I261" i="26"/>
  <c r="J257" i="26"/>
  <c r="J260" i="26"/>
  <c r="AB4" i="2"/>
  <c r="D123" i="30"/>
  <c r="S146" i="14"/>
  <c r="R150" i="14"/>
  <c r="Q146" i="14"/>
  <c r="L149" i="14"/>
  <c r="R148" i="14"/>
  <c r="L150" i="14"/>
  <c r="S150" i="14"/>
  <c r="O148" i="14"/>
  <c r="P145" i="14"/>
  <c r="R147" i="14"/>
  <c r="R149" i="14"/>
  <c r="P147" i="14"/>
  <c r="O150" i="14"/>
  <c r="Q150" i="14"/>
  <c r="N150" i="14"/>
  <c r="Q148" i="14"/>
  <c r="O149" i="14"/>
  <c r="N149" i="14"/>
  <c r="Q147" i="14"/>
  <c r="N148" i="14"/>
  <c r="O147" i="14"/>
  <c r="L148" i="14"/>
  <c r="N146" i="14"/>
  <c r="N147" i="14"/>
  <c r="O146" i="14"/>
  <c r="N145" i="14"/>
  <c r="L145" i="14"/>
  <c r="M150" i="14"/>
  <c r="S149" i="14"/>
  <c r="O145" i="14"/>
  <c r="P150" i="14"/>
  <c r="P148" i="14"/>
  <c r="L147" i="14"/>
  <c r="S148" i="14"/>
  <c r="P149" i="14"/>
  <c r="M149" i="14"/>
  <c r="M147" i="14"/>
  <c r="L146" i="14"/>
  <c r="S147" i="14"/>
  <c r="M148" i="14"/>
  <c r="P146" i="14"/>
  <c r="R145" i="14"/>
  <c r="M146" i="14"/>
  <c r="S145" i="14"/>
  <c r="R146" i="14"/>
  <c r="M145" i="14"/>
  <c r="Q145" i="14"/>
  <c r="Q149" i="14"/>
  <c r="O7" i="14"/>
  <c r="M11" i="14"/>
  <c r="L9" i="14"/>
  <c r="Q7" i="14"/>
  <c r="R12" i="14"/>
  <c r="P11" i="14"/>
  <c r="O11" i="14"/>
  <c r="N9" i="14"/>
  <c r="M7" i="14"/>
  <c r="Q11" i="14"/>
  <c r="S7" i="14"/>
  <c r="R9" i="14"/>
  <c r="N11" i="14"/>
  <c r="L12" i="14"/>
  <c r="Q8" i="14"/>
  <c r="P7" i="14"/>
  <c r="O10" i="14"/>
  <c r="M12" i="14"/>
  <c r="L7" i="14"/>
  <c r="S12" i="14"/>
  <c r="R11" i="14"/>
  <c r="O9" i="14"/>
  <c r="M8" i="14"/>
  <c r="P8" i="14"/>
  <c r="S8" i="14"/>
  <c r="N8" i="14"/>
  <c r="Q12" i="14"/>
  <c r="S9" i="14"/>
  <c r="O12" i="14"/>
  <c r="L10" i="14"/>
  <c r="P12" i="14"/>
  <c r="O8" i="14"/>
  <c r="L8" i="14"/>
  <c r="S11" i="14"/>
  <c r="N12" i="14"/>
  <c r="Q10" i="14"/>
  <c r="P9" i="14"/>
  <c r="N10" i="14"/>
  <c r="P10" i="14"/>
  <c r="M10" i="14"/>
  <c r="R8" i="14"/>
  <c r="S10" i="14"/>
  <c r="Q9" i="14"/>
  <c r="M9" i="14"/>
  <c r="L11" i="14"/>
  <c r="R10" i="14"/>
  <c r="R7" i="14"/>
  <c r="N7" i="14"/>
  <c r="O183" i="14"/>
  <c r="L187" i="14"/>
  <c r="L188" i="14"/>
  <c r="Q188" i="14"/>
  <c r="P183" i="14"/>
  <c r="Q187" i="14"/>
  <c r="O187" i="14"/>
  <c r="S185" i="14"/>
  <c r="M188" i="14"/>
  <c r="R187" i="14"/>
  <c r="N183" i="14"/>
  <c r="R185" i="14"/>
  <c r="O184" i="14"/>
  <c r="N184" i="14"/>
  <c r="P186" i="14"/>
  <c r="M187" i="14"/>
  <c r="P188" i="14"/>
  <c r="S184" i="14"/>
  <c r="M184" i="14"/>
  <c r="L186" i="14"/>
  <c r="R188" i="14"/>
  <c r="S186" i="14"/>
  <c r="N185" i="14"/>
  <c r="N186" i="14"/>
  <c r="S183" i="14"/>
  <c r="L184" i="14"/>
  <c r="M183" i="14"/>
  <c r="N188" i="14"/>
  <c r="M185" i="14"/>
  <c r="M186" i="14"/>
  <c r="O188" i="14"/>
  <c r="Q185" i="14"/>
  <c r="R183" i="14"/>
  <c r="L185" i="14"/>
  <c r="O186" i="14"/>
  <c r="L183" i="14"/>
  <c r="N187" i="14"/>
  <c r="P184" i="14"/>
  <c r="O185" i="14"/>
  <c r="R186" i="14"/>
  <c r="Q184" i="14"/>
  <c r="R184" i="14"/>
  <c r="S188" i="14"/>
  <c r="P185" i="14"/>
  <c r="P187" i="14"/>
  <c r="S187" i="14"/>
  <c r="Q186" i="14"/>
  <c r="Q183" i="14"/>
  <c r="P173" i="14"/>
  <c r="O176" i="14"/>
  <c r="R178" i="14"/>
  <c r="Q174" i="14"/>
  <c r="Q175" i="14"/>
  <c r="S176" i="14"/>
  <c r="P177" i="14"/>
  <c r="L175" i="14"/>
  <c r="Q177" i="14"/>
  <c r="O173" i="14"/>
  <c r="O175" i="14"/>
  <c r="O174" i="14"/>
  <c r="P174" i="14"/>
  <c r="R173" i="14"/>
  <c r="Q178" i="14"/>
  <c r="R175" i="14"/>
  <c r="M173" i="14"/>
  <c r="L178" i="14"/>
  <c r="S178" i="14"/>
  <c r="N177" i="14"/>
  <c r="O178" i="14"/>
  <c r="L176" i="14"/>
  <c r="O177" i="14"/>
  <c r="Q176" i="14"/>
  <c r="L173" i="14"/>
  <c r="R174" i="14"/>
  <c r="N178" i="14"/>
  <c r="P175" i="14"/>
  <c r="S174" i="14"/>
  <c r="R176" i="14"/>
  <c r="S173" i="14"/>
  <c r="R177" i="14"/>
  <c r="M174" i="14"/>
  <c r="P178" i="14"/>
  <c r="M176" i="14"/>
  <c r="M177" i="14"/>
  <c r="N176" i="14"/>
  <c r="Q173" i="14"/>
  <c r="S175" i="14"/>
  <c r="N173" i="14"/>
  <c r="P176" i="14"/>
  <c r="M178" i="14"/>
  <c r="L177" i="14"/>
  <c r="N175" i="14"/>
  <c r="L174" i="14"/>
  <c r="S177" i="14"/>
  <c r="M175" i="14"/>
  <c r="N174" i="14"/>
  <c r="M120" i="14"/>
  <c r="Q118" i="14"/>
  <c r="S119" i="14"/>
  <c r="N122" i="14"/>
  <c r="O123" i="14"/>
  <c r="S121" i="14"/>
  <c r="Q122" i="14"/>
  <c r="R118" i="14"/>
  <c r="L121" i="14"/>
  <c r="L123" i="14"/>
  <c r="S122" i="14"/>
  <c r="P120" i="14"/>
  <c r="Q120" i="14"/>
  <c r="P118" i="14"/>
  <c r="N118" i="14"/>
  <c r="L122" i="14"/>
  <c r="M119" i="14"/>
  <c r="L120" i="14"/>
  <c r="O118" i="14"/>
  <c r="N120" i="14"/>
  <c r="R120" i="14"/>
  <c r="M121" i="14"/>
  <c r="P122" i="14"/>
  <c r="R121" i="14"/>
  <c r="P121" i="14"/>
  <c r="Q119" i="14"/>
  <c r="R119" i="14"/>
  <c r="O119" i="14"/>
  <c r="M118" i="14"/>
  <c r="O122" i="14"/>
  <c r="S118" i="14"/>
  <c r="Q123" i="14"/>
  <c r="P123" i="14"/>
  <c r="L118" i="14"/>
  <c r="Q121" i="14"/>
  <c r="S120" i="14"/>
  <c r="R122" i="14"/>
  <c r="N123" i="14"/>
  <c r="S123" i="14"/>
  <c r="M123" i="14"/>
  <c r="O120" i="14"/>
  <c r="P119" i="14"/>
  <c r="L119" i="14"/>
  <c r="M122" i="14"/>
  <c r="N119" i="14"/>
  <c r="O121" i="14"/>
  <c r="N121" i="14"/>
  <c r="R123" i="14"/>
  <c r="N104" i="14"/>
  <c r="M107" i="14"/>
  <c r="Q105" i="14"/>
  <c r="M104" i="14"/>
  <c r="S102" i="14"/>
  <c r="P101" i="14"/>
  <c r="O106" i="14"/>
  <c r="Q101" i="14"/>
  <c r="N108" i="14"/>
  <c r="R106" i="14"/>
  <c r="N102" i="14"/>
  <c r="M101" i="14"/>
  <c r="L108" i="14"/>
  <c r="M106" i="14"/>
  <c r="O107" i="14"/>
  <c r="M105" i="14"/>
  <c r="N106" i="14"/>
  <c r="S105" i="14"/>
  <c r="M102" i="14"/>
  <c r="O105" i="14"/>
  <c r="Q107" i="14"/>
  <c r="Q102" i="14"/>
  <c r="R107" i="14"/>
  <c r="O108" i="14"/>
  <c r="L103" i="14"/>
  <c r="P107" i="14"/>
  <c r="P106" i="14"/>
  <c r="S107" i="14"/>
  <c r="N107" i="14"/>
  <c r="O103" i="14"/>
  <c r="L102" i="14"/>
  <c r="P102" i="14"/>
  <c r="Q104" i="14"/>
  <c r="N105" i="14"/>
  <c r="N101" i="14"/>
  <c r="L101" i="14"/>
  <c r="S103" i="14"/>
  <c r="R101" i="14"/>
  <c r="N103" i="14"/>
  <c r="L107" i="14"/>
  <c r="Q106" i="14"/>
  <c r="O101" i="14"/>
  <c r="L105" i="14"/>
  <c r="R108" i="14"/>
  <c r="O104" i="14"/>
  <c r="L104" i="14"/>
  <c r="R103" i="14"/>
  <c r="Q108" i="14"/>
  <c r="R105" i="14"/>
  <c r="M103" i="14"/>
  <c r="S101" i="14"/>
  <c r="P103" i="14"/>
  <c r="R104" i="14"/>
  <c r="M108" i="14"/>
  <c r="S108" i="14"/>
  <c r="R102" i="14"/>
  <c r="P108" i="14"/>
  <c r="S106" i="14"/>
  <c r="S104" i="14"/>
  <c r="L106" i="14"/>
  <c r="P104" i="14"/>
  <c r="P105" i="14"/>
  <c r="Q103" i="14"/>
  <c r="O102" i="14"/>
  <c r="N209" i="14"/>
  <c r="R207" i="14"/>
  <c r="Q210" i="14"/>
  <c r="P206" i="14"/>
  <c r="P208" i="14"/>
  <c r="L206" i="14"/>
  <c r="N205" i="14"/>
  <c r="P209" i="14"/>
  <c r="O205" i="14"/>
  <c r="Q207" i="14"/>
  <c r="L207" i="14"/>
  <c r="O208" i="14"/>
  <c r="R208" i="14"/>
  <c r="L208" i="14"/>
  <c r="O206" i="14"/>
  <c r="Q209" i="14"/>
  <c r="N207" i="14"/>
  <c r="M208" i="14"/>
  <c r="S207" i="14"/>
  <c r="S205" i="14"/>
  <c r="P207" i="14"/>
  <c r="S210" i="14"/>
  <c r="O210" i="14"/>
  <c r="S208" i="14"/>
  <c r="N210" i="14"/>
  <c r="S206" i="14"/>
  <c r="L209" i="14"/>
  <c r="Q205" i="14"/>
  <c r="R210" i="14"/>
  <c r="M209" i="14"/>
  <c r="Q208" i="14"/>
  <c r="R206" i="14"/>
  <c r="L205" i="14"/>
  <c r="N208" i="14"/>
  <c r="Q206" i="14"/>
  <c r="L210" i="14"/>
  <c r="R205" i="14"/>
  <c r="M206" i="14"/>
  <c r="M205" i="14"/>
  <c r="O209" i="14"/>
  <c r="P210" i="14"/>
  <c r="S209" i="14"/>
  <c r="M207" i="14"/>
  <c r="M210" i="14"/>
  <c r="N206" i="14"/>
  <c r="O207" i="14"/>
  <c r="R209" i="14"/>
  <c r="P205" i="14"/>
  <c r="Q163" i="14"/>
  <c r="N167" i="14"/>
  <c r="L163" i="14"/>
  <c r="L164" i="14"/>
  <c r="L165" i="14"/>
  <c r="O163" i="14"/>
  <c r="Q167" i="14"/>
  <c r="M165" i="14"/>
  <c r="O168" i="14"/>
  <c r="N164" i="14"/>
  <c r="S164" i="14"/>
  <c r="S163" i="14"/>
  <c r="M167" i="14"/>
  <c r="L167" i="14"/>
  <c r="O165" i="14"/>
  <c r="R164" i="14"/>
  <c r="M166" i="14"/>
  <c r="R165" i="14"/>
  <c r="S168" i="14"/>
  <c r="R167" i="14"/>
  <c r="M164" i="14"/>
  <c r="O164" i="14"/>
  <c r="P167" i="14"/>
  <c r="O167" i="14"/>
  <c r="Q168" i="14"/>
  <c r="M163" i="14"/>
  <c r="N168" i="14"/>
  <c r="N166" i="14"/>
  <c r="R163" i="14"/>
  <c r="Q166" i="14"/>
  <c r="P168" i="14"/>
  <c r="S166" i="14"/>
  <c r="P163" i="14"/>
  <c r="P166" i="14"/>
  <c r="Q165" i="14"/>
  <c r="S165" i="14"/>
  <c r="P165" i="14"/>
  <c r="N165" i="14"/>
  <c r="L166" i="14"/>
  <c r="Q164" i="14"/>
  <c r="P164" i="14"/>
  <c r="L168" i="14"/>
  <c r="R168" i="14"/>
  <c r="O166" i="14"/>
  <c r="M168" i="14"/>
  <c r="N163" i="14"/>
  <c r="R166" i="14"/>
  <c r="S167" i="14"/>
  <c r="L42" i="14"/>
  <c r="S40" i="14"/>
  <c r="R38" i="14"/>
  <c r="N42" i="14"/>
  <c r="M41" i="14"/>
  <c r="O37" i="14"/>
  <c r="L38" i="14"/>
  <c r="R42" i="14"/>
  <c r="Q40" i="14"/>
  <c r="N38" i="14"/>
  <c r="O40" i="14"/>
  <c r="M42" i="14"/>
  <c r="L41" i="14"/>
  <c r="S37" i="14"/>
  <c r="Q38" i="14"/>
  <c r="O38" i="14"/>
  <c r="M37" i="14"/>
  <c r="L40" i="14"/>
  <c r="R41" i="14"/>
  <c r="Q37" i="14"/>
  <c r="P40" i="14"/>
  <c r="M39" i="14"/>
  <c r="L39" i="14"/>
  <c r="R40" i="14"/>
  <c r="N41" i="14"/>
  <c r="M38" i="14"/>
  <c r="P41" i="14"/>
  <c r="L37" i="14"/>
  <c r="R39" i="14"/>
  <c r="N40" i="14"/>
  <c r="P37" i="14"/>
  <c r="O39" i="14"/>
  <c r="S42" i="14"/>
  <c r="R37" i="14"/>
  <c r="N39" i="14"/>
  <c r="P42" i="14"/>
  <c r="S41" i="14"/>
  <c r="Q42" i="14"/>
  <c r="N37" i="14"/>
  <c r="M40" i="14"/>
  <c r="S39" i="14"/>
  <c r="Q41" i="14"/>
  <c r="O41" i="14"/>
  <c r="O42" i="14"/>
  <c r="S38" i="14"/>
  <c r="Q39" i="14"/>
  <c r="P38" i="14"/>
  <c r="P39" i="14"/>
  <c r="L128" i="14"/>
  <c r="S131" i="14"/>
  <c r="Q131" i="14"/>
  <c r="N132" i="14"/>
  <c r="S129" i="14"/>
  <c r="O128" i="14"/>
  <c r="L132" i="14"/>
  <c r="P130" i="14"/>
  <c r="R131" i="14"/>
  <c r="O131" i="14"/>
  <c r="M131" i="14"/>
  <c r="O129" i="14"/>
  <c r="P129" i="14"/>
  <c r="S132" i="14"/>
  <c r="Q129" i="14"/>
  <c r="O132" i="14"/>
  <c r="L129" i="14"/>
  <c r="N129" i="14"/>
  <c r="M130" i="14"/>
  <c r="R133" i="14"/>
  <c r="M132" i="14"/>
  <c r="L130" i="14"/>
  <c r="O130" i="14"/>
  <c r="N128" i="14"/>
  <c r="M128" i="14"/>
  <c r="P133" i="14"/>
  <c r="M129" i="14"/>
  <c r="S133" i="14"/>
  <c r="P132" i="14"/>
  <c r="N130" i="14"/>
  <c r="R130" i="14"/>
  <c r="P131" i="14"/>
  <c r="S128" i="14"/>
  <c r="O133" i="14"/>
  <c r="P128" i="14"/>
  <c r="R132" i="14"/>
  <c r="R129" i="14"/>
  <c r="N133" i="14"/>
  <c r="R128" i="14"/>
  <c r="Q132" i="14"/>
  <c r="L133" i="14"/>
  <c r="Q130" i="14"/>
  <c r="Q133" i="14"/>
  <c r="Q128" i="14"/>
  <c r="L131" i="14"/>
  <c r="M133" i="14"/>
  <c r="S130" i="14"/>
  <c r="N131" i="14"/>
  <c r="S47" i="14"/>
  <c r="Q51" i="14"/>
  <c r="P49" i="14"/>
  <c r="M47" i="14"/>
  <c r="N52" i="14"/>
  <c r="O48" i="14"/>
  <c r="S51" i="14"/>
  <c r="R49" i="14"/>
  <c r="Q47" i="14"/>
  <c r="M51" i="14"/>
  <c r="O47" i="14"/>
  <c r="N49" i="14"/>
  <c r="S48" i="14"/>
  <c r="Q49" i="14"/>
  <c r="M50" i="14"/>
  <c r="N47" i="14"/>
  <c r="N51" i="14"/>
  <c r="R48" i="14"/>
  <c r="P50" i="14"/>
  <c r="L48" i="14"/>
  <c r="O51" i="14"/>
  <c r="R50" i="14"/>
  <c r="P47" i="14"/>
  <c r="O49" i="14"/>
  <c r="R47" i="14"/>
  <c r="M52" i="14"/>
  <c r="L47" i="14"/>
  <c r="Q52" i="14"/>
  <c r="M49" i="14"/>
  <c r="L52" i="14"/>
  <c r="S52" i="14"/>
  <c r="Q50" i="14"/>
  <c r="M48" i="14"/>
  <c r="L49" i="14"/>
  <c r="S50" i="14"/>
  <c r="Q48" i="14"/>
  <c r="O50" i="14"/>
  <c r="L51" i="14"/>
  <c r="S49" i="14"/>
  <c r="P52" i="14"/>
  <c r="N50" i="14"/>
  <c r="N48" i="14"/>
  <c r="R52" i="14"/>
  <c r="P51" i="14"/>
  <c r="O52" i="14"/>
  <c r="R51" i="14"/>
  <c r="P48" i="14"/>
  <c r="L50" i="14"/>
  <c r="N18" i="14"/>
  <c r="L22" i="14"/>
  <c r="S20" i="14"/>
  <c r="P18" i="14"/>
  <c r="O22" i="14"/>
  <c r="R17" i="14"/>
  <c r="N22" i="14"/>
  <c r="M20" i="14"/>
  <c r="L18" i="14"/>
  <c r="P22" i="14"/>
  <c r="Q17" i="14"/>
  <c r="Q21" i="14"/>
  <c r="N20" i="14"/>
  <c r="N17" i="14"/>
  <c r="M21" i="14"/>
  <c r="S22" i="14"/>
  <c r="P17" i="14"/>
  <c r="O19" i="14"/>
  <c r="L21" i="14"/>
  <c r="S17" i="14"/>
  <c r="R19" i="14"/>
  <c r="Q20" i="14"/>
  <c r="M22" i="14"/>
  <c r="S19" i="14"/>
  <c r="O17" i="14"/>
  <c r="M19" i="14"/>
  <c r="S18" i="14"/>
  <c r="Q19" i="14"/>
  <c r="M18" i="14"/>
  <c r="P21" i="14"/>
  <c r="R21" i="14"/>
  <c r="M17" i="14"/>
  <c r="P20" i="14"/>
  <c r="R18" i="14"/>
  <c r="L20" i="14"/>
  <c r="P19" i="14"/>
  <c r="O21" i="14"/>
  <c r="L19" i="14"/>
  <c r="R22" i="14"/>
  <c r="Q18" i="14"/>
  <c r="N21" i="14"/>
  <c r="L17" i="14"/>
  <c r="O20" i="14"/>
  <c r="O18" i="14"/>
  <c r="N19" i="14"/>
  <c r="S21" i="14"/>
  <c r="Q22" i="14"/>
  <c r="R20" i="14"/>
  <c r="R157" i="14"/>
  <c r="N155" i="14"/>
  <c r="P156" i="14"/>
  <c r="P157" i="14"/>
  <c r="L153" i="14"/>
  <c r="M153" i="14"/>
  <c r="R153" i="14"/>
  <c r="Q156" i="14"/>
  <c r="O156" i="14"/>
  <c r="O158" i="14"/>
  <c r="M154" i="14"/>
  <c r="P155" i="14"/>
  <c r="R155" i="14"/>
  <c r="O155" i="14"/>
  <c r="S158" i="14"/>
  <c r="P154" i="14"/>
  <c r="Q154" i="14"/>
  <c r="N156" i="14"/>
  <c r="S153" i="14"/>
  <c r="L157" i="14"/>
  <c r="S156" i="14"/>
  <c r="R156" i="14"/>
  <c r="S157" i="14"/>
  <c r="Q155" i="14"/>
  <c r="R154" i="14"/>
  <c r="M155" i="14"/>
  <c r="O154" i="14"/>
  <c r="Q158" i="14"/>
  <c r="N158" i="14"/>
  <c r="Q157" i="14"/>
  <c r="M158" i="14"/>
  <c r="N153" i="14"/>
  <c r="O157" i="14"/>
  <c r="L154" i="14"/>
  <c r="O153" i="14"/>
  <c r="N157" i="14"/>
  <c r="S154" i="14"/>
  <c r="M156" i="14"/>
  <c r="N154" i="14"/>
  <c r="S155" i="14"/>
  <c r="Q153" i="14"/>
  <c r="P153" i="14"/>
  <c r="M157" i="14"/>
  <c r="L156" i="14"/>
  <c r="P158" i="14"/>
  <c r="R158" i="14"/>
  <c r="L158" i="14"/>
  <c r="L155" i="14"/>
  <c r="O96" i="14"/>
  <c r="N96" i="14"/>
  <c r="M96" i="14"/>
  <c r="L96" i="14"/>
  <c r="Q96" i="14"/>
  <c r="S92" i="14"/>
  <c r="P97" i="14"/>
  <c r="P91" i="14"/>
  <c r="O92" i="14"/>
  <c r="N92" i="14"/>
  <c r="M92" i="14"/>
  <c r="L92" i="14"/>
  <c r="Q92" i="14"/>
  <c r="R92" i="14"/>
  <c r="P94" i="14"/>
  <c r="S90" i="14"/>
  <c r="O95" i="14"/>
  <c r="N93" i="14"/>
  <c r="M90" i="14"/>
  <c r="Q95" i="14"/>
  <c r="P95" i="14"/>
  <c r="R96" i="14"/>
  <c r="O94" i="14"/>
  <c r="N91" i="14"/>
  <c r="L97" i="14"/>
  <c r="Q94" i="14"/>
  <c r="R97" i="14"/>
  <c r="S93" i="14"/>
  <c r="N95" i="14"/>
  <c r="L95" i="14"/>
  <c r="Q90" i="14"/>
  <c r="S96" i="14"/>
  <c r="N90" i="14"/>
  <c r="L93" i="14"/>
  <c r="P90" i="14"/>
  <c r="R90" i="14"/>
  <c r="O90" i="14"/>
  <c r="M93" i="14"/>
  <c r="Q93" i="14"/>
  <c r="R94" i="14"/>
  <c r="R93" i="14"/>
  <c r="M97" i="14"/>
  <c r="Q91" i="14"/>
  <c r="P93" i="14"/>
  <c r="O93" i="14"/>
  <c r="L94" i="14"/>
  <c r="P92" i="14"/>
  <c r="L91" i="14"/>
  <c r="P96" i="14"/>
  <c r="O97" i="14"/>
  <c r="L90" i="14"/>
  <c r="S95" i="14"/>
  <c r="O91" i="14"/>
  <c r="Q97" i="14"/>
  <c r="N97" i="14"/>
  <c r="R95" i="14"/>
  <c r="N94" i="14"/>
  <c r="S97" i="14"/>
  <c r="M95" i="14"/>
  <c r="S94" i="14"/>
  <c r="M94" i="14"/>
  <c r="S91" i="14"/>
  <c r="M91" i="14"/>
  <c r="R91" i="14"/>
  <c r="R62" i="14"/>
  <c r="Q60" i="14"/>
  <c r="P58" i="14"/>
  <c r="L62" i="14"/>
  <c r="M63" i="14"/>
  <c r="S61" i="14"/>
  <c r="R58" i="14"/>
  <c r="P62" i="14"/>
  <c r="O60" i="14"/>
  <c r="L58" i="14"/>
  <c r="N62" i="14"/>
  <c r="N58" i="14"/>
  <c r="Q62" i="14"/>
  <c r="O63" i="14"/>
  <c r="L59" i="14"/>
  <c r="M62" i="14"/>
  <c r="Q61" i="14"/>
  <c r="O62" i="14"/>
  <c r="N63" i="14"/>
  <c r="N59" i="14"/>
  <c r="R61" i="14"/>
  <c r="P60" i="14"/>
  <c r="S60" i="14"/>
  <c r="N61" i="14"/>
  <c r="R59" i="14"/>
  <c r="O61" i="14"/>
  <c r="N60" i="14"/>
  <c r="M61" i="14"/>
  <c r="P63" i="14"/>
  <c r="L61" i="14"/>
  <c r="M59" i="14"/>
  <c r="P59" i="14"/>
  <c r="S59" i="14"/>
  <c r="Q63" i="14"/>
  <c r="L60" i="14"/>
  <c r="P61" i="14"/>
  <c r="S58" i="14"/>
  <c r="O59" i="14"/>
  <c r="O58" i="14"/>
  <c r="L63" i="14"/>
  <c r="R63" i="14"/>
  <c r="M58" i="14"/>
  <c r="R60" i="14"/>
  <c r="S62" i="14"/>
  <c r="Q59" i="14"/>
  <c r="M60" i="14"/>
  <c r="Q58" i="14"/>
  <c r="S63" i="14"/>
  <c r="M27" i="14"/>
  <c r="S31" i="14"/>
  <c r="R29" i="14"/>
  <c r="O27" i="14"/>
  <c r="P28" i="14"/>
  <c r="P27" i="14"/>
  <c r="M31" i="14"/>
  <c r="L29" i="14"/>
  <c r="S27" i="14"/>
  <c r="O31" i="14"/>
  <c r="N29" i="14"/>
  <c r="Q27" i="14"/>
  <c r="M30" i="14"/>
  <c r="S32" i="14"/>
  <c r="R27" i="14"/>
  <c r="P31" i="14"/>
  <c r="Q29" i="14"/>
  <c r="M29" i="14"/>
  <c r="S30" i="14"/>
  <c r="O32" i="14"/>
  <c r="Q28" i="14"/>
  <c r="Q32" i="14"/>
  <c r="M28" i="14"/>
  <c r="S29" i="14"/>
  <c r="O30" i="14"/>
  <c r="N31" i="14"/>
  <c r="N27" i="14"/>
  <c r="L32" i="14"/>
  <c r="S28" i="14"/>
  <c r="O29" i="14"/>
  <c r="Q30" i="14"/>
  <c r="L31" i="14"/>
  <c r="R32" i="14"/>
  <c r="O28" i="14"/>
  <c r="N28" i="14"/>
  <c r="L30" i="14"/>
  <c r="R31" i="14"/>
  <c r="N32" i="14"/>
  <c r="P30" i="14"/>
  <c r="L28" i="14"/>
  <c r="R30" i="14"/>
  <c r="P29" i="14"/>
  <c r="P32" i="14"/>
  <c r="M32" i="14"/>
  <c r="L27" i="14"/>
  <c r="R28" i="14"/>
  <c r="Q31" i="14"/>
  <c r="N30" i="14"/>
  <c r="D26" i="66"/>
  <c r="D24" i="66"/>
  <c r="D25" i="66"/>
  <c r="D23" i="66"/>
  <c r="D72" i="30"/>
  <c r="J76" i="31"/>
  <c r="B76" i="31"/>
  <c r="D75" i="31"/>
  <c r="G76" i="31"/>
  <c r="H75" i="31"/>
  <c r="F76" i="31"/>
  <c r="G75" i="31"/>
  <c r="E76" i="31"/>
  <c r="F75" i="31"/>
  <c r="D76" i="31"/>
  <c r="E75" i="31"/>
  <c r="I76" i="31"/>
  <c r="J75" i="31"/>
  <c r="H76" i="31"/>
  <c r="I75" i="31"/>
  <c r="K76" i="31"/>
  <c r="C76" i="31"/>
  <c r="K75" i="31"/>
  <c r="C75" i="31"/>
  <c r="B75" i="31"/>
  <c r="G107" i="30"/>
  <c r="G106" i="30"/>
  <c r="M190" i="58"/>
  <c r="V168" i="22"/>
  <c r="H216" i="14"/>
  <c r="H217" i="14"/>
  <c r="H218" i="14"/>
  <c r="H220" i="14"/>
  <c r="H221" i="14"/>
  <c r="H222" i="14"/>
  <c r="H223" i="14"/>
  <c r="B228" i="18" a="1"/>
  <c r="B228" i="18" s="1"/>
  <c r="B227" i="1"/>
  <c r="D8" i="15"/>
  <c r="D9" i="15"/>
  <c r="D10" i="15"/>
  <c r="D11" i="15"/>
  <c r="D12" i="15"/>
  <c r="D13" i="15"/>
  <c r="D14" i="15"/>
  <c r="D15" i="15"/>
  <c r="D16" i="15"/>
  <c r="D17" i="15"/>
  <c r="D18" i="15"/>
  <c r="D19" i="15"/>
  <c r="D20" i="15"/>
  <c r="H8" i="15"/>
  <c r="H9" i="15"/>
  <c r="H10" i="15"/>
  <c r="H11" i="15"/>
  <c r="H12" i="15"/>
  <c r="H13" i="15"/>
  <c r="H14" i="15"/>
  <c r="H15" i="15"/>
  <c r="H16" i="15"/>
  <c r="H17" i="15"/>
  <c r="H18" i="15"/>
  <c r="H19" i="15"/>
  <c r="H20" i="15"/>
  <c r="D124" i="30" a="1"/>
  <c r="J87" i="15" a="1"/>
  <c r="L7" i="15" a="1"/>
  <c r="L64" i="15" a="1"/>
  <c r="L35" i="15" a="1"/>
  <c r="L49" i="15" a="1"/>
  <c r="Q49" i="15" a="1"/>
  <c r="L21" i="15" a="1"/>
  <c r="N69" i="15" l="1"/>
  <c r="Q71" i="15"/>
  <c r="T73" i="15"/>
  <c r="P69" i="15"/>
  <c r="L70" i="15"/>
  <c r="R70" i="15"/>
  <c r="L71" i="15"/>
  <c r="O66" i="15"/>
  <c r="M65" i="15"/>
  <c r="N71" i="15"/>
  <c r="Q73" i="15"/>
  <c r="P65" i="15"/>
  <c r="S72" i="15"/>
  <c r="T69" i="15"/>
  <c r="P70" i="15"/>
  <c r="L73" i="15"/>
  <c r="S64" i="15"/>
  <c r="L69" i="15"/>
  <c r="L64" i="15"/>
  <c r="P73" i="15"/>
  <c r="L67" i="15"/>
  <c r="L66" i="15"/>
  <c r="O68" i="15"/>
  <c r="Q65" i="15"/>
  <c r="S65" i="15"/>
  <c r="R64" i="15"/>
  <c r="Q70" i="15"/>
  <c r="Q69" i="15"/>
  <c r="T71" i="15"/>
  <c r="T70" i="15"/>
  <c r="Q67" i="15"/>
  <c r="N68" i="15"/>
  <c r="O65" i="15"/>
  <c r="M73" i="15"/>
  <c r="R66" i="15"/>
  <c r="N64" i="15"/>
  <c r="O69" i="15"/>
  <c r="S71" i="15"/>
  <c r="T68" i="15"/>
  <c r="O64" i="15"/>
  <c r="P68" i="15"/>
  <c r="N72" i="15"/>
  <c r="M71" i="15"/>
  <c r="Q66" i="15"/>
  <c r="P72" i="15"/>
  <c r="T67" i="15"/>
  <c r="L72" i="15"/>
  <c r="O67" i="15"/>
  <c r="T72" i="15"/>
  <c r="M70" i="15"/>
  <c r="N67" i="15"/>
  <c r="P71" i="15"/>
  <c r="L65" i="15"/>
  <c r="S67" i="15"/>
  <c r="R73" i="15"/>
  <c r="S70" i="15"/>
  <c r="N66" i="15"/>
  <c r="M72" i="15"/>
  <c r="O71" i="15"/>
  <c r="T64" i="15"/>
  <c r="Q72" i="15"/>
  <c r="S69" i="15"/>
  <c r="T66" i="15"/>
  <c r="M66" i="15"/>
  <c r="N70" i="15"/>
  <c r="M69" i="15"/>
  <c r="O73" i="15"/>
  <c r="R68" i="15"/>
  <c r="R69" i="15"/>
  <c r="S73" i="15"/>
  <c r="R72" i="15"/>
  <c r="Q64" i="15"/>
  <c r="N65" i="15"/>
  <c r="N73" i="15"/>
  <c r="S66" i="15"/>
  <c r="M64" i="15"/>
  <c r="M68" i="15"/>
  <c r="S68" i="15"/>
  <c r="R65" i="15"/>
  <c r="P64" i="15"/>
  <c r="Q68" i="15"/>
  <c r="T65" i="15"/>
  <c r="R71" i="15"/>
  <c r="O72" i="15"/>
  <c r="P67" i="15"/>
  <c r="L68" i="15"/>
  <c r="M67" i="15"/>
  <c r="O70" i="15"/>
  <c r="R67" i="15"/>
  <c r="P66" i="15"/>
  <c r="R50" i="15"/>
  <c r="R53" i="15"/>
  <c r="S55" i="15"/>
  <c r="S58" i="15"/>
  <c r="S50" i="15"/>
  <c r="S53" i="15"/>
  <c r="Q56" i="15"/>
  <c r="Q54" i="15"/>
  <c r="Q51" i="15"/>
  <c r="S51" i="15"/>
  <c r="R56" i="15"/>
  <c r="Q52" i="15"/>
  <c r="R51" i="15"/>
  <c r="S56" i="15"/>
  <c r="Q49" i="15"/>
  <c r="Q57" i="15"/>
  <c r="R54" i="15"/>
  <c r="R57" i="15"/>
  <c r="R49" i="15"/>
  <c r="R52" i="15"/>
  <c r="S54" i="15"/>
  <c r="S57" i="15"/>
  <c r="S49" i="15"/>
  <c r="S52" i="15"/>
  <c r="Q55" i="15"/>
  <c r="Q58" i="15"/>
  <c r="Q50" i="15"/>
  <c r="Q53" i="15"/>
  <c r="R55" i="15"/>
  <c r="R58" i="15"/>
  <c r="L56" i="15"/>
  <c r="N58" i="15"/>
  <c r="L51" i="15"/>
  <c r="N53" i="15"/>
  <c r="M56" i="15"/>
  <c r="L54" i="15"/>
  <c r="M51" i="15"/>
  <c r="M49" i="15"/>
  <c r="N56" i="15"/>
  <c r="N51" i="15"/>
  <c r="L49" i="15"/>
  <c r="L57" i="15"/>
  <c r="M54" i="15"/>
  <c r="L52" i="15"/>
  <c r="N54" i="15"/>
  <c r="M57" i="15"/>
  <c r="N49" i="15"/>
  <c r="M52" i="15"/>
  <c r="L55" i="15"/>
  <c r="N57" i="15"/>
  <c r="L50" i="15"/>
  <c r="N52" i="15"/>
  <c r="M55" i="15"/>
  <c r="L58" i="15"/>
  <c r="M50" i="15"/>
  <c r="L53" i="15"/>
  <c r="N55" i="15"/>
  <c r="M58" i="15"/>
  <c r="N50" i="15"/>
  <c r="M53" i="15"/>
  <c r="R36" i="15"/>
  <c r="O37" i="15"/>
  <c r="S39" i="15"/>
  <c r="N38" i="15"/>
  <c r="O38" i="15"/>
  <c r="R44" i="15"/>
  <c r="O39" i="15"/>
  <c r="L36" i="15"/>
  <c r="O36" i="15"/>
  <c r="P40" i="15"/>
  <c r="L35" i="15"/>
  <c r="O41" i="15"/>
  <c r="L42" i="15"/>
  <c r="O44" i="15"/>
  <c r="Q42" i="15"/>
  <c r="L37" i="15"/>
  <c r="O43" i="15"/>
  <c r="M42" i="15"/>
  <c r="P42" i="15"/>
  <c r="R40" i="15"/>
  <c r="S36" i="15"/>
  <c r="L39" i="15"/>
  <c r="P35" i="15"/>
  <c r="N42" i="15"/>
  <c r="Q36" i="15"/>
  <c r="S38" i="15"/>
  <c r="L41" i="15"/>
  <c r="P37" i="15"/>
  <c r="O42" i="15"/>
  <c r="Q44" i="15"/>
  <c r="S40" i="15"/>
  <c r="L43" i="15"/>
  <c r="P39" i="15"/>
  <c r="P38" i="15"/>
  <c r="R42" i="15"/>
  <c r="S42" i="15"/>
  <c r="M37" i="15"/>
  <c r="P41" i="15"/>
  <c r="P44" i="15"/>
  <c r="N35" i="15"/>
  <c r="S44" i="15"/>
  <c r="M39" i="15"/>
  <c r="P43" i="15"/>
  <c r="Q38" i="15"/>
  <c r="Q41" i="15"/>
  <c r="L44" i="15"/>
  <c r="M41" i="15"/>
  <c r="Q35" i="15"/>
  <c r="R38" i="15"/>
  <c r="R37" i="15"/>
  <c r="M40" i="15"/>
  <c r="M43" i="15"/>
  <c r="Q37" i="15"/>
  <c r="M35" i="15"/>
  <c r="R41" i="15"/>
  <c r="N36" i="15"/>
  <c r="N37" i="15"/>
  <c r="Q39" i="15"/>
  <c r="S35" i="15"/>
  <c r="S37" i="15"/>
  <c r="N44" i="15"/>
  <c r="N39" i="15"/>
  <c r="Q43" i="15"/>
  <c r="S41" i="15"/>
  <c r="O40" i="15"/>
  <c r="N41" i="15"/>
  <c r="R35" i="15"/>
  <c r="L40" i="15"/>
  <c r="L38" i="15"/>
  <c r="P36" i="15"/>
  <c r="N43" i="15"/>
  <c r="R39" i="15"/>
  <c r="M36" i="15"/>
  <c r="M38" i="15"/>
  <c r="Q40" i="15"/>
  <c r="N40" i="15"/>
  <c r="O35" i="15"/>
  <c r="R43" i="15"/>
  <c r="S43" i="15"/>
  <c r="M44" i="15"/>
  <c r="T29" i="15"/>
  <c r="O21" i="15"/>
  <c r="M25" i="15"/>
  <c r="R30" i="15"/>
  <c r="N22" i="15"/>
  <c r="T23" i="15"/>
  <c r="M23" i="15"/>
  <c r="T26" i="15"/>
  <c r="Q27" i="15"/>
  <c r="Q29" i="15"/>
  <c r="O29" i="15"/>
  <c r="T24" i="15"/>
  <c r="R28" i="15"/>
  <c r="S27" i="15"/>
  <c r="M22" i="15"/>
  <c r="M21" i="15"/>
  <c r="R26" i="15"/>
  <c r="P30" i="15"/>
  <c r="T21" i="15"/>
  <c r="P29" i="15"/>
  <c r="R22" i="15"/>
  <c r="T22" i="15"/>
  <c r="P28" i="15"/>
  <c r="P27" i="15"/>
  <c r="R23" i="15"/>
  <c r="N24" i="15"/>
  <c r="P24" i="15"/>
  <c r="R24" i="15"/>
  <c r="N30" i="15"/>
  <c r="R21" i="15"/>
  <c r="P25" i="15"/>
  <c r="O22" i="15"/>
  <c r="N26" i="15"/>
  <c r="P26" i="15"/>
  <c r="P21" i="15"/>
  <c r="P23" i="15"/>
  <c r="N27" i="15"/>
  <c r="M24" i="15"/>
  <c r="L28" i="15"/>
  <c r="N28" i="15"/>
  <c r="N23" i="15"/>
  <c r="N25" i="15"/>
  <c r="L29" i="15"/>
  <c r="T25" i="15"/>
  <c r="S29" i="15"/>
  <c r="L30" i="15"/>
  <c r="L25" i="15"/>
  <c r="L27" i="15"/>
  <c r="S30" i="15"/>
  <c r="R27" i="15"/>
  <c r="S25" i="15"/>
  <c r="L24" i="15"/>
  <c r="S26" i="15"/>
  <c r="S28" i="15"/>
  <c r="R25" i="15"/>
  <c r="Q22" i="15"/>
  <c r="L26" i="15"/>
  <c r="N21" i="15"/>
  <c r="Q28" i="15"/>
  <c r="Q30" i="15"/>
  <c r="L22" i="15"/>
  <c r="O24" i="15"/>
  <c r="L21" i="15"/>
  <c r="L23" i="15"/>
  <c r="O30" i="15"/>
  <c r="S21" i="15"/>
  <c r="S23" i="15"/>
  <c r="M26" i="15"/>
  <c r="S22" i="15"/>
  <c r="S24" i="15"/>
  <c r="N29" i="15"/>
  <c r="Q23" i="15"/>
  <c r="Q25" i="15"/>
  <c r="T27" i="15"/>
  <c r="Q24" i="15"/>
  <c r="Q26" i="15"/>
  <c r="P22" i="15"/>
  <c r="O25" i="15"/>
  <c r="O27" i="15"/>
  <c r="R29" i="15"/>
  <c r="O26" i="15"/>
  <c r="O28" i="15"/>
  <c r="Q21" i="15"/>
  <c r="M27" i="15"/>
  <c r="M29" i="15"/>
  <c r="M28" i="15"/>
  <c r="M30" i="15"/>
  <c r="O23" i="15"/>
  <c r="T28" i="15"/>
  <c r="T30" i="15"/>
  <c r="Q7" i="15"/>
  <c r="O9" i="15"/>
  <c r="M11" i="15"/>
  <c r="T12" i="15"/>
  <c r="R14" i="15"/>
  <c r="P16" i="15"/>
  <c r="R7" i="15"/>
  <c r="P9" i="15"/>
  <c r="N11" i="15"/>
  <c r="L13" i="15"/>
  <c r="S14" i="15"/>
  <c r="Q16" i="15"/>
  <c r="S7" i="15"/>
  <c r="Q9" i="15"/>
  <c r="O11" i="15"/>
  <c r="M13" i="15"/>
  <c r="T14" i="15"/>
  <c r="R16" i="15"/>
  <c r="T7" i="15"/>
  <c r="R9" i="15"/>
  <c r="P11" i="15"/>
  <c r="N13" i="15"/>
  <c r="L15" i="15"/>
  <c r="S16" i="15"/>
  <c r="L8" i="15"/>
  <c r="S9" i="15"/>
  <c r="Q11" i="15"/>
  <c r="O13" i="15"/>
  <c r="M15" i="15"/>
  <c r="T16" i="15"/>
  <c r="M8" i="15"/>
  <c r="T9" i="15"/>
  <c r="R11" i="15"/>
  <c r="P13" i="15"/>
  <c r="N15" i="15"/>
  <c r="N8" i="15"/>
  <c r="L10" i="15"/>
  <c r="S11" i="15"/>
  <c r="Q13" i="15"/>
  <c r="O15" i="15"/>
  <c r="O8" i="15"/>
  <c r="M10" i="15"/>
  <c r="T11" i="15"/>
  <c r="R13" i="15"/>
  <c r="P15" i="15"/>
  <c r="P8" i="15"/>
  <c r="N10" i="15"/>
  <c r="L12" i="15"/>
  <c r="S13" i="15"/>
  <c r="Q15" i="15"/>
  <c r="Q8" i="15"/>
  <c r="O10" i="15"/>
  <c r="M12" i="15"/>
  <c r="T13" i="15"/>
  <c r="R15" i="15"/>
  <c r="R8" i="15"/>
  <c r="P10" i="15"/>
  <c r="N12" i="15"/>
  <c r="L14" i="15"/>
  <c r="S15" i="15"/>
  <c r="L7" i="15"/>
  <c r="S8" i="15"/>
  <c r="Q10" i="15"/>
  <c r="O12" i="15"/>
  <c r="M14" i="15"/>
  <c r="T15" i="15"/>
  <c r="M7" i="15"/>
  <c r="T8" i="15"/>
  <c r="R10" i="15"/>
  <c r="P12" i="15"/>
  <c r="N14" i="15"/>
  <c r="L16" i="15"/>
  <c r="N7" i="15"/>
  <c r="L9" i="15"/>
  <c r="S10" i="15"/>
  <c r="Q12" i="15"/>
  <c r="O14" i="15"/>
  <c r="M16" i="15"/>
  <c r="N16" i="15"/>
  <c r="O16" i="15"/>
  <c r="O7" i="15"/>
  <c r="P7" i="15"/>
  <c r="M9" i="15"/>
  <c r="N9" i="15"/>
  <c r="T10" i="15"/>
  <c r="L11" i="15"/>
  <c r="R12" i="15"/>
  <c r="S12" i="15"/>
  <c r="P14" i="15"/>
  <c r="Q14" i="15"/>
  <c r="D124" i="30"/>
  <c r="J87" i="15"/>
  <c r="M44" i="39"/>
  <c r="D148" i="15"/>
  <c r="D149" i="15"/>
  <c r="D150" i="15"/>
  <c r="D151" i="15"/>
  <c r="D152" i="15"/>
  <c r="D153" i="15"/>
  <c r="D154" i="15"/>
  <c r="D155" i="15"/>
  <c r="D156" i="15"/>
  <c r="D157" i="15"/>
  <c r="D158" i="15"/>
  <c r="D159" i="15"/>
  <c r="D160" i="15"/>
  <c r="B33" i="18"/>
  <c r="B19" i="18"/>
  <c r="H70" i="14"/>
  <c r="H71" i="14"/>
  <c r="H72" i="14"/>
  <c r="H73" i="14"/>
  <c r="H74" i="14"/>
  <c r="B36" i="27"/>
  <c r="C19" i="65" l="1"/>
  <c r="E21" i="65" a="1"/>
  <c r="E18" i="65" a="1"/>
  <c r="E18" i="65" l="1"/>
  <c r="E21" i="65"/>
  <c r="W36" i="22"/>
  <c r="E24" i="65" a="1"/>
  <c r="E24" i="65" l="1"/>
  <c r="B16" i="22"/>
  <c r="C16" i="22"/>
  <c r="D16" i="22"/>
  <c r="E16" i="22"/>
  <c r="F16" i="22"/>
  <c r="G16" i="22"/>
  <c r="H16" i="22"/>
  <c r="I16" i="22"/>
  <c r="B228" i="1"/>
  <c r="D102" i="15" l="1"/>
  <c r="D103" i="15"/>
  <c r="D104" i="15"/>
  <c r="D105" i="15"/>
  <c r="D106" i="15"/>
  <c r="D107" i="15"/>
  <c r="D108" i="15"/>
  <c r="D109" i="15"/>
  <c r="D110" i="15"/>
  <c r="D111" i="15"/>
  <c r="D112" i="15"/>
  <c r="D113" i="15"/>
  <c r="D114" i="15"/>
  <c r="L113" i="15" a="1"/>
  <c r="L101" i="15" a="1"/>
  <c r="R114" i="15" l="1"/>
  <c r="P120" i="15"/>
  <c r="L114" i="15"/>
  <c r="M122" i="15"/>
  <c r="Q117" i="15"/>
  <c r="P119" i="15"/>
  <c r="P116" i="15"/>
  <c r="N115" i="15"/>
  <c r="O119" i="15"/>
  <c r="M115" i="15"/>
  <c r="M121" i="15"/>
  <c r="N114" i="15"/>
  <c r="N118" i="15"/>
  <c r="S118" i="15"/>
  <c r="M114" i="15"/>
  <c r="R118" i="15"/>
  <c r="T115" i="15"/>
  <c r="Q119" i="15"/>
  <c r="L120" i="15"/>
  <c r="O122" i="15"/>
  <c r="S117" i="15"/>
  <c r="N122" i="15"/>
  <c r="N121" i="15"/>
  <c r="M116" i="15"/>
  <c r="S121" i="15"/>
  <c r="Q113" i="15"/>
  <c r="O114" i="15"/>
  <c r="P113" i="15"/>
  <c r="L116" i="15"/>
  <c r="R119" i="15"/>
  <c r="O116" i="15"/>
  <c r="M117" i="15"/>
  <c r="P121" i="15"/>
  <c r="L117" i="15"/>
  <c r="T117" i="15"/>
  <c r="N116" i="15"/>
  <c r="L113" i="15"/>
  <c r="P122" i="15"/>
  <c r="L118" i="15"/>
  <c r="Q120" i="15"/>
  <c r="P114" i="15"/>
  <c r="S119" i="15"/>
  <c r="S114" i="15"/>
  <c r="P115" i="15"/>
  <c r="M118" i="15"/>
  <c r="O115" i="15"/>
  <c r="Q121" i="15"/>
  <c r="T119" i="15"/>
  <c r="Q116" i="15"/>
  <c r="N117" i="15"/>
  <c r="M113" i="15"/>
  <c r="T118" i="15"/>
  <c r="R121" i="15"/>
  <c r="O121" i="15"/>
  <c r="O118" i="15"/>
  <c r="L119" i="15"/>
  <c r="T114" i="15"/>
  <c r="R120" i="15"/>
  <c r="N113" i="15"/>
  <c r="Q114" i="15"/>
  <c r="M120" i="15"/>
  <c r="S120" i="15"/>
  <c r="R116" i="15"/>
  <c r="R113" i="15"/>
  <c r="Q115" i="15"/>
  <c r="T121" i="15"/>
  <c r="Q122" i="15"/>
  <c r="P118" i="15"/>
  <c r="O117" i="15"/>
  <c r="P117" i="15"/>
  <c r="S116" i="15"/>
  <c r="S113" i="15"/>
  <c r="N120" i="15"/>
  <c r="T120" i="15"/>
  <c r="L121" i="15"/>
  <c r="O120" i="15"/>
  <c r="M119" i="15"/>
  <c r="L122" i="15"/>
  <c r="R122" i="15"/>
  <c r="S115" i="15"/>
  <c r="O113" i="15"/>
  <c r="R115" i="15"/>
  <c r="L115" i="15"/>
  <c r="T113" i="15"/>
  <c r="T122" i="15"/>
  <c r="T116" i="15"/>
  <c r="N119" i="15"/>
  <c r="Q118" i="15"/>
  <c r="S122" i="15"/>
  <c r="R117" i="15"/>
  <c r="O109" i="15"/>
  <c r="S104" i="15"/>
  <c r="P110" i="15"/>
  <c r="M101" i="15"/>
  <c r="O102" i="15"/>
  <c r="M106" i="15"/>
  <c r="R107" i="15"/>
  <c r="Q106" i="15"/>
  <c r="P103" i="15"/>
  <c r="L105" i="15"/>
  <c r="L106" i="15"/>
  <c r="O103" i="15"/>
  <c r="P102" i="15"/>
  <c r="O108" i="15"/>
  <c r="N105" i="15"/>
  <c r="O110" i="15"/>
  <c r="Q109" i="15"/>
  <c r="R109" i="15"/>
  <c r="T107" i="15"/>
  <c r="M110" i="15"/>
  <c r="S108" i="15"/>
  <c r="M105" i="15"/>
  <c r="O104" i="15"/>
  <c r="P109" i="15"/>
  <c r="L101" i="15"/>
  <c r="O101" i="15"/>
  <c r="Q103" i="15"/>
  <c r="R108" i="15"/>
  <c r="N101" i="15"/>
  <c r="S102" i="15"/>
  <c r="M103" i="15"/>
  <c r="T108" i="15"/>
  <c r="R101" i="15"/>
  <c r="Q110" i="15"/>
  <c r="Q104" i="15"/>
  <c r="T104" i="15"/>
  <c r="R103" i="15"/>
  <c r="L107" i="15"/>
  <c r="O105" i="15"/>
  <c r="O106" i="15"/>
  <c r="R106" i="15"/>
  <c r="S110" i="15"/>
  <c r="S101" i="15"/>
  <c r="R110" i="15"/>
  <c r="M108" i="15"/>
  <c r="P108" i="15"/>
  <c r="Q105" i="15"/>
  <c r="M107" i="15"/>
  <c r="P105" i="15"/>
  <c r="T109" i="15"/>
  <c r="N110" i="15"/>
  <c r="T110" i="15"/>
  <c r="T101" i="15"/>
  <c r="L109" i="15"/>
  <c r="R102" i="15"/>
  <c r="T102" i="15"/>
  <c r="P101" i="15"/>
  <c r="R105" i="15"/>
  <c r="N107" i="15"/>
  <c r="L102" i="15"/>
  <c r="P104" i="15"/>
  <c r="R104" i="15"/>
  <c r="N103" i="15"/>
  <c r="N109" i="15"/>
  <c r="S103" i="15"/>
  <c r="O107" i="15"/>
  <c r="N106" i="15"/>
  <c r="P106" i="15"/>
  <c r="S106" i="15"/>
  <c r="S105" i="15"/>
  <c r="M109" i="15"/>
  <c r="M102" i="15"/>
  <c r="L108" i="15"/>
  <c r="N108" i="15"/>
  <c r="Q108" i="15"/>
  <c r="M104" i="15"/>
  <c r="T103" i="15"/>
  <c r="Q107" i="15"/>
  <c r="S109" i="15"/>
  <c r="L110" i="15"/>
  <c r="Q101" i="15"/>
  <c r="S107" i="15"/>
  <c r="P107" i="15"/>
  <c r="T105" i="15"/>
  <c r="N102" i="15"/>
  <c r="L103" i="15"/>
  <c r="T106" i="15"/>
  <c r="Q102" i="15"/>
  <c r="L104" i="15"/>
  <c r="N104" i="15"/>
  <c r="C170" i="15" a="1"/>
  <c r="D170" i="15" s="1"/>
  <c r="E171" i="15" l="1"/>
  <c r="N177" i="15"/>
  <c r="O176" i="15"/>
  <c r="L175" i="15"/>
  <c r="M177" i="15"/>
  <c r="G173" i="15"/>
  <c r="E172" i="15"/>
  <c r="L176" i="15"/>
  <c r="P170" i="15"/>
  <c r="E173" i="15"/>
  <c r="O171" i="15"/>
  <c r="P177" i="15"/>
  <c r="F173" i="15"/>
  <c r="G174" i="15"/>
  <c r="J176" i="15"/>
  <c r="P171" i="15"/>
  <c r="K177" i="15"/>
  <c r="D174" i="15"/>
  <c r="G172" i="15"/>
  <c r="K175" i="15"/>
  <c r="C172" i="15"/>
  <c r="H175" i="15"/>
  <c r="D172" i="15"/>
  <c r="E174" i="15"/>
  <c r="J177" i="15"/>
  <c r="L170" i="15"/>
  <c r="K170" i="15"/>
  <c r="N172" i="15"/>
  <c r="M175" i="15"/>
  <c r="N176" i="15"/>
  <c r="O177" i="15"/>
  <c r="I174" i="15"/>
  <c r="I175" i="15"/>
  <c r="O170" i="15"/>
  <c r="C173" i="15"/>
  <c r="G176" i="15"/>
  <c r="D175" i="15"/>
  <c r="I170" i="15"/>
  <c r="C170" i="15"/>
  <c r="D171" i="15"/>
  <c r="F175" i="15"/>
  <c r="N171" i="15"/>
  <c r="C174" i="15"/>
  <c r="I173" i="15"/>
  <c r="J174" i="15"/>
  <c r="I176" i="15"/>
  <c r="F176" i="15"/>
  <c r="L171" i="15"/>
  <c r="J170" i="15"/>
  <c r="D176" i="15"/>
  <c r="G170" i="15"/>
  <c r="F172" i="15"/>
  <c r="M176" i="15"/>
  <c r="C171" i="15"/>
  <c r="J175" i="15"/>
  <c r="I177" i="15"/>
  <c r="P173" i="15"/>
  <c r="G177" i="15"/>
  <c r="O173" i="15"/>
  <c r="N173" i="15"/>
  <c r="H170" i="15"/>
  <c r="C176" i="15"/>
  <c r="P175" i="15"/>
  <c r="J172" i="15"/>
  <c r="F170" i="15"/>
  <c r="K174" i="15"/>
  <c r="H173" i="15"/>
  <c r="F174" i="15"/>
  <c r="N170" i="15"/>
  <c r="G175" i="15"/>
  <c r="M170" i="15"/>
  <c r="H176" i="15"/>
  <c r="E175" i="15"/>
  <c r="M171" i="15"/>
  <c r="E176" i="15"/>
  <c r="M172" i="15"/>
  <c r="F177" i="15"/>
  <c r="O174" i="15"/>
  <c r="M173" i="15"/>
  <c r="I171" i="15"/>
  <c r="N174" i="15"/>
  <c r="M174" i="15"/>
  <c r="I172" i="15"/>
  <c r="G171" i="15"/>
  <c r="E170" i="15"/>
  <c r="H174" i="15"/>
  <c r="K176" i="15"/>
  <c r="L177" i="15"/>
  <c r="D173" i="15"/>
  <c r="P172" i="15"/>
  <c r="O172" i="15"/>
  <c r="H177" i="15"/>
  <c r="C175" i="15"/>
  <c r="K171" i="15"/>
  <c r="P174" i="15"/>
  <c r="L172" i="15"/>
  <c r="J171" i="15"/>
  <c r="E177" i="15"/>
  <c r="K172" i="15"/>
  <c r="D177" i="15"/>
  <c r="L173" i="15"/>
  <c r="H171" i="15"/>
  <c r="C177" i="15"/>
  <c r="O175" i="15"/>
  <c r="K173" i="15"/>
  <c r="P176" i="15"/>
  <c r="N175" i="15"/>
  <c r="L174" i="15"/>
  <c r="J173" i="15"/>
  <c r="H172" i="15"/>
  <c r="F171" i="15"/>
  <c r="D180" i="55"/>
  <c r="D12" i="22"/>
  <c r="D13" i="22"/>
  <c r="D14" i="22"/>
  <c r="D15" i="22"/>
  <c r="E18" i="11" a="1"/>
  <c r="E18" i="11" s="1"/>
  <c r="F18" i="11" l="1"/>
  <c r="F20" i="11"/>
  <c r="E20" i="11"/>
  <c r="F19" i="11"/>
  <c r="E19" i="11"/>
  <c r="C73" i="41" a="1"/>
  <c r="C73" i="41" s="1"/>
  <c r="E74" i="41" l="1"/>
  <c r="D74" i="41"/>
  <c r="C74" i="41"/>
  <c r="E73" i="41"/>
  <c r="D73" i="41"/>
  <c r="E12" i="53"/>
  <c r="B12" i="53" a="1"/>
  <c r="B12" i="53" l="1"/>
  <c r="B30" i="30"/>
  <c r="H226" i="14"/>
  <c r="H227" i="14"/>
  <c r="H228" i="14"/>
  <c r="B224" i="14"/>
  <c r="B225" i="14"/>
  <c r="H225" i="14" s="1"/>
  <c r="B137" i="7"/>
  <c r="B79" i="12" a="1"/>
  <c r="C80" i="12" s="1"/>
  <c r="H79" i="12" l="1"/>
  <c r="B80" i="12"/>
  <c r="F79" i="12"/>
  <c r="E79" i="12"/>
  <c r="C79" i="12"/>
  <c r="I80" i="12"/>
  <c r="B79" i="12"/>
  <c r="G79" i="12"/>
  <c r="D79" i="12"/>
  <c r="G80" i="12"/>
  <c r="E80" i="12"/>
  <c r="H80" i="12"/>
  <c r="D80" i="12"/>
  <c r="I79" i="12"/>
  <c r="F80" i="12"/>
  <c r="H17" i="22"/>
  <c r="H18" i="22"/>
  <c r="H19" i="22"/>
  <c r="H20" i="22"/>
  <c r="B63" i="21" l="1" a="1"/>
  <c r="B63" i="21" s="1"/>
  <c r="B64" i="21" l="1"/>
  <c r="M181" i="58"/>
  <c r="H148" i="15" l="1"/>
  <c r="H149" i="15"/>
  <c r="H150" i="15"/>
  <c r="H151" i="15"/>
  <c r="H152" i="15"/>
  <c r="H153" i="15"/>
  <c r="H154" i="15"/>
  <c r="H155" i="15"/>
  <c r="H156" i="15"/>
  <c r="H157" i="15"/>
  <c r="H158" i="15"/>
  <c r="H159" i="15"/>
  <c r="H160" i="15"/>
  <c r="E12" i="11" a="1"/>
  <c r="F13" i="11" s="1"/>
  <c r="L147" i="15" a="1"/>
  <c r="R148" i="15" l="1"/>
  <c r="P152" i="15"/>
  <c r="L151" i="15"/>
  <c r="O151" i="15"/>
  <c r="M147" i="15"/>
  <c r="S153" i="15"/>
  <c r="Q156" i="15"/>
  <c r="N152" i="15"/>
  <c r="L156" i="15"/>
  <c r="Q154" i="15"/>
  <c r="T147" i="15"/>
  <c r="S147" i="15"/>
  <c r="N147" i="15"/>
  <c r="L154" i="15"/>
  <c r="O156" i="15"/>
  <c r="P151" i="15"/>
  <c r="M153" i="15"/>
  <c r="N155" i="15"/>
  <c r="S155" i="15"/>
  <c r="S156" i="15"/>
  <c r="S151" i="15"/>
  <c r="O148" i="15"/>
  <c r="S149" i="15"/>
  <c r="T151" i="15"/>
  <c r="Q148" i="15"/>
  <c r="O153" i="15"/>
  <c r="R155" i="15"/>
  <c r="T156" i="15"/>
  <c r="L147" i="15"/>
  <c r="L148" i="15"/>
  <c r="T153" i="15"/>
  <c r="S148" i="15"/>
  <c r="P153" i="15"/>
  <c r="R153" i="15"/>
  <c r="Q150" i="15"/>
  <c r="O152" i="15"/>
  <c r="M148" i="15"/>
  <c r="M154" i="15"/>
  <c r="R151" i="15"/>
  <c r="L153" i="15"/>
  <c r="P147" i="15"/>
  <c r="S154" i="15"/>
  <c r="R150" i="15"/>
  <c r="P150" i="15"/>
  <c r="N154" i="15"/>
  <c r="S152" i="15"/>
  <c r="T154" i="15"/>
  <c r="O150" i="15"/>
  <c r="L149" i="15"/>
  <c r="S150" i="15"/>
  <c r="R156" i="15"/>
  <c r="Q152" i="15"/>
  <c r="R149" i="15"/>
  <c r="O154" i="15"/>
  <c r="L152" i="15"/>
  <c r="T152" i="15"/>
  <c r="O147" i="15"/>
  <c r="Q151" i="15"/>
  <c r="M155" i="15"/>
  <c r="P149" i="15"/>
  <c r="M150" i="15"/>
  <c r="N156" i="15"/>
  <c r="N150" i="15"/>
  <c r="Q149" i="15"/>
  <c r="Q147" i="15"/>
  <c r="O149" i="15"/>
  <c r="M151" i="15"/>
  <c r="M156" i="15"/>
  <c r="Q155" i="15"/>
  <c r="R154" i="15"/>
  <c r="M149" i="15"/>
  <c r="L150" i="15"/>
  <c r="Q153" i="15"/>
  <c r="N151" i="15"/>
  <c r="P155" i="15"/>
  <c r="T148" i="15"/>
  <c r="O155" i="15"/>
  <c r="P148" i="15"/>
  <c r="N153" i="15"/>
  <c r="L155" i="15"/>
  <c r="T149" i="15"/>
  <c r="P156" i="15"/>
  <c r="T150" i="15"/>
  <c r="R152" i="15"/>
  <c r="P154" i="15"/>
  <c r="N148" i="15"/>
  <c r="M152" i="15"/>
  <c r="R147" i="15"/>
  <c r="N149" i="15"/>
  <c r="T155" i="15"/>
  <c r="F14" i="11"/>
  <c r="E14" i="11"/>
  <c r="E13" i="11"/>
  <c r="F12" i="11"/>
  <c r="F15" i="11"/>
  <c r="E15" i="11"/>
  <c r="E12" i="11"/>
  <c r="D8" i="22"/>
  <c r="D9" i="22"/>
  <c r="D10" i="22"/>
  <c r="H129" i="15"/>
  <c r="H130" i="15"/>
  <c r="H131" i="15"/>
  <c r="H132" i="15"/>
  <c r="H133" i="15"/>
  <c r="H134" i="15"/>
  <c r="H135" i="15"/>
  <c r="H136" i="15"/>
  <c r="H137" i="15"/>
  <c r="H138" i="15"/>
  <c r="H139" i="15"/>
  <c r="H140" i="15"/>
  <c r="H141" i="15"/>
  <c r="H70" i="39"/>
  <c r="H71" i="39"/>
  <c r="H72" i="39"/>
  <c r="H73" i="39"/>
  <c r="H74" i="39"/>
  <c r="H75" i="39"/>
  <c r="H76" i="39"/>
  <c r="H77" i="39"/>
  <c r="H78" i="39"/>
  <c r="H79" i="39"/>
  <c r="H80" i="39"/>
  <c r="H81" i="39"/>
  <c r="H82" i="39"/>
  <c r="L91" i="39" a="1"/>
  <c r="L69" i="39" a="1"/>
  <c r="M96" i="39" l="1"/>
  <c r="M91" i="39"/>
  <c r="M92" i="39"/>
  <c r="L92" i="39"/>
  <c r="L99" i="39"/>
  <c r="L96" i="39"/>
  <c r="M99" i="39"/>
  <c r="L95" i="39"/>
  <c r="M95" i="39"/>
  <c r="L98" i="39"/>
  <c r="L91" i="39"/>
  <c r="L94" i="39"/>
  <c r="L97" i="39"/>
  <c r="M98" i="39"/>
  <c r="L100" i="39"/>
  <c r="L93" i="39"/>
  <c r="M94" i="39"/>
  <c r="M93" i="39"/>
  <c r="M100" i="39"/>
  <c r="M97" i="39"/>
  <c r="L69" i="39"/>
  <c r="F16" i="11"/>
  <c r="H12" i="22"/>
  <c r="H13" i="22"/>
  <c r="H14" i="22"/>
  <c r="H15" i="22"/>
  <c r="D70" i="14"/>
  <c r="D71" i="14"/>
  <c r="D72" i="14"/>
  <c r="D73" i="14"/>
  <c r="D74" i="14"/>
  <c r="L193" i="14" a="1"/>
  <c r="L69" i="14" a="1"/>
  <c r="L78" i="14" a="1"/>
  <c r="L193" i="14" l="1"/>
  <c r="N193" i="14"/>
  <c r="S193" i="14"/>
  <c r="N196" i="14"/>
  <c r="P193" i="14"/>
  <c r="Q195" i="14"/>
  <c r="M193" i="14"/>
  <c r="P196" i="14"/>
  <c r="O194" i="14"/>
  <c r="L198" i="14"/>
  <c r="S194" i="14"/>
  <c r="P198" i="14"/>
  <c r="R194" i="14"/>
  <c r="M198" i="14"/>
  <c r="Q193" i="14"/>
  <c r="R197" i="14"/>
  <c r="Q194" i="14"/>
  <c r="L194" i="14"/>
  <c r="N195" i="14"/>
  <c r="S196" i="14"/>
  <c r="O193" i="14"/>
  <c r="P194" i="14"/>
  <c r="Q196" i="14"/>
  <c r="N198" i="14"/>
  <c r="Q198" i="14"/>
  <c r="L197" i="14"/>
  <c r="R198" i="14"/>
  <c r="R193" i="14"/>
  <c r="M197" i="14"/>
  <c r="O197" i="14"/>
  <c r="R195" i="14"/>
  <c r="N194" i="14"/>
  <c r="S197" i="14"/>
  <c r="L195" i="14"/>
  <c r="N197" i="14"/>
  <c r="S198" i="14"/>
  <c r="O196" i="14"/>
  <c r="P195" i="14"/>
  <c r="Q197" i="14"/>
  <c r="L196" i="14"/>
  <c r="O198" i="14"/>
  <c r="M195" i="14"/>
  <c r="P197" i="14"/>
  <c r="O195" i="14"/>
  <c r="M194" i="14"/>
  <c r="S195" i="14"/>
  <c r="M196" i="14"/>
  <c r="R196" i="14"/>
  <c r="P82" i="14"/>
  <c r="O80" i="14"/>
  <c r="N78" i="14"/>
  <c r="R82" i="14"/>
  <c r="S78" i="14"/>
  <c r="Q80" i="14"/>
  <c r="P78" i="14"/>
  <c r="N82" i="14"/>
  <c r="M80" i="14"/>
  <c r="R78" i="14"/>
  <c r="Q83" i="14"/>
  <c r="L82" i="14"/>
  <c r="O81" i="14"/>
  <c r="M82" i="14"/>
  <c r="S81" i="14"/>
  <c r="L83" i="14"/>
  <c r="P80" i="14"/>
  <c r="N81" i="14"/>
  <c r="R83" i="14"/>
  <c r="L81" i="14"/>
  <c r="S79" i="14"/>
  <c r="O82" i="14"/>
  <c r="M79" i="14"/>
  <c r="Q78" i="14"/>
  <c r="O79" i="14"/>
  <c r="M78" i="14"/>
  <c r="S80" i="14"/>
  <c r="O78" i="14"/>
  <c r="R81" i="14"/>
  <c r="L78" i="14"/>
  <c r="N80" i="14"/>
  <c r="S83" i="14"/>
  <c r="M83" i="14"/>
  <c r="L80" i="14"/>
  <c r="O83" i="14"/>
  <c r="L79" i="14"/>
  <c r="P81" i="14"/>
  <c r="S82" i="14"/>
  <c r="M81" i="14"/>
  <c r="R80" i="14"/>
  <c r="R79" i="14"/>
  <c r="Q81" i="14"/>
  <c r="Q82" i="14"/>
  <c r="P83" i="14"/>
  <c r="Q79" i="14"/>
  <c r="P79" i="14"/>
  <c r="N83" i="14"/>
  <c r="N79" i="14"/>
  <c r="P73" i="14"/>
  <c r="O71" i="14"/>
  <c r="N69" i="14"/>
  <c r="L71" i="14"/>
  <c r="R69" i="14"/>
  <c r="M74" i="14"/>
  <c r="Q71" i="14"/>
  <c r="P69" i="14"/>
  <c r="N73" i="14"/>
  <c r="S71" i="14"/>
  <c r="M70" i="14"/>
  <c r="M71" i="14"/>
  <c r="Q69" i="14"/>
  <c r="P74" i="14"/>
  <c r="O74" i="14"/>
  <c r="N70" i="14"/>
  <c r="R70" i="14"/>
  <c r="L69" i="14"/>
  <c r="Q73" i="14"/>
  <c r="O72" i="14"/>
  <c r="S73" i="14"/>
  <c r="R72" i="14"/>
  <c r="R71" i="14"/>
  <c r="O73" i="14"/>
  <c r="S70" i="14"/>
  <c r="L72" i="14"/>
  <c r="Q70" i="14"/>
  <c r="N72" i="14"/>
  <c r="L73" i="14"/>
  <c r="N74" i="14"/>
  <c r="M72" i="14"/>
  <c r="Q74" i="14"/>
  <c r="N71" i="14"/>
  <c r="R74" i="14"/>
  <c r="Q72" i="14"/>
  <c r="S74" i="14"/>
  <c r="M69" i="14"/>
  <c r="P72" i="14"/>
  <c r="S72" i="14"/>
  <c r="L74" i="14"/>
  <c r="P71" i="14"/>
  <c r="S69" i="14"/>
  <c r="P70" i="14"/>
  <c r="R73" i="14"/>
  <c r="O70" i="14"/>
  <c r="M73" i="14"/>
  <c r="O69" i="14"/>
  <c r="L70" i="14"/>
  <c r="C331" i="14" a="1"/>
  <c r="F331" i="14" s="1"/>
  <c r="O336" i="14" l="1"/>
  <c r="E332" i="14"/>
  <c r="C331" i="14"/>
  <c r="K334" i="14"/>
  <c r="P337" i="14"/>
  <c r="F332" i="14"/>
  <c r="I334" i="14"/>
  <c r="H334" i="14"/>
  <c r="G332" i="14"/>
  <c r="H333" i="14"/>
  <c r="K335" i="14"/>
  <c r="J335" i="14"/>
  <c r="E333" i="14"/>
  <c r="D333" i="14"/>
  <c r="I336" i="14"/>
  <c r="L338" i="14"/>
  <c r="I333" i="14"/>
  <c r="L335" i="14"/>
  <c r="M336" i="14"/>
  <c r="P338" i="14"/>
  <c r="L336" i="14"/>
  <c r="O338" i="14"/>
  <c r="C332" i="14"/>
  <c r="L337" i="14"/>
  <c r="M338" i="14"/>
  <c r="E334" i="14"/>
  <c r="H336" i="14"/>
  <c r="P333" i="14"/>
  <c r="N333" i="14"/>
  <c r="E331" i="14"/>
  <c r="G333" i="14"/>
  <c r="F333" i="14"/>
  <c r="M337" i="14"/>
  <c r="N338" i="14"/>
  <c r="F334" i="14"/>
  <c r="K337" i="14"/>
  <c r="O331" i="14"/>
  <c r="F335" i="14"/>
  <c r="I337" i="14"/>
  <c r="M331" i="14"/>
  <c r="D335" i="14"/>
  <c r="I338" i="14"/>
  <c r="M332" i="14"/>
  <c r="M333" i="14"/>
  <c r="I331" i="14"/>
  <c r="G334" i="14"/>
  <c r="H335" i="14"/>
  <c r="P331" i="14"/>
  <c r="G335" i="14"/>
  <c r="J337" i="14"/>
  <c r="N331" i="14"/>
  <c r="E335" i="14"/>
  <c r="O332" i="14"/>
  <c r="H337" i="14"/>
  <c r="N332" i="14"/>
  <c r="C335" i="14"/>
  <c r="H338" i="14"/>
  <c r="D336" i="14"/>
  <c r="J331" i="14"/>
  <c r="D337" i="14"/>
  <c r="N334" i="14"/>
  <c r="L333" i="14"/>
  <c r="J332" i="14"/>
  <c r="H331" i="14"/>
  <c r="M335" i="14"/>
  <c r="N336" i="14"/>
  <c r="O337" i="14"/>
  <c r="N337" i="14"/>
  <c r="I335" i="14"/>
  <c r="P332" i="14"/>
  <c r="K338" i="14"/>
  <c r="C334" i="14"/>
  <c r="F336" i="14"/>
  <c r="L331" i="14"/>
  <c r="G337" i="14"/>
  <c r="O333" i="14"/>
  <c r="F337" i="14"/>
  <c r="L332" i="14"/>
  <c r="E337" i="14"/>
  <c r="O334" i="14"/>
  <c r="K332" i="14"/>
  <c r="E338" i="14"/>
  <c r="O335" i="14"/>
  <c r="M334" i="14"/>
  <c r="K333" i="14"/>
  <c r="I332" i="14"/>
  <c r="G331" i="14"/>
  <c r="C338" i="14"/>
  <c r="J334" i="14"/>
  <c r="D331" i="14"/>
  <c r="D332" i="14"/>
  <c r="K336" i="14"/>
  <c r="J336" i="14"/>
  <c r="C333" i="14"/>
  <c r="D334" i="14"/>
  <c r="G336" i="14"/>
  <c r="J338" i="14"/>
  <c r="E336" i="14"/>
  <c r="K331" i="14"/>
  <c r="P334" i="14"/>
  <c r="G338" i="14"/>
  <c r="C336" i="14"/>
  <c r="F338" i="14"/>
  <c r="P335" i="14"/>
  <c r="C337" i="14"/>
  <c r="D338" i="14"/>
  <c r="P336" i="14"/>
  <c r="N335" i="14"/>
  <c r="L334" i="14"/>
  <c r="J333" i="14"/>
  <c r="H332" i="14"/>
  <c r="B226" i="1"/>
  <c r="C38" i="27" l="1"/>
  <c r="E38" i="27"/>
  <c r="D220" i="14"/>
  <c r="D221" i="14"/>
  <c r="D222" i="14"/>
  <c r="D223" i="14"/>
  <c r="J55" i="55" l="1"/>
  <c r="P189" i="58"/>
  <c r="C19" i="18"/>
  <c r="B219" i="14"/>
  <c r="B34" i="27"/>
  <c r="I219" i="14"/>
  <c r="E23" i="11" a="1"/>
  <c r="E23" i="11" s="1"/>
  <c r="C182" i="58"/>
  <c r="H248" i="58" a="1"/>
  <c r="H179" i="58" a="1"/>
  <c r="H205" i="58" a="1"/>
  <c r="N258" i="58" a="1"/>
  <c r="H188" i="58" a="1"/>
  <c r="H219" i="58" a="1"/>
  <c r="H237" i="58" a="1"/>
  <c r="I101" i="60" a="1"/>
  <c r="I249" i="58" l="1"/>
  <c r="I253" i="58"/>
  <c r="K253" i="58"/>
  <c r="J249" i="58"/>
  <c r="J253" i="58"/>
  <c r="K249" i="58"/>
  <c r="I252" i="58"/>
  <c r="H251" i="58"/>
  <c r="H250" i="58"/>
  <c r="I250" i="58"/>
  <c r="H248" i="58"/>
  <c r="J250" i="58"/>
  <c r="H252" i="58"/>
  <c r="K250" i="58"/>
  <c r="J252" i="58"/>
  <c r="I251" i="58"/>
  <c r="K248" i="58"/>
  <c r="J251" i="58"/>
  <c r="K252" i="58"/>
  <c r="K251" i="58"/>
  <c r="J248" i="58"/>
  <c r="H253" i="58"/>
  <c r="H249" i="58"/>
  <c r="I248" i="58"/>
  <c r="H237" i="58"/>
  <c r="I239" i="58"/>
  <c r="H241" i="58"/>
  <c r="J239" i="58"/>
  <c r="I241" i="58"/>
  <c r="K239" i="58"/>
  <c r="J237" i="58"/>
  <c r="I240" i="58"/>
  <c r="J241" i="58"/>
  <c r="K240" i="58"/>
  <c r="K237" i="58"/>
  <c r="I237" i="58"/>
  <c r="I242" i="58"/>
  <c r="K241" i="58"/>
  <c r="J240" i="58"/>
  <c r="H238" i="58"/>
  <c r="H240" i="58"/>
  <c r="H242" i="58"/>
  <c r="I238" i="58"/>
  <c r="J238" i="58"/>
  <c r="J242" i="58"/>
  <c r="K238" i="58"/>
  <c r="H239" i="58"/>
  <c r="K242" i="58"/>
  <c r="H220" i="58"/>
  <c r="J224" i="58"/>
  <c r="H224" i="58"/>
  <c r="I220" i="58"/>
  <c r="I224" i="58"/>
  <c r="J220" i="58"/>
  <c r="I219" i="58"/>
  <c r="H222" i="58"/>
  <c r="K220" i="58"/>
  <c r="H221" i="58"/>
  <c r="H219" i="58"/>
  <c r="I221" i="58"/>
  <c r="H223" i="58"/>
  <c r="K221" i="58"/>
  <c r="I223" i="58"/>
  <c r="I222" i="58"/>
  <c r="J219" i="58"/>
  <c r="J222" i="58"/>
  <c r="J223" i="58"/>
  <c r="K222" i="58"/>
  <c r="K224" i="58"/>
  <c r="J221" i="58"/>
  <c r="K219" i="58"/>
  <c r="K223" i="58"/>
  <c r="K208" i="58"/>
  <c r="I207" i="58"/>
  <c r="H205" i="58"/>
  <c r="J207" i="58"/>
  <c r="H209" i="58"/>
  <c r="K207" i="58"/>
  <c r="I209" i="58"/>
  <c r="H208" i="58"/>
  <c r="J209" i="58"/>
  <c r="I208" i="58"/>
  <c r="K205" i="58"/>
  <c r="J208" i="58"/>
  <c r="I210" i="58"/>
  <c r="K209" i="58"/>
  <c r="I205" i="58"/>
  <c r="H206" i="58"/>
  <c r="J205" i="58"/>
  <c r="H210" i="58"/>
  <c r="I206" i="58"/>
  <c r="J206" i="58"/>
  <c r="J210" i="58"/>
  <c r="K206" i="58"/>
  <c r="K210" i="58"/>
  <c r="H207" i="58"/>
  <c r="H179" i="58"/>
  <c r="I184" i="58"/>
  <c r="H183" i="58"/>
  <c r="J184" i="58"/>
  <c r="I183" i="58"/>
  <c r="K180" i="58"/>
  <c r="J183" i="58"/>
  <c r="J181" i="58"/>
  <c r="K179" i="58"/>
  <c r="K181" i="58"/>
  <c r="K183" i="58"/>
  <c r="H182" i="58"/>
  <c r="H180" i="58"/>
  <c r="J182" i="58"/>
  <c r="I180" i="58"/>
  <c r="J179" i="58"/>
  <c r="J180" i="58"/>
  <c r="K184" i="58"/>
  <c r="I181" i="58"/>
  <c r="I182" i="58"/>
  <c r="K182" i="58"/>
  <c r="H181" i="58"/>
  <c r="I179" i="58"/>
  <c r="H184" i="58"/>
  <c r="H189" i="58"/>
  <c r="H193" i="58"/>
  <c r="J193" i="58"/>
  <c r="I189" i="58"/>
  <c r="I193" i="58"/>
  <c r="J189" i="58"/>
  <c r="K189" i="58"/>
  <c r="I190" i="58"/>
  <c r="K191" i="58"/>
  <c r="H191" i="58"/>
  <c r="H188" i="58"/>
  <c r="J191" i="58"/>
  <c r="I192" i="58"/>
  <c r="K193" i="58"/>
  <c r="J188" i="58"/>
  <c r="J190" i="58"/>
  <c r="J192" i="58"/>
  <c r="K190" i="58"/>
  <c r="K192" i="58"/>
  <c r="I188" i="58"/>
  <c r="K188" i="58"/>
  <c r="H190" i="58"/>
  <c r="H192" i="58"/>
  <c r="I191" i="58"/>
  <c r="N258" i="58"/>
  <c r="N259" i="58"/>
  <c r="I101" i="60"/>
  <c r="E25" i="11"/>
  <c r="F25" i="11"/>
  <c r="F24" i="11"/>
  <c r="E24" i="11"/>
  <c r="F23" i="11"/>
  <c r="B119" i="47" l="1"/>
  <c r="D216" i="14"/>
  <c r="D217" i="14"/>
  <c r="D218" i="14"/>
  <c r="B9" i="18"/>
  <c r="C286" i="26" a="1"/>
  <c r="D286" i="26" s="1"/>
  <c r="G287" i="26" l="1"/>
  <c r="C286" i="26"/>
  <c r="H287" i="26"/>
  <c r="G286" i="26"/>
  <c r="D288" i="26"/>
  <c r="F287" i="26"/>
  <c r="H289" i="26"/>
  <c r="F286" i="26"/>
  <c r="G288" i="26"/>
  <c r="E288" i="26"/>
  <c r="C288" i="26"/>
  <c r="E287" i="26"/>
  <c r="D287" i="26"/>
  <c r="G289" i="26"/>
  <c r="H286" i="26"/>
  <c r="E289" i="26"/>
  <c r="C289" i="26"/>
  <c r="E286" i="26"/>
  <c r="F288" i="26"/>
  <c r="C287" i="26"/>
  <c r="F289" i="26"/>
  <c r="D289" i="26"/>
  <c r="H288" i="26"/>
  <c r="AC4" i="2" l="1"/>
  <c r="AD4" i="2" a="1"/>
  <c r="AD4" i="2" l="1"/>
  <c r="E105" i="24" l="1"/>
  <c r="G102" i="24" a="1"/>
  <c r="AE4" i="2" a="1"/>
  <c r="AE4" i="2" l="1"/>
  <c r="K103" i="24"/>
  <c r="K105" i="24"/>
  <c r="G103" i="24"/>
  <c r="G102" i="24"/>
  <c r="G105" i="24"/>
  <c r="H102" i="24"/>
  <c r="J102" i="24"/>
  <c r="H105" i="24"/>
  <c r="K104" i="24"/>
  <c r="J103" i="24"/>
  <c r="H103" i="24"/>
  <c r="H104" i="24"/>
  <c r="J104" i="24"/>
  <c r="G104" i="24"/>
  <c r="I104" i="24"/>
  <c r="I103" i="24"/>
  <c r="K102" i="24"/>
  <c r="J105" i="24"/>
  <c r="I105" i="24"/>
  <c r="I102" i="24"/>
  <c r="C9" i="58"/>
  <c r="H61" i="58" a="1"/>
  <c r="H132" i="58" a="1"/>
  <c r="H16" i="58" a="1"/>
  <c r="H6" i="58" a="1"/>
  <c r="H110" i="58" a="1"/>
  <c r="H70" i="58" a="1"/>
  <c r="H34" i="58" a="1"/>
  <c r="H97" i="58" a="1"/>
  <c r="H25" i="58" a="1"/>
  <c r="H52" i="58" a="1"/>
  <c r="H122" i="58" a="1"/>
  <c r="H43" i="58" a="1"/>
  <c r="H86" i="58" a="1"/>
  <c r="H137" i="58" l="1"/>
  <c r="I133" i="58"/>
  <c r="I137" i="58"/>
  <c r="J133" i="58"/>
  <c r="J137" i="58"/>
  <c r="K133" i="58"/>
  <c r="K137" i="58"/>
  <c r="H134" i="58"/>
  <c r="H132" i="58"/>
  <c r="I134" i="58"/>
  <c r="H136" i="58"/>
  <c r="J134" i="58"/>
  <c r="J132" i="58"/>
  <c r="H135" i="58"/>
  <c r="J136" i="58"/>
  <c r="J135" i="58"/>
  <c r="K132" i="58"/>
  <c r="I132" i="58"/>
  <c r="K135" i="58"/>
  <c r="I135" i="58"/>
  <c r="H133" i="58"/>
  <c r="I136" i="58"/>
  <c r="K134" i="58"/>
  <c r="K136" i="58"/>
  <c r="H122" i="58"/>
  <c r="I124" i="58"/>
  <c r="K122" i="58"/>
  <c r="H126" i="58"/>
  <c r="K124" i="58"/>
  <c r="I122" i="58"/>
  <c r="I126" i="58"/>
  <c r="H125" i="58"/>
  <c r="J122" i="58"/>
  <c r="I125" i="58"/>
  <c r="J126" i="58"/>
  <c r="J125" i="58"/>
  <c r="K126" i="58"/>
  <c r="K125" i="58"/>
  <c r="H123" i="58"/>
  <c r="J124" i="58"/>
  <c r="H127" i="58"/>
  <c r="I123" i="58"/>
  <c r="J123" i="58"/>
  <c r="J127" i="58"/>
  <c r="K123" i="58"/>
  <c r="I127" i="58"/>
  <c r="K127" i="58"/>
  <c r="H124" i="58"/>
  <c r="I111" i="58"/>
  <c r="I115" i="58"/>
  <c r="J111" i="58"/>
  <c r="J115" i="58"/>
  <c r="K111" i="58"/>
  <c r="K115" i="58"/>
  <c r="H112" i="58"/>
  <c r="I112" i="58"/>
  <c r="H110" i="58"/>
  <c r="J112" i="58"/>
  <c r="H114" i="58"/>
  <c r="H113" i="58"/>
  <c r="J110" i="58"/>
  <c r="I110" i="58"/>
  <c r="K110" i="58"/>
  <c r="K112" i="58"/>
  <c r="K114" i="58"/>
  <c r="I113" i="58"/>
  <c r="H111" i="58"/>
  <c r="H115" i="58"/>
  <c r="K113" i="58"/>
  <c r="I114" i="58"/>
  <c r="J113" i="58"/>
  <c r="J114" i="58"/>
  <c r="K100" i="58"/>
  <c r="I99" i="58"/>
  <c r="J100" i="58"/>
  <c r="J99" i="58"/>
  <c r="K99" i="58"/>
  <c r="J101" i="58"/>
  <c r="H97" i="58"/>
  <c r="I100" i="58"/>
  <c r="H101" i="58"/>
  <c r="I97" i="58"/>
  <c r="I101" i="58"/>
  <c r="H99" i="58"/>
  <c r="K97" i="58"/>
  <c r="H100" i="58"/>
  <c r="K101" i="58"/>
  <c r="J97" i="58"/>
  <c r="H98" i="58"/>
  <c r="H102" i="58"/>
  <c r="I102" i="58"/>
  <c r="J98" i="58"/>
  <c r="J102" i="58"/>
  <c r="K98" i="58"/>
  <c r="I98" i="58"/>
  <c r="K102" i="58"/>
  <c r="I87" i="58"/>
  <c r="I91" i="58"/>
  <c r="J87" i="58"/>
  <c r="J91" i="58"/>
  <c r="K87" i="58"/>
  <c r="K91" i="58"/>
  <c r="H88" i="58"/>
  <c r="I88" i="58"/>
  <c r="H86" i="58"/>
  <c r="J88" i="58"/>
  <c r="H90" i="58"/>
  <c r="K88" i="58"/>
  <c r="J86" i="58"/>
  <c r="I89" i="58"/>
  <c r="K86" i="58"/>
  <c r="J89" i="58"/>
  <c r="K90" i="58"/>
  <c r="K89" i="58"/>
  <c r="H91" i="58"/>
  <c r="H89" i="58"/>
  <c r="I86" i="58"/>
  <c r="J90" i="58"/>
  <c r="H87" i="58"/>
  <c r="I90" i="58"/>
  <c r="H70" i="58"/>
  <c r="I72" i="58"/>
  <c r="J72" i="58"/>
  <c r="H74" i="58"/>
  <c r="I70" i="58"/>
  <c r="I74" i="58"/>
  <c r="K72" i="58"/>
  <c r="J70" i="58"/>
  <c r="H73" i="58"/>
  <c r="K70" i="58"/>
  <c r="J74" i="58"/>
  <c r="J73" i="58"/>
  <c r="K74" i="58"/>
  <c r="K73" i="58"/>
  <c r="H71" i="58"/>
  <c r="I73" i="58"/>
  <c r="H75" i="58"/>
  <c r="I71" i="58"/>
  <c r="J71" i="58"/>
  <c r="J75" i="58"/>
  <c r="K71" i="58"/>
  <c r="I75" i="58"/>
  <c r="K75" i="58"/>
  <c r="H72" i="58"/>
  <c r="H62" i="58"/>
  <c r="H66" i="58"/>
  <c r="I62" i="58"/>
  <c r="I66" i="58"/>
  <c r="J62" i="58"/>
  <c r="J66" i="58"/>
  <c r="K62" i="58"/>
  <c r="H63" i="58"/>
  <c r="K64" i="58"/>
  <c r="I63" i="58"/>
  <c r="H61" i="58"/>
  <c r="J63" i="58"/>
  <c r="I65" i="58"/>
  <c r="H64" i="58"/>
  <c r="J61" i="58"/>
  <c r="I64" i="58"/>
  <c r="J65" i="58"/>
  <c r="J64" i="58"/>
  <c r="H65" i="58"/>
  <c r="K61" i="58"/>
  <c r="K66" i="58"/>
  <c r="K65" i="58"/>
  <c r="K63" i="58"/>
  <c r="I61" i="58"/>
  <c r="H52" i="58"/>
  <c r="I54" i="58"/>
  <c r="H56" i="58"/>
  <c r="K52" i="58"/>
  <c r="K54" i="58"/>
  <c r="I55" i="58"/>
  <c r="I56" i="58"/>
  <c r="K55" i="58"/>
  <c r="J52" i="58"/>
  <c r="I52" i="58"/>
  <c r="J56" i="58"/>
  <c r="H55" i="58"/>
  <c r="K56" i="58"/>
  <c r="J55" i="58"/>
  <c r="H53" i="58"/>
  <c r="J54" i="58"/>
  <c r="H57" i="58"/>
  <c r="I53" i="58"/>
  <c r="J53" i="58"/>
  <c r="J57" i="58"/>
  <c r="K53" i="58"/>
  <c r="K57" i="58"/>
  <c r="I57" i="58"/>
  <c r="H54" i="58"/>
  <c r="H44" i="58"/>
  <c r="H48" i="58"/>
  <c r="I44" i="58"/>
  <c r="I48" i="58"/>
  <c r="J44" i="58"/>
  <c r="J48" i="58"/>
  <c r="K44" i="58"/>
  <c r="K48" i="58"/>
  <c r="K46" i="58"/>
  <c r="H45" i="58"/>
  <c r="J46" i="58"/>
  <c r="I45" i="58"/>
  <c r="H47" i="58"/>
  <c r="K45" i="58"/>
  <c r="I47" i="58"/>
  <c r="H46" i="58"/>
  <c r="J47" i="58"/>
  <c r="I46" i="58"/>
  <c r="H43" i="58"/>
  <c r="K43" i="58"/>
  <c r="K47" i="58"/>
  <c r="J43" i="58"/>
  <c r="J45" i="58"/>
  <c r="I43" i="58"/>
  <c r="H34" i="58"/>
  <c r="J36" i="58"/>
  <c r="K36" i="58"/>
  <c r="K34" i="58"/>
  <c r="H38" i="58"/>
  <c r="I34" i="58"/>
  <c r="I38" i="58"/>
  <c r="H37" i="58"/>
  <c r="J34" i="58"/>
  <c r="I37" i="58"/>
  <c r="J38" i="58"/>
  <c r="J37" i="58"/>
  <c r="K38" i="58"/>
  <c r="K37" i="58"/>
  <c r="H35" i="58"/>
  <c r="I36" i="58"/>
  <c r="H39" i="58"/>
  <c r="I35" i="58"/>
  <c r="J35" i="58"/>
  <c r="J39" i="58"/>
  <c r="K35" i="58"/>
  <c r="I39" i="58"/>
  <c r="K39" i="58"/>
  <c r="H36" i="58"/>
  <c r="H30" i="58"/>
  <c r="I26" i="58"/>
  <c r="I30" i="58"/>
  <c r="J26" i="58"/>
  <c r="J30" i="58"/>
  <c r="K26" i="58"/>
  <c r="K30" i="58"/>
  <c r="H27" i="58"/>
  <c r="H25" i="58"/>
  <c r="I27" i="58"/>
  <c r="H29" i="58"/>
  <c r="J27" i="58"/>
  <c r="J25" i="58"/>
  <c r="H28" i="58"/>
  <c r="J29" i="58"/>
  <c r="K28" i="58"/>
  <c r="K25" i="58"/>
  <c r="H26" i="58"/>
  <c r="K27" i="58"/>
  <c r="I25" i="58"/>
  <c r="J28" i="58"/>
  <c r="I29" i="58"/>
  <c r="K29" i="58"/>
  <c r="I28" i="58"/>
  <c r="H16" i="58"/>
  <c r="I16" i="58"/>
  <c r="I17" i="58"/>
  <c r="I19" i="58"/>
  <c r="H20" i="58"/>
  <c r="K16" i="58"/>
  <c r="I20" i="58"/>
  <c r="K17" i="58"/>
  <c r="J16" i="58"/>
  <c r="H18" i="58"/>
  <c r="J20" i="58"/>
  <c r="J18" i="58"/>
  <c r="H17" i="58"/>
  <c r="K20" i="58"/>
  <c r="K19" i="58"/>
  <c r="H19" i="58"/>
  <c r="H21" i="58"/>
  <c r="I21" i="58"/>
  <c r="J21" i="58"/>
  <c r="K21" i="58"/>
  <c r="J17" i="58"/>
  <c r="I18" i="58"/>
  <c r="K18" i="58"/>
  <c r="J19" i="58"/>
  <c r="H8" i="58"/>
  <c r="J8" i="58"/>
  <c r="H9" i="58"/>
  <c r="J9" i="58"/>
  <c r="I6" i="58"/>
  <c r="I10" i="58"/>
  <c r="J6" i="58"/>
  <c r="K6" i="58"/>
  <c r="H6" i="58"/>
  <c r="H7" i="58"/>
  <c r="H10" i="58"/>
  <c r="I11" i="58"/>
  <c r="K10" i="58"/>
  <c r="K7" i="58"/>
  <c r="H11" i="58"/>
  <c r="I8" i="58"/>
  <c r="J10" i="58"/>
  <c r="J7" i="58"/>
  <c r="J11" i="58"/>
  <c r="K9" i="58"/>
  <c r="I7" i="58"/>
  <c r="K11" i="58"/>
  <c r="I9" i="58"/>
  <c r="K8" i="58"/>
  <c r="H8" i="22"/>
  <c r="H9" i="22"/>
  <c r="H10" i="22"/>
  <c r="L159" i="22" a="1"/>
  <c r="L102" i="22" a="1"/>
  <c r="L79" i="22" a="1"/>
  <c r="L178" i="22" a="1"/>
  <c r="L61" i="22" a="1"/>
  <c r="L244" i="22" a="1"/>
  <c r="L197" i="22" a="1"/>
  <c r="L34" i="22" a="1"/>
  <c r="L7" i="22" a="1"/>
  <c r="L121" i="22" a="1"/>
  <c r="L140" i="22" a="1"/>
  <c r="P254" i="22" l="1"/>
  <c r="P246" i="22"/>
  <c r="L252" i="22"/>
  <c r="L244" i="22"/>
  <c r="Q248" i="22"/>
  <c r="O252" i="22"/>
  <c r="N256" i="22"/>
  <c r="Q245" i="22"/>
  <c r="O249" i="22"/>
  <c r="S252" i="22"/>
  <c r="M254" i="22"/>
  <c r="M253" i="22"/>
  <c r="S251" i="22"/>
  <c r="O251" i="22"/>
  <c r="P250" i="22"/>
  <c r="L256" i="22"/>
  <c r="L248" i="22"/>
  <c r="S253" i="22"/>
  <c r="R257" i="22"/>
  <c r="M247" i="22"/>
  <c r="S250" i="22"/>
  <c r="R254" i="22"/>
  <c r="M244" i="22"/>
  <c r="Q247" i="22"/>
  <c r="N253" i="22"/>
  <c r="R252" i="22"/>
  <c r="R251" i="22"/>
  <c r="O247" i="22"/>
  <c r="P248" i="22"/>
  <c r="L251" i="22"/>
  <c r="N255" i="22"/>
  <c r="M255" i="22"/>
  <c r="S254" i="22"/>
  <c r="M256" i="22"/>
  <c r="Q255" i="22"/>
  <c r="O250" i="22"/>
  <c r="S255" i="22"/>
  <c r="R244" i="22"/>
  <c r="P253" i="22"/>
  <c r="L257" i="22"/>
  <c r="L246" i="22"/>
  <c r="N247" i="22"/>
  <c r="O248" i="22"/>
  <c r="N248" i="22"/>
  <c r="M248" i="22"/>
  <c r="S248" i="22"/>
  <c r="O246" i="22"/>
  <c r="R248" i="22"/>
  <c r="Q250" i="22"/>
  <c r="P252" i="22"/>
  <c r="L253" i="22"/>
  <c r="N251" i="22"/>
  <c r="R245" i="22"/>
  <c r="O257" i="22"/>
  <c r="Q251" i="22"/>
  <c r="R256" i="22"/>
  <c r="S247" i="22"/>
  <c r="P251" i="22"/>
  <c r="L250" i="22"/>
  <c r="S249" i="22"/>
  <c r="O244" i="22"/>
  <c r="O253" i="22"/>
  <c r="N250" i="22"/>
  <c r="N249" i="22"/>
  <c r="Q254" i="22"/>
  <c r="P249" i="22"/>
  <c r="L249" i="22"/>
  <c r="S245" i="22"/>
  <c r="Q257" i="22"/>
  <c r="M252" i="22"/>
  <c r="N246" i="22"/>
  <c r="M246" i="22"/>
  <c r="R247" i="22"/>
  <c r="P247" i="22"/>
  <c r="L247" i="22"/>
  <c r="Q244" i="22"/>
  <c r="Q253" i="22"/>
  <c r="R250" i="22"/>
  <c r="S244" i="22"/>
  <c r="M249" i="22"/>
  <c r="O254" i="22"/>
  <c r="P245" i="22"/>
  <c r="L245" i="22"/>
  <c r="O256" i="22"/>
  <c r="N252" i="22"/>
  <c r="R246" i="22"/>
  <c r="N257" i="22"/>
  <c r="N245" i="22"/>
  <c r="P257" i="22"/>
  <c r="P244" i="22"/>
  <c r="S257" i="22"/>
  <c r="R253" i="22"/>
  <c r="Q249" i="22"/>
  <c r="O245" i="22"/>
  <c r="Q246" i="22"/>
  <c r="R255" i="22"/>
  <c r="P256" i="22"/>
  <c r="L255" i="22"/>
  <c r="Q256" i="22"/>
  <c r="M251" i="22"/>
  <c r="S246" i="22"/>
  <c r="S256" i="22"/>
  <c r="M257" i="22"/>
  <c r="M245" i="22"/>
  <c r="P255" i="22"/>
  <c r="L254" i="22"/>
  <c r="Q252" i="22"/>
  <c r="R249" i="22"/>
  <c r="N244" i="22"/>
  <c r="N254" i="22"/>
  <c r="M250" i="22"/>
  <c r="O255" i="22"/>
  <c r="L86" i="22"/>
  <c r="P92" i="22"/>
  <c r="P84" i="22"/>
  <c r="N90" i="22"/>
  <c r="R84" i="22"/>
  <c r="Q88" i="22"/>
  <c r="N92" i="22"/>
  <c r="Q81" i="22"/>
  <c r="M84" i="22"/>
  <c r="O92" i="22"/>
  <c r="M83" i="22"/>
  <c r="M87" i="22"/>
  <c r="O82" i="22"/>
  <c r="M85" i="22"/>
  <c r="L90" i="22"/>
  <c r="L82" i="22"/>
  <c r="P88" i="22"/>
  <c r="P80" i="22"/>
  <c r="M90" i="22"/>
  <c r="O79" i="22"/>
  <c r="N83" i="22"/>
  <c r="S86" i="22"/>
  <c r="O89" i="22"/>
  <c r="N89" i="22"/>
  <c r="S80" i="22"/>
  <c r="N85" i="22"/>
  <c r="S84" i="22"/>
  <c r="N81" i="22"/>
  <c r="L87" i="22"/>
  <c r="P90" i="22"/>
  <c r="P79" i="22"/>
  <c r="M86" i="22"/>
  <c r="S85" i="22"/>
  <c r="Q85" i="22"/>
  <c r="O85" i="22"/>
  <c r="N86" i="22"/>
  <c r="Q82" i="22"/>
  <c r="Q90" i="22"/>
  <c r="L85" i="22"/>
  <c r="P89" i="22"/>
  <c r="S92" i="22"/>
  <c r="O83" i="22"/>
  <c r="Q84" i="22"/>
  <c r="N84" i="22"/>
  <c r="R82" i="22"/>
  <c r="Q83" i="22"/>
  <c r="S79" i="22"/>
  <c r="R89" i="22"/>
  <c r="L84" i="22"/>
  <c r="P87" i="22"/>
  <c r="Q91" i="22"/>
  <c r="M82" i="22"/>
  <c r="S81" i="22"/>
  <c r="S82" i="22"/>
  <c r="O81" i="22"/>
  <c r="S91" i="22"/>
  <c r="O90" i="22"/>
  <c r="N82" i="22"/>
  <c r="L83" i="22"/>
  <c r="P86" i="22"/>
  <c r="S88" i="22"/>
  <c r="R80" i="22"/>
  <c r="Q80" i="22"/>
  <c r="N80" i="22"/>
  <c r="M80" i="22"/>
  <c r="O88" i="22"/>
  <c r="O84" i="22"/>
  <c r="R87" i="22"/>
  <c r="L92" i="22"/>
  <c r="L81" i="22"/>
  <c r="P85" i="22"/>
  <c r="R92" i="22"/>
  <c r="Q92" i="22"/>
  <c r="N79" i="22"/>
  <c r="M92" i="22"/>
  <c r="O86" i="22"/>
  <c r="R85" i="22"/>
  <c r="R81" i="22"/>
  <c r="Q87" i="22"/>
  <c r="L91" i="22"/>
  <c r="L80" i="22"/>
  <c r="P83" i="22"/>
  <c r="O91" i="22"/>
  <c r="N91" i="22"/>
  <c r="S90" i="22"/>
  <c r="R90" i="22"/>
  <c r="R83" i="22"/>
  <c r="O80" i="22"/>
  <c r="M79" i="22"/>
  <c r="R79" i="22"/>
  <c r="L89" i="22"/>
  <c r="L79" i="22"/>
  <c r="P82" i="22"/>
  <c r="R88" i="22"/>
  <c r="S89" i="22"/>
  <c r="Q89" i="22"/>
  <c r="M88" i="22"/>
  <c r="M81" i="22"/>
  <c r="R91" i="22"/>
  <c r="M91" i="22"/>
  <c r="Q86" i="22"/>
  <c r="L88" i="22"/>
  <c r="P91" i="22"/>
  <c r="P81" i="22"/>
  <c r="O87" i="22"/>
  <c r="N87" i="22"/>
  <c r="N88" i="22"/>
  <c r="R86" i="22"/>
  <c r="M89" i="22"/>
  <c r="S87" i="22"/>
  <c r="S83" i="22"/>
  <c r="Q79" i="22"/>
  <c r="S109" i="22"/>
  <c r="O115" i="22"/>
  <c r="O107" i="22"/>
  <c r="Q112" i="22"/>
  <c r="R113" i="22"/>
  <c r="M103" i="22"/>
  <c r="Q105" i="22"/>
  <c r="S113" i="22"/>
  <c r="S105" i="22"/>
  <c r="O111" i="22"/>
  <c r="O103" i="22"/>
  <c r="N107" i="22"/>
  <c r="P108" i="22"/>
  <c r="L111" i="22"/>
  <c r="S111" i="22"/>
  <c r="O114" i="22"/>
  <c r="O104" i="22"/>
  <c r="Q104" i="22"/>
  <c r="L115" i="22"/>
  <c r="R114" i="22"/>
  <c r="M104" i="22"/>
  <c r="Q106" i="22"/>
  <c r="P106" i="22"/>
  <c r="N110" i="22"/>
  <c r="L102" i="22"/>
  <c r="Q102" i="22"/>
  <c r="S106" i="22"/>
  <c r="O109" i="22"/>
  <c r="N111" i="22"/>
  <c r="R109" i="22"/>
  <c r="N108" i="22"/>
  <c r="P109" i="22"/>
  <c r="L112" i="22"/>
  <c r="R111" i="22"/>
  <c r="Q115" i="22"/>
  <c r="L105" i="22"/>
  <c r="R104" i="22"/>
  <c r="P107" i="22"/>
  <c r="S104" i="22"/>
  <c r="O105" i="22"/>
  <c r="P112" i="22"/>
  <c r="L107" i="22"/>
  <c r="P105" i="22"/>
  <c r="P114" i="22"/>
  <c r="N114" i="22"/>
  <c r="M106" i="22"/>
  <c r="P111" i="22"/>
  <c r="S103" i="22"/>
  <c r="O102" i="22"/>
  <c r="M111" i="22"/>
  <c r="N104" i="22"/>
  <c r="R102" i="22"/>
  <c r="M113" i="22"/>
  <c r="L113" i="22"/>
  <c r="P115" i="22"/>
  <c r="M110" i="22"/>
  <c r="S115" i="22"/>
  <c r="S102" i="22"/>
  <c r="N115" i="22"/>
  <c r="M107" i="22"/>
  <c r="L103" i="22"/>
  <c r="Q114" i="22"/>
  <c r="P110" i="22"/>
  <c r="Q111" i="22"/>
  <c r="N105" i="22"/>
  <c r="P103" i="22"/>
  <c r="S114" i="22"/>
  <c r="O113" i="22"/>
  <c r="L114" i="22"/>
  <c r="R105" i="22"/>
  <c r="P113" i="22"/>
  <c r="N113" i="22"/>
  <c r="M109" i="22"/>
  <c r="L109" i="22"/>
  <c r="M114" i="22"/>
  <c r="N103" i="22"/>
  <c r="S112" i="22"/>
  <c r="O112" i="22"/>
  <c r="L110" i="22"/>
  <c r="P104" i="22"/>
  <c r="M112" i="22"/>
  <c r="Q110" i="22"/>
  <c r="R107" i="22"/>
  <c r="Q107" i="22"/>
  <c r="R112" i="22"/>
  <c r="S110" i="22"/>
  <c r="O110" i="22"/>
  <c r="Q108" i="22"/>
  <c r="Q113" i="22"/>
  <c r="R110" i="22"/>
  <c r="N109" i="22"/>
  <c r="M105" i="22"/>
  <c r="N106" i="22"/>
  <c r="L104" i="22"/>
  <c r="S108" i="22"/>
  <c r="O108" i="22"/>
  <c r="L106" i="22"/>
  <c r="N112" i="22"/>
  <c r="M108" i="22"/>
  <c r="L108" i="22"/>
  <c r="R103" i="22"/>
  <c r="Q103" i="22"/>
  <c r="R108" i="22"/>
  <c r="S107" i="22"/>
  <c r="O106" i="22"/>
  <c r="M115" i="22"/>
  <c r="Q109" i="22"/>
  <c r="R106" i="22"/>
  <c r="R115" i="22"/>
  <c r="P102" i="22"/>
  <c r="N102" i="22"/>
  <c r="M102" i="22"/>
  <c r="N42" i="22"/>
  <c r="N34" i="22"/>
  <c r="R40" i="22"/>
  <c r="O45" i="22"/>
  <c r="Q34" i="22"/>
  <c r="P38" i="22"/>
  <c r="L42" i="22"/>
  <c r="P44" i="22"/>
  <c r="M40" i="22"/>
  <c r="P35" i="22"/>
  <c r="L45" i="22"/>
  <c r="M43" i="22"/>
  <c r="L47" i="22"/>
  <c r="M34" i="22"/>
  <c r="N46" i="22"/>
  <c r="N38" i="22"/>
  <c r="R44" i="22"/>
  <c r="R36" i="22"/>
  <c r="L40" i="22"/>
  <c r="S43" i="22"/>
  <c r="O47" i="22"/>
  <c r="Q36" i="22"/>
  <c r="M36" i="22"/>
  <c r="M44" i="22"/>
  <c r="P39" i="22"/>
  <c r="P36" i="22"/>
  <c r="S36" i="22"/>
  <c r="P40" i="22"/>
  <c r="N37" i="22"/>
  <c r="R41" i="22"/>
  <c r="Q42" i="22"/>
  <c r="P42" i="22"/>
  <c r="O43" i="22"/>
  <c r="O40" i="22"/>
  <c r="S41" i="22"/>
  <c r="M47" i="22"/>
  <c r="Q47" i="22"/>
  <c r="S34" i="22"/>
  <c r="N43" i="22"/>
  <c r="R46" i="22"/>
  <c r="R35" i="22"/>
  <c r="L36" i="22"/>
  <c r="S35" i="22"/>
  <c r="O35" i="22"/>
  <c r="M42" i="22"/>
  <c r="Q43" i="22"/>
  <c r="O34" i="22"/>
  <c r="O36" i="22"/>
  <c r="S44" i="22"/>
  <c r="N40" i="22"/>
  <c r="R39" i="22"/>
  <c r="O37" i="22"/>
  <c r="L46" i="22"/>
  <c r="M38" i="22"/>
  <c r="S45" i="22"/>
  <c r="O38" i="22"/>
  <c r="P45" i="22"/>
  <c r="N39" i="22"/>
  <c r="R38" i="22"/>
  <c r="S47" i="22"/>
  <c r="Q44" i="22"/>
  <c r="O46" i="22"/>
  <c r="Q41" i="22"/>
  <c r="L37" i="22"/>
  <c r="L39" i="22"/>
  <c r="N36" i="22"/>
  <c r="R37" i="22"/>
  <c r="P46" i="22"/>
  <c r="Q40" i="22"/>
  <c r="O44" i="22"/>
  <c r="P37" i="22"/>
  <c r="S42" i="22"/>
  <c r="M39" i="22"/>
  <c r="N35" i="22"/>
  <c r="R34" i="22"/>
  <c r="M45" i="22"/>
  <c r="O39" i="22"/>
  <c r="S37" i="22"/>
  <c r="M35" i="22"/>
  <c r="P47" i="22"/>
  <c r="N47" i="22"/>
  <c r="R47" i="22"/>
  <c r="Q46" i="22"/>
  <c r="M41" i="22"/>
  <c r="L38" i="22"/>
  <c r="Q35" i="22"/>
  <c r="L43" i="22"/>
  <c r="P41" i="22"/>
  <c r="N45" i="22"/>
  <c r="R45" i="22"/>
  <c r="L44" i="22"/>
  <c r="S39" i="22"/>
  <c r="L34" i="22"/>
  <c r="M46" i="22"/>
  <c r="S40" i="22"/>
  <c r="L41" i="22"/>
  <c r="N44" i="22"/>
  <c r="R43" i="22"/>
  <c r="O41" i="22"/>
  <c r="M37" i="22"/>
  <c r="S46" i="22"/>
  <c r="Q39" i="22"/>
  <c r="S38" i="22"/>
  <c r="L35" i="22"/>
  <c r="N41" i="22"/>
  <c r="R42" i="22"/>
  <c r="Q38" i="22"/>
  <c r="P34" i="22"/>
  <c r="O42" i="22"/>
  <c r="Q37" i="22"/>
  <c r="P43" i="22"/>
  <c r="Q45" i="22"/>
  <c r="R147" i="22"/>
  <c r="Q153" i="22"/>
  <c r="Q145" i="22"/>
  <c r="M152" i="22"/>
  <c r="M144" i="22"/>
  <c r="S148" i="22"/>
  <c r="N150" i="22"/>
  <c r="P151" i="22"/>
  <c r="L153" i="22"/>
  <c r="N140" i="22"/>
  <c r="P141" i="22"/>
  <c r="L143" i="22"/>
  <c r="S142" i="22"/>
  <c r="N144" i="22"/>
  <c r="R151" i="22"/>
  <c r="R143" i="22"/>
  <c r="Q149" i="22"/>
  <c r="Q141" i="22"/>
  <c r="M148" i="22"/>
  <c r="M140" i="22"/>
  <c r="O142" i="22"/>
  <c r="S143" i="22"/>
  <c r="N145" i="22"/>
  <c r="P146" i="22"/>
  <c r="L148" i="22"/>
  <c r="O149" i="22"/>
  <c r="N149" i="22"/>
  <c r="O147" i="22"/>
  <c r="R153" i="22"/>
  <c r="R142" i="22"/>
  <c r="Q146" i="22"/>
  <c r="M150" i="22"/>
  <c r="S153" i="22"/>
  <c r="S151" i="22"/>
  <c r="O148" i="22"/>
  <c r="L145" i="22"/>
  <c r="N143" i="22"/>
  <c r="O152" i="22"/>
  <c r="S145" i="22"/>
  <c r="R152" i="22"/>
  <c r="R141" i="22"/>
  <c r="Q144" i="22"/>
  <c r="M149" i="22"/>
  <c r="L152" i="22"/>
  <c r="P148" i="22"/>
  <c r="S146" i="22"/>
  <c r="O143" i="22"/>
  <c r="L140" i="22"/>
  <c r="S150" i="22"/>
  <c r="L141" i="22"/>
  <c r="R150" i="22"/>
  <c r="R140" i="22"/>
  <c r="Q143" i="22"/>
  <c r="M147" i="22"/>
  <c r="O150" i="22"/>
  <c r="L147" i="22"/>
  <c r="P143" i="22"/>
  <c r="S141" i="22"/>
  <c r="P152" i="22"/>
  <c r="P147" i="22"/>
  <c r="N152" i="22"/>
  <c r="R149" i="22"/>
  <c r="Q152" i="22"/>
  <c r="Q142" i="22"/>
  <c r="M146" i="22"/>
  <c r="N147" i="22"/>
  <c r="O145" i="22"/>
  <c r="L142" i="22"/>
  <c r="S152" i="22"/>
  <c r="L151" i="22"/>
  <c r="L146" i="22"/>
  <c r="P142" i="22"/>
  <c r="R148" i="22"/>
  <c r="Q151" i="22"/>
  <c r="Q140" i="22"/>
  <c r="M145" i="22"/>
  <c r="P145" i="22"/>
  <c r="N142" i="22"/>
  <c r="O140" i="22"/>
  <c r="N151" i="22"/>
  <c r="S147" i="22"/>
  <c r="O144" i="22"/>
  <c r="R146" i="22"/>
  <c r="Q150" i="22"/>
  <c r="P153" i="22"/>
  <c r="M143" i="22"/>
  <c r="L144" i="22"/>
  <c r="P140" i="22"/>
  <c r="O151" i="22"/>
  <c r="P149" i="22"/>
  <c r="N146" i="22"/>
  <c r="N141" i="22"/>
  <c r="R145" i="22"/>
  <c r="Q148" i="22"/>
  <c r="M153" i="22"/>
  <c r="M142" i="22"/>
  <c r="S140" i="22"/>
  <c r="N153" i="22"/>
  <c r="S149" i="22"/>
  <c r="O146" i="22"/>
  <c r="P144" i="22"/>
  <c r="P150" i="22"/>
  <c r="R144" i="22"/>
  <c r="Q147" i="22"/>
  <c r="M151" i="22"/>
  <c r="M141" i="22"/>
  <c r="O153" i="22"/>
  <c r="L150" i="22"/>
  <c r="N148" i="22"/>
  <c r="S144" i="22"/>
  <c r="O141" i="22"/>
  <c r="L149" i="22"/>
  <c r="M69" i="22"/>
  <c r="M61" i="22"/>
  <c r="Q67" i="22"/>
  <c r="S72" i="22"/>
  <c r="N62" i="22"/>
  <c r="R64" i="22"/>
  <c r="N68" i="22"/>
  <c r="O70" i="22"/>
  <c r="S67" i="22"/>
  <c r="O65" i="22"/>
  <c r="L63" i="22"/>
  <c r="O73" i="22"/>
  <c r="N71" i="22"/>
  <c r="R62" i="22"/>
  <c r="M73" i="22"/>
  <c r="M65" i="22"/>
  <c r="Q71" i="22"/>
  <c r="Q63" i="22"/>
  <c r="P67" i="22"/>
  <c r="L70" i="22"/>
  <c r="P73" i="22"/>
  <c r="S62" i="22"/>
  <c r="R61" i="22"/>
  <c r="S73" i="22"/>
  <c r="R71" i="22"/>
  <c r="P68" i="22"/>
  <c r="L67" i="22"/>
  <c r="P70" i="22"/>
  <c r="M67" i="22"/>
  <c r="Q70" i="22"/>
  <c r="N74" i="22"/>
  <c r="R72" i="22"/>
  <c r="N72" i="22"/>
  <c r="O72" i="22"/>
  <c r="R63" i="22"/>
  <c r="O69" i="22"/>
  <c r="O62" i="22"/>
  <c r="L71" i="22"/>
  <c r="M66" i="22"/>
  <c r="Q69" i="22"/>
  <c r="P71" i="22"/>
  <c r="O71" i="22"/>
  <c r="S70" i="22"/>
  <c r="L68" i="22"/>
  <c r="O61" i="22"/>
  <c r="N67" i="22"/>
  <c r="O68" i="22"/>
  <c r="L65" i="22"/>
  <c r="M64" i="22"/>
  <c r="Q68" i="22"/>
  <c r="N70" i="22"/>
  <c r="R68" i="22"/>
  <c r="P69" i="22"/>
  <c r="S65" i="22"/>
  <c r="S71" i="22"/>
  <c r="N65" i="22"/>
  <c r="P62" i="22"/>
  <c r="P64" i="22"/>
  <c r="M74" i="22"/>
  <c r="M63" i="22"/>
  <c r="Q66" i="22"/>
  <c r="S68" i="22"/>
  <c r="O67" i="22"/>
  <c r="S66" i="22"/>
  <c r="S63" i="22"/>
  <c r="R69" i="22"/>
  <c r="L61" i="22"/>
  <c r="N73" i="22"/>
  <c r="L69" i="22"/>
  <c r="M72" i="22"/>
  <c r="M71" i="22"/>
  <c r="M70" i="22"/>
  <c r="Q73" i="22"/>
  <c r="Q62" i="22"/>
  <c r="P63" i="22"/>
  <c r="L62" i="22"/>
  <c r="P61" i="22"/>
  <c r="S69" i="22"/>
  <c r="N61" i="22"/>
  <c r="P66" i="22"/>
  <c r="R66" i="22"/>
  <c r="N69" i="22"/>
  <c r="M68" i="22"/>
  <c r="Q72" i="22"/>
  <c r="Q61" i="22"/>
  <c r="L74" i="22"/>
  <c r="S74" i="22"/>
  <c r="P74" i="22"/>
  <c r="R65" i="22"/>
  <c r="R73" i="22"/>
  <c r="O64" i="22"/>
  <c r="O66" i="22"/>
  <c r="M62" i="22"/>
  <c r="P65" i="22"/>
  <c r="S61" i="22"/>
  <c r="Q74" i="22"/>
  <c r="N64" i="22"/>
  <c r="P72" i="22"/>
  <c r="Q65" i="22"/>
  <c r="O74" i="22"/>
  <c r="L64" i="22"/>
  <c r="Q64" i="22"/>
  <c r="L72" i="22"/>
  <c r="R74" i="22"/>
  <c r="N66" i="22"/>
  <c r="R67" i="22"/>
  <c r="S64" i="22"/>
  <c r="N63" i="22"/>
  <c r="L66" i="22"/>
  <c r="L73" i="22"/>
  <c r="O63" i="22"/>
  <c r="R70" i="22"/>
  <c r="O19" i="22"/>
  <c r="O11" i="22"/>
  <c r="S17" i="22"/>
  <c r="S9" i="22"/>
  <c r="R13" i="22"/>
  <c r="Q17" i="22"/>
  <c r="L7" i="22"/>
  <c r="P10" i="22"/>
  <c r="M8" i="22"/>
  <c r="Q20" i="22"/>
  <c r="M18" i="22"/>
  <c r="N15" i="22"/>
  <c r="N13" i="22"/>
  <c r="Q15" i="22"/>
  <c r="O15" i="22"/>
  <c r="O7" i="22"/>
  <c r="S13" i="22"/>
  <c r="M19" i="22"/>
  <c r="P8" i="22"/>
  <c r="N12" i="22"/>
  <c r="R15" i="22"/>
  <c r="R16" i="22"/>
  <c r="N14" i="22"/>
  <c r="L12" i="22"/>
  <c r="P9" i="22"/>
  <c r="Q19" i="22"/>
  <c r="P17" i="22"/>
  <c r="R14" i="22"/>
  <c r="O12" i="22"/>
  <c r="S15" i="22"/>
  <c r="R17" i="22"/>
  <c r="L19" i="22"/>
  <c r="P18" i="22"/>
  <c r="Q14" i="22"/>
  <c r="L8" i="22"/>
  <c r="L14" i="22"/>
  <c r="P13" i="22"/>
  <c r="N11" i="22"/>
  <c r="O17" i="22"/>
  <c r="S20" i="22"/>
  <c r="S10" i="22"/>
  <c r="M11" i="22"/>
  <c r="L11" i="22"/>
  <c r="R11" i="22"/>
  <c r="Q18" i="22"/>
  <c r="L10" i="22"/>
  <c r="N17" i="22"/>
  <c r="L18" i="22"/>
  <c r="N9" i="22"/>
  <c r="O14" i="22"/>
  <c r="S14" i="22"/>
  <c r="P12" i="22"/>
  <c r="N8" i="22"/>
  <c r="Q12" i="22"/>
  <c r="M14" i="22"/>
  <c r="R10" i="22"/>
  <c r="Q10" i="22"/>
  <c r="O13" i="22"/>
  <c r="S12" i="22"/>
  <c r="R9" i="22"/>
  <c r="R19" i="22"/>
  <c r="N10" i="22"/>
  <c r="Q7" i="22"/>
  <c r="R8" i="22"/>
  <c r="L20" i="22"/>
  <c r="O10" i="22"/>
  <c r="S11" i="22"/>
  <c r="M7" i="22"/>
  <c r="M17" i="22"/>
  <c r="R20" i="22"/>
  <c r="M20" i="22"/>
  <c r="Q8" i="22"/>
  <c r="P15" i="22"/>
  <c r="O9" i="22"/>
  <c r="S8" i="22"/>
  <c r="N20" i="22"/>
  <c r="P14" i="22"/>
  <c r="Q16" i="22"/>
  <c r="L16" i="22"/>
  <c r="N19" i="22"/>
  <c r="L9" i="22"/>
  <c r="O8" i="22"/>
  <c r="S7" i="22"/>
  <c r="N16" i="22"/>
  <c r="M13" i="22"/>
  <c r="M12" i="22"/>
  <c r="Q11" i="22"/>
  <c r="N7" i="22"/>
  <c r="O20" i="22"/>
  <c r="S19" i="22"/>
  <c r="P20" i="22"/>
  <c r="L15" i="22"/>
  <c r="M9" i="22"/>
  <c r="M10" i="22"/>
  <c r="P7" i="22"/>
  <c r="R12" i="22"/>
  <c r="O18" i="22"/>
  <c r="S18" i="22"/>
  <c r="P16" i="22"/>
  <c r="Q13" i="22"/>
  <c r="R7" i="22"/>
  <c r="N18" i="22"/>
  <c r="P19" i="22"/>
  <c r="P11" i="22"/>
  <c r="O16" i="22"/>
  <c r="S16" i="22"/>
  <c r="M15" i="22"/>
  <c r="Q9" i="22"/>
  <c r="R18" i="22"/>
  <c r="M16" i="22"/>
  <c r="L13" i="22"/>
  <c r="L17" i="22"/>
  <c r="R169" i="22"/>
  <c r="Q167" i="22"/>
  <c r="Q159" i="22"/>
  <c r="P165" i="22"/>
  <c r="O171" i="22"/>
  <c r="O163" i="22"/>
  <c r="L169" i="22"/>
  <c r="L161" i="22"/>
  <c r="R160" i="22"/>
  <c r="N168" i="22"/>
  <c r="S163" i="22"/>
  <c r="R159" i="22"/>
  <c r="N172" i="22"/>
  <c r="N169" i="22"/>
  <c r="Q171" i="22"/>
  <c r="Q163" i="22"/>
  <c r="P169" i="22"/>
  <c r="P161" i="22"/>
  <c r="O167" i="22"/>
  <c r="O159" i="22"/>
  <c r="L165" i="22"/>
  <c r="M169" i="22"/>
  <c r="N164" i="22"/>
  <c r="M160" i="22"/>
  <c r="S167" i="22"/>
  <c r="N165" i="22"/>
  <c r="M163" i="22"/>
  <c r="S160" i="22"/>
  <c r="R171" i="22"/>
  <c r="Q166" i="22"/>
  <c r="P170" i="22"/>
  <c r="P159" i="22"/>
  <c r="O162" i="22"/>
  <c r="L166" i="22"/>
  <c r="R164" i="22"/>
  <c r="M166" i="22"/>
  <c r="N170" i="22"/>
  <c r="N161" i="22"/>
  <c r="S166" i="22"/>
  <c r="R168" i="22"/>
  <c r="Q164" i="22"/>
  <c r="P167" i="22"/>
  <c r="O170" i="22"/>
  <c r="O160" i="22"/>
  <c r="L163" i="22"/>
  <c r="N171" i="22"/>
  <c r="M162" i="22"/>
  <c r="R163" i="22"/>
  <c r="S169" i="22"/>
  <c r="S162" i="22"/>
  <c r="R170" i="22"/>
  <c r="Q161" i="22"/>
  <c r="P162" i="22"/>
  <c r="O161" i="22"/>
  <c r="L160" i="22"/>
  <c r="N160" i="22"/>
  <c r="R165" i="22"/>
  <c r="M165" i="22"/>
  <c r="Q169" i="22"/>
  <c r="P168" i="22"/>
  <c r="O168" i="22"/>
  <c r="L168" i="22"/>
  <c r="R162" i="22"/>
  <c r="M168" i="22"/>
  <c r="N167" i="22"/>
  <c r="S164" i="22"/>
  <c r="R172" i="22"/>
  <c r="P172" i="22"/>
  <c r="O166" i="22"/>
  <c r="L162" i="22"/>
  <c r="M164" i="22"/>
  <c r="N163" i="22"/>
  <c r="R167" i="22"/>
  <c r="P171" i="22"/>
  <c r="O165" i="22"/>
  <c r="L159" i="22"/>
  <c r="S170" i="22"/>
  <c r="N159" i="22"/>
  <c r="Q172" i="22"/>
  <c r="P166" i="22"/>
  <c r="O164" i="22"/>
  <c r="S171" i="22"/>
  <c r="S165" i="22"/>
  <c r="M167" i="22"/>
  <c r="Q170" i="22"/>
  <c r="P164" i="22"/>
  <c r="L172" i="22"/>
  <c r="R166" i="22"/>
  <c r="S161" i="22"/>
  <c r="M161" i="22"/>
  <c r="Q168" i="22"/>
  <c r="P163" i="22"/>
  <c r="L171" i="22"/>
  <c r="S168" i="22"/>
  <c r="S159" i="22"/>
  <c r="M159" i="22"/>
  <c r="Q165" i="22"/>
  <c r="P160" i="22"/>
  <c r="L170" i="22"/>
  <c r="N166" i="22"/>
  <c r="R161" i="22"/>
  <c r="M172" i="22"/>
  <c r="Q162" i="22"/>
  <c r="O172" i="22"/>
  <c r="L167" i="22"/>
  <c r="N162" i="22"/>
  <c r="S172" i="22"/>
  <c r="Q160" i="22"/>
  <c r="O169" i="22"/>
  <c r="L164" i="22"/>
  <c r="M171" i="22"/>
  <c r="M170" i="22"/>
  <c r="R134" i="22"/>
  <c r="R126" i="22"/>
  <c r="N132" i="22"/>
  <c r="N124" i="22"/>
  <c r="M128" i="22"/>
  <c r="L131" i="22"/>
  <c r="L134" i="22"/>
  <c r="P122" i="22"/>
  <c r="L125" i="22"/>
  <c r="P127" i="22"/>
  <c r="Q128" i="22"/>
  <c r="P131" i="22"/>
  <c r="L133" i="22"/>
  <c r="L123" i="22"/>
  <c r="S132" i="22"/>
  <c r="R130" i="22"/>
  <c r="R122" i="22"/>
  <c r="N128" i="22"/>
  <c r="O134" i="22"/>
  <c r="S122" i="22"/>
  <c r="O125" i="22"/>
  <c r="S127" i="22"/>
  <c r="P130" i="22"/>
  <c r="P133" i="22"/>
  <c r="M122" i="22"/>
  <c r="O123" i="22"/>
  <c r="S125" i="22"/>
  <c r="O128" i="22"/>
  <c r="S129" i="22"/>
  <c r="R124" i="22"/>
  <c r="N127" i="22"/>
  <c r="P129" i="22"/>
  <c r="L128" i="22"/>
  <c r="P126" i="22"/>
  <c r="O126" i="22"/>
  <c r="S124" i="22"/>
  <c r="L122" i="22"/>
  <c r="S121" i="22"/>
  <c r="R133" i="22"/>
  <c r="R123" i="22"/>
  <c r="N126" i="22"/>
  <c r="S126" i="22"/>
  <c r="Q126" i="22"/>
  <c r="M125" i="22"/>
  <c r="Q123" i="22"/>
  <c r="P123" i="22"/>
  <c r="Q134" i="22"/>
  <c r="Q121" i="22"/>
  <c r="R132" i="22"/>
  <c r="R121" i="22"/>
  <c r="N125" i="22"/>
  <c r="P125" i="22"/>
  <c r="L124" i="22"/>
  <c r="S123" i="22"/>
  <c r="O122" i="22"/>
  <c r="O133" i="22"/>
  <c r="M133" i="22"/>
  <c r="O131" i="22"/>
  <c r="R131" i="22"/>
  <c r="N134" i="22"/>
  <c r="N123" i="22"/>
  <c r="M124" i="22"/>
  <c r="Q122" i="22"/>
  <c r="M121" i="22"/>
  <c r="L121" i="22"/>
  <c r="Q131" i="22"/>
  <c r="L130" i="22"/>
  <c r="Q129" i="22"/>
  <c r="S134" i="22"/>
  <c r="R129" i="22"/>
  <c r="N133" i="22"/>
  <c r="N122" i="22"/>
  <c r="P121" i="22"/>
  <c r="O121" i="22"/>
  <c r="Q133" i="22"/>
  <c r="L132" i="22"/>
  <c r="M130" i="22"/>
  <c r="P128" i="22"/>
  <c r="O124" i="22"/>
  <c r="S133" i="22"/>
  <c r="R128" i="22"/>
  <c r="N131" i="22"/>
  <c r="N121" i="22"/>
  <c r="M134" i="22"/>
  <c r="O132" i="22"/>
  <c r="M132" i="22"/>
  <c r="O130" i="22"/>
  <c r="O127" i="22"/>
  <c r="M127" i="22"/>
  <c r="L127" i="22"/>
  <c r="S131" i="22"/>
  <c r="R127" i="22"/>
  <c r="N130" i="22"/>
  <c r="Q132" i="22"/>
  <c r="P132" i="22"/>
  <c r="Q130" i="22"/>
  <c r="L129" i="22"/>
  <c r="S128" i="22"/>
  <c r="L126" i="22"/>
  <c r="P124" i="22"/>
  <c r="Q125" i="22"/>
  <c r="S130" i="22"/>
  <c r="R125" i="22"/>
  <c r="N129" i="22"/>
  <c r="M131" i="22"/>
  <c r="O129" i="22"/>
  <c r="M129" i="22"/>
  <c r="Q127" i="22"/>
  <c r="M126" i="22"/>
  <c r="Q124" i="22"/>
  <c r="M123" i="22"/>
  <c r="P134" i="22"/>
  <c r="P205" i="22"/>
  <c r="P197" i="22"/>
  <c r="O203" i="22"/>
  <c r="N209" i="22"/>
  <c r="N201" i="22"/>
  <c r="M207" i="22"/>
  <c r="M199" i="22"/>
  <c r="R205" i="22"/>
  <c r="R197" i="22"/>
  <c r="S207" i="22"/>
  <c r="L202" i="22"/>
  <c r="S206" i="22"/>
  <c r="Q198" i="22"/>
  <c r="S197" i="22"/>
  <c r="P209" i="22"/>
  <c r="P201" i="22"/>
  <c r="O207" i="22"/>
  <c r="O199" i="22"/>
  <c r="N205" i="22"/>
  <c r="N197" i="22"/>
  <c r="M203" i="22"/>
  <c r="R209" i="22"/>
  <c r="R201" i="22"/>
  <c r="S202" i="22"/>
  <c r="L197" i="22"/>
  <c r="Q204" i="22"/>
  <c r="L209" i="22"/>
  <c r="S200" i="22"/>
  <c r="P206" i="22"/>
  <c r="O209" i="22"/>
  <c r="O198" i="22"/>
  <c r="N202" i="22"/>
  <c r="M205" i="22"/>
  <c r="R208" i="22"/>
  <c r="R198" i="22"/>
  <c r="Q202" i="22"/>
  <c r="S201" i="22"/>
  <c r="L201" i="22"/>
  <c r="S205" i="22"/>
  <c r="P200" i="22"/>
  <c r="O204" i="22"/>
  <c r="N207" i="22"/>
  <c r="M210" i="22"/>
  <c r="M200" i="22"/>
  <c r="R203" i="22"/>
  <c r="L200" i="22"/>
  <c r="S204" i="22"/>
  <c r="Q201" i="22"/>
  <c r="L198" i="22"/>
  <c r="P203" i="22"/>
  <c r="O202" i="22"/>
  <c r="N203" i="22"/>
  <c r="M202" i="22"/>
  <c r="R202" i="22"/>
  <c r="L205" i="22"/>
  <c r="Q209" i="22"/>
  <c r="L203" i="22"/>
  <c r="P202" i="22"/>
  <c r="O201" i="22"/>
  <c r="N200" i="22"/>
  <c r="M201" i="22"/>
  <c r="R200" i="22"/>
  <c r="S199" i="22"/>
  <c r="L204" i="22"/>
  <c r="Q200" i="22"/>
  <c r="P199" i="22"/>
  <c r="O200" i="22"/>
  <c r="N199" i="22"/>
  <c r="M198" i="22"/>
  <c r="R199" i="22"/>
  <c r="L210" i="22"/>
  <c r="S198" i="22"/>
  <c r="Q208" i="22"/>
  <c r="P198" i="22"/>
  <c r="O197" i="22"/>
  <c r="N198" i="22"/>
  <c r="M197" i="22"/>
  <c r="S210" i="22"/>
  <c r="Q207" i="22"/>
  <c r="Q206" i="22"/>
  <c r="P210" i="22"/>
  <c r="O210" i="22"/>
  <c r="N210" i="22"/>
  <c r="M209" i="22"/>
  <c r="R210" i="22"/>
  <c r="L208" i="22"/>
  <c r="Q199" i="22"/>
  <c r="S203" i="22"/>
  <c r="P208" i="22"/>
  <c r="O208" i="22"/>
  <c r="N208" i="22"/>
  <c r="M208" i="22"/>
  <c r="R207" i="22"/>
  <c r="Q205" i="22"/>
  <c r="S209" i="22"/>
  <c r="S208" i="22"/>
  <c r="P207" i="22"/>
  <c r="O206" i="22"/>
  <c r="N206" i="22"/>
  <c r="M206" i="22"/>
  <c r="R206" i="22"/>
  <c r="Q197" i="22"/>
  <c r="L207" i="22"/>
  <c r="L206" i="22"/>
  <c r="P204" i="22"/>
  <c r="O205" i="22"/>
  <c r="N204" i="22"/>
  <c r="M204" i="22"/>
  <c r="R204" i="22"/>
  <c r="Q210" i="22"/>
  <c r="L199" i="22"/>
  <c r="Q203" i="22"/>
  <c r="Q190" i="22"/>
  <c r="Q182" i="22"/>
  <c r="P188" i="22"/>
  <c r="P180" i="22"/>
  <c r="O186" i="22"/>
  <c r="O178" i="22"/>
  <c r="N184" i="22"/>
  <c r="S190" i="22"/>
  <c r="S182" i="22"/>
  <c r="L182" i="22"/>
  <c r="R186" i="22"/>
  <c r="L181" i="22"/>
  <c r="L191" i="22"/>
  <c r="R182" i="22"/>
  <c r="Q186" i="22"/>
  <c r="Q178" i="22"/>
  <c r="P184" i="22"/>
  <c r="O190" i="22"/>
  <c r="O182" i="22"/>
  <c r="N188" i="22"/>
  <c r="N180" i="22"/>
  <c r="S186" i="22"/>
  <c r="S178" i="22"/>
  <c r="M184" i="22"/>
  <c r="R191" i="22"/>
  <c r="L186" i="22"/>
  <c r="M180" i="22"/>
  <c r="L185" i="22"/>
  <c r="Q188" i="22"/>
  <c r="P191" i="22"/>
  <c r="P181" i="22"/>
  <c r="O184" i="22"/>
  <c r="N187" i="22"/>
  <c r="S191" i="22"/>
  <c r="S180" i="22"/>
  <c r="R181" i="22"/>
  <c r="R183" i="22"/>
  <c r="R185" i="22"/>
  <c r="R179" i="22"/>
  <c r="Q183" i="22"/>
  <c r="P186" i="22"/>
  <c r="O189" i="22"/>
  <c r="O179" i="22"/>
  <c r="N182" i="22"/>
  <c r="S185" i="22"/>
  <c r="R184" i="22"/>
  <c r="M181" i="22"/>
  <c r="M183" i="22"/>
  <c r="M185" i="22"/>
  <c r="Q184" i="22"/>
  <c r="P183" i="22"/>
  <c r="O183" i="22"/>
  <c r="N183" i="22"/>
  <c r="S183" i="22"/>
  <c r="L179" i="22"/>
  <c r="R188" i="22"/>
  <c r="M190" i="22"/>
  <c r="Q181" i="22"/>
  <c r="P182" i="22"/>
  <c r="O181" i="22"/>
  <c r="N181" i="22"/>
  <c r="S181" i="22"/>
  <c r="M189" i="22"/>
  <c r="R180" i="22"/>
  <c r="M182" i="22"/>
  <c r="Q180" i="22"/>
  <c r="P179" i="22"/>
  <c r="O180" i="22"/>
  <c r="N179" i="22"/>
  <c r="S179" i="22"/>
  <c r="L184" i="22"/>
  <c r="L178" i="22"/>
  <c r="R187" i="22"/>
  <c r="Q179" i="22"/>
  <c r="P178" i="22"/>
  <c r="N191" i="22"/>
  <c r="N178" i="22"/>
  <c r="L190" i="22"/>
  <c r="R178" i="22"/>
  <c r="M188" i="22"/>
  <c r="Q191" i="22"/>
  <c r="P190" i="22"/>
  <c r="O191" i="22"/>
  <c r="N190" i="22"/>
  <c r="S189" i="22"/>
  <c r="M187" i="22"/>
  <c r="L189" i="22"/>
  <c r="L183" i="22"/>
  <c r="Q189" i="22"/>
  <c r="P189" i="22"/>
  <c r="O188" i="22"/>
  <c r="N189" i="22"/>
  <c r="S188" i="22"/>
  <c r="M179" i="22"/>
  <c r="M186" i="22"/>
  <c r="R190" i="22"/>
  <c r="Q187" i="22"/>
  <c r="P187" i="22"/>
  <c r="O187" i="22"/>
  <c r="N186" i="22"/>
  <c r="S187" i="22"/>
  <c r="R189" i="22"/>
  <c r="M178" i="22"/>
  <c r="L188" i="22"/>
  <c r="Q185" i="22"/>
  <c r="P185" i="22"/>
  <c r="O185" i="22"/>
  <c r="N185" i="22"/>
  <c r="S184" i="22"/>
  <c r="L187" i="22"/>
  <c r="M191" i="22"/>
  <c r="L180" i="22"/>
  <c r="C10" i="27"/>
  <c r="E10" i="27"/>
  <c r="C217" i="18" l="1"/>
  <c r="D129" i="15"/>
  <c r="D130" i="15"/>
  <c r="D131" i="15"/>
  <c r="D132" i="15"/>
  <c r="D133" i="15"/>
  <c r="D134" i="15"/>
  <c r="D135" i="15"/>
  <c r="D136" i="15"/>
  <c r="D137" i="15"/>
  <c r="D138" i="15"/>
  <c r="D139" i="15"/>
  <c r="D140" i="15"/>
  <c r="D141" i="15"/>
  <c r="L128" i="15" a="1"/>
  <c r="Q129" i="15" l="1"/>
  <c r="R128" i="15"/>
  <c r="Q135" i="15"/>
  <c r="S130" i="15"/>
  <c r="O136" i="15"/>
  <c r="P135" i="15"/>
  <c r="Q131" i="15"/>
  <c r="R134" i="15"/>
  <c r="O130" i="15"/>
  <c r="P131" i="15"/>
  <c r="Q130" i="15"/>
  <c r="R130" i="15"/>
  <c r="O137" i="15"/>
  <c r="P133" i="15"/>
  <c r="Q132" i="15"/>
  <c r="N130" i="15"/>
  <c r="O133" i="15"/>
  <c r="P129" i="15"/>
  <c r="M136" i="15"/>
  <c r="O135" i="15"/>
  <c r="P130" i="15"/>
  <c r="N135" i="15"/>
  <c r="O131" i="15"/>
  <c r="L136" i="15"/>
  <c r="N131" i="15"/>
  <c r="N136" i="15"/>
  <c r="N133" i="15"/>
  <c r="S136" i="15"/>
  <c r="N129" i="15"/>
  <c r="S137" i="15"/>
  <c r="M135" i="15"/>
  <c r="L135" i="15"/>
  <c r="Q137" i="15"/>
  <c r="R135" i="15"/>
  <c r="R136" i="15"/>
  <c r="S131" i="15"/>
  <c r="R133" i="15"/>
  <c r="S129" i="15"/>
  <c r="Q128" i="15"/>
  <c r="R132" i="15"/>
  <c r="Q136" i="15"/>
  <c r="P137" i="15"/>
  <c r="N134" i="15"/>
  <c r="P134" i="15"/>
  <c r="P128" i="15"/>
  <c r="O134" i="15"/>
  <c r="O132" i="15"/>
  <c r="N132" i="15"/>
  <c r="N128" i="15"/>
  <c r="M132" i="15"/>
  <c r="L134" i="15"/>
  <c r="M131" i="15"/>
  <c r="L131" i="15"/>
  <c r="L133" i="15"/>
  <c r="P136" i="15"/>
  <c r="O129" i="15"/>
  <c r="M130" i="15"/>
  <c r="O128" i="15"/>
  <c r="L130" i="15"/>
  <c r="M137" i="15"/>
  <c r="M133" i="15"/>
  <c r="L128" i="15"/>
  <c r="L132" i="15"/>
  <c r="R137" i="15"/>
  <c r="L137" i="15"/>
  <c r="S134" i="15"/>
  <c r="R131" i="15"/>
  <c r="Q133" i="15"/>
  <c r="P132" i="15"/>
  <c r="N137" i="15"/>
  <c r="M134" i="15"/>
  <c r="M128" i="15"/>
  <c r="M129" i="15"/>
  <c r="S135" i="15"/>
  <c r="S133" i="15"/>
  <c r="Q134" i="15"/>
  <c r="S128" i="15"/>
  <c r="L129" i="15"/>
  <c r="R129" i="15"/>
  <c r="S132" i="15"/>
  <c r="E6" i="27"/>
  <c r="D5" i="37" a="1"/>
  <c r="D6" i="37" s="1"/>
  <c r="B40" i="27"/>
  <c r="C40" i="27"/>
  <c r="D40" i="27"/>
  <c r="E40" i="27"/>
  <c r="D7" i="37" l="1"/>
  <c r="D5" i="37"/>
  <c r="C9" i="18" l="1" a="1"/>
  <c r="C9" i="18" s="1"/>
  <c r="G7" i="18" a="1"/>
  <c r="G15" i="18" a="1"/>
  <c r="G12" i="18" l="1"/>
  <c r="G7" i="18"/>
  <c r="H11" i="18"/>
  <c r="H12" i="18"/>
  <c r="H7" i="18"/>
  <c r="G8" i="18"/>
  <c r="H8" i="18"/>
  <c r="G9" i="18"/>
  <c r="H9" i="18"/>
  <c r="G10" i="18"/>
  <c r="H10" i="18"/>
  <c r="G11" i="18"/>
  <c r="H20" i="18"/>
  <c r="H22" i="18"/>
  <c r="G18" i="18"/>
  <c r="G19" i="18"/>
  <c r="G21" i="18"/>
  <c r="H21" i="18"/>
  <c r="G22" i="18"/>
  <c r="G16" i="18"/>
  <c r="H16" i="18"/>
  <c r="G15" i="18"/>
  <c r="G23" i="18"/>
  <c r="H15" i="18"/>
  <c r="G17" i="18"/>
  <c r="H23" i="18"/>
  <c r="H24" i="18"/>
  <c r="H19" i="18"/>
  <c r="G24" i="18"/>
  <c r="H18" i="18"/>
  <c r="H17" i="18"/>
  <c r="G20" i="18"/>
  <c r="B12" i="27"/>
  <c r="C12" i="27"/>
  <c r="D12" i="27"/>
  <c r="E12" i="27"/>
  <c r="I6" i="27" a="1"/>
  <c r="I16" i="27" a="1"/>
  <c r="I24" i="27" a="1"/>
  <c r="J26" i="27" l="1"/>
  <c r="K26" i="27"/>
  <c r="I24" i="27"/>
  <c r="L24" i="27"/>
  <c r="J24" i="27"/>
  <c r="I26" i="27"/>
  <c r="J27" i="27"/>
  <c r="I27" i="27"/>
  <c r="L26" i="27"/>
  <c r="I25" i="27"/>
  <c r="K24" i="27"/>
  <c r="L28" i="27"/>
  <c r="K25" i="27"/>
  <c r="K28" i="27"/>
  <c r="J25" i="27"/>
  <c r="L25" i="27"/>
  <c r="J28" i="27"/>
  <c r="K27" i="27"/>
  <c r="I28" i="27"/>
  <c r="L27" i="27"/>
  <c r="L10" i="27"/>
  <c r="J6" i="27"/>
  <c r="K8" i="27"/>
  <c r="J9" i="27"/>
  <c r="J8" i="27"/>
  <c r="L6" i="27"/>
  <c r="K7" i="27"/>
  <c r="I6" i="27"/>
  <c r="L7" i="27"/>
  <c r="J7" i="27"/>
  <c r="I7" i="27"/>
  <c r="K10" i="27"/>
  <c r="I10" i="27"/>
  <c r="K6" i="27"/>
  <c r="L8" i="27"/>
  <c r="K9" i="27"/>
  <c r="L9" i="27"/>
  <c r="I8" i="27"/>
  <c r="I9" i="27"/>
  <c r="J10" i="27"/>
  <c r="L20" i="27"/>
  <c r="I16" i="27"/>
  <c r="J17" i="27"/>
  <c r="K19" i="27"/>
  <c r="L18" i="27"/>
  <c r="J19" i="27"/>
  <c r="K16" i="27"/>
  <c r="J20" i="27"/>
  <c r="I20" i="27"/>
  <c r="J18" i="27"/>
  <c r="L19" i="27"/>
  <c r="J16" i="27"/>
  <c r="I19" i="27"/>
  <c r="I18" i="27"/>
  <c r="K17" i="27"/>
  <c r="K20" i="27"/>
  <c r="K18" i="27"/>
  <c r="L17" i="27"/>
  <c r="I17" i="27"/>
  <c r="L16" i="27"/>
  <c r="C218" i="18" a="1"/>
  <c r="C218" i="18" s="1"/>
  <c r="F216" i="18" a="1"/>
  <c r="F216" i="18" l="1"/>
  <c r="G218" i="18"/>
  <c r="I218" i="18"/>
  <c r="I216" i="18"/>
  <c r="G217" i="18"/>
  <c r="F217" i="18"/>
  <c r="I217" i="18"/>
  <c r="G216" i="18"/>
  <c r="H217" i="18"/>
  <c r="F218" i="18"/>
  <c r="H216" i="18"/>
  <c r="H218" i="18"/>
  <c r="C33" i="18"/>
  <c r="G27" i="18" a="1"/>
  <c r="G27" i="18" l="1"/>
  <c r="H27" i="18"/>
  <c r="I32" i="18"/>
  <c r="H33" i="18"/>
  <c r="H34" i="18"/>
  <c r="I34" i="18"/>
  <c r="I29" i="18"/>
  <c r="H32" i="18"/>
  <c r="I31" i="18"/>
  <c r="G28" i="18"/>
  <c r="G32" i="18"/>
  <c r="G29" i="18"/>
  <c r="I27" i="18"/>
  <c r="G33" i="18"/>
  <c r="H28" i="18"/>
  <c r="G34" i="18"/>
  <c r="I35" i="18"/>
  <c r="I33" i="18"/>
  <c r="H29" i="18"/>
  <c r="G35" i="18"/>
  <c r="G30" i="18"/>
  <c r="I28" i="18"/>
  <c r="G36" i="18"/>
  <c r="I36" i="18"/>
  <c r="H35" i="18"/>
  <c r="H30" i="18"/>
  <c r="G31" i="18"/>
  <c r="I30" i="18"/>
  <c r="H36" i="18"/>
  <c r="H31" i="18"/>
  <c r="J57" i="55"/>
  <c r="E7" i="11" a="1"/>
  <c r="E7" i="11" s="1"/>
  <c r="E10" i="11" l="1"/>
  <c r="E9" i="11"/>
  <c r="F7" i="11"/>
  <c r="F10" i="11"/>
  <c r="F9" i="11"/>
  <c r="F8" i="11"/>
  <c r="E8" i="11"/>
  <c r="B49" i="66"/>
  <c r="D47" i="66" a="1"/>
  <c r="D48" i="66" l="1"/>
  <c r="D51" i="66"/>
  <c r="D49" i="66"/>
  <c r="D47" i="66"/>
  <c r="D50" i="66"/>
  <c r="H30" i="11"/>
  <c r="AG5" i="2" l="1"/>
  <c r="AH5" i="2" a="1"/>
  <c r="AH5" i="2" l="1"/>
  <c r="D219" i="14"/>
  <c r="E219" i="14"/>
  <c r="F219" i="14"/>
  <c r="G219" i="14"/>
  <c r="D8" i="39"/>
  <c r="D9" i="39"/>
  <c r="D10" i="39"/>
  <c r="D11" i="39"/>
  <c r="D12" i="39"/>
  <c r="D13" i="39"/>
  <c r="D14" i="39"/>
  <c r="D15" i="39"/>
  <c r="D16" i="39"/>
  <c r="D17" i="39"/>
  <c r="D18" i="39"/>
  <c r="D19" i="39"/>
  <c r="D20" i="39"/>
  <c r="L10" i="39" a="1"/>
  <c r="AI4" i="2" a="1"/>
  <c r="AI4" i="2" l="1"/>
  <c r="H219" i="14"/>
  <c r="L10" i="39"/>
  <c r="C34" i="27"/>
  <c r="D225" i="14"/>
  <c r="D226" i="14"/>
  <c r="D227" i="14"/>
  <c r="D228" i="14"/>
  <c r="I34" i="27" a="1"/>
  <c r="L12" i="39" a="1"/>
  <c r="M20" i="39" a="1"/>
  <c r="L266" i="14" a="1"/>
  <c r="L275" i="14" a="1"/>
  <c r="S305" i="14" a="1"/>
  <c r="L248" i="14" a="1"/>
  <c r="K313" i="14" a="1"/>
  <c r="L286" i="14" a="1"/>
  <c r="L257" i="14" a="1"/>
  <c r="L215" i="14" a="1"/>
  <c r="L239" i="14" a="1"/>
  <c r="L223" i="14" a="1"/>
  <c r="O277" i="14" l="1"/>
  <c r="P275" i="14"/>
  <c r="Q276" i="14"/>
  <c r="S279" i="14"/>
  <c r="L278" i="14"/>
  <c r="M279" i="14"/>
  <c r="P280" i="14"/>
  <c r="N279" i="14"/>
  <c r="Q275" i="14"/>
  <c r="P277" i="14"/>
  <c r="M278" i="14"/>
  <c r="P279" i="14"/>
  <c r="L280" i="14"/>
  <c r="R275" i="14"/>
  <c r="N278" i="14"/>
  <c r="S275" i="14"/>
  <c r="R279" i="14"/>
  <c r="L276" i="14"/>
  <c r="M276" i="14"/>
  <c r="R277" i="14"/>
  <c r="O275" i="14"/>
  <c r="S278" i="14"/>
  <c r="Q279" i="14"/>
  <c r="N275" i="14"/>
  <c r="R278" i="14"/>
  <c r="S277" i="14"/>
  <c r="P276" i="14"/>
  <c r="L277" i="14"/>
  <c r="N277" i="14"/>
  <c r="R276" i="14"/>
  <c r="M277" i="14"/>
  <c r="S280" i="14"/>
  <c r="P278" i="14"/>
  <c r="N276" i="14"/>
  <c r="L275" i="14"/>
  <c r="O279" i="14"/>
  <c r="Q280" i="14"/>
  <c r="L279" i="14"/>
  <c r="R280" i="14"/>
  <c r="S276" i="14"/>
  <c r="O278" i="14"/>
  <c r="M275" i="14"/>
  <c r="Q277" i="14"/>
  <c r="M280" i="14"/>
  <c r="Q278" i="14"/>
  <c r="N280" i="14"/>
  <c r="O276" i="14"/>
  <c r="O280" i="14"/>
  <c r="M266" i="14"/>
  <c r="N266" i="14"/>
  <c r="Q268" i="14"/>
  <c r="R268" i="14"/>
  <c r="M271" i="14"/>
  <c r="O271" i="14"/>
  <c r="N271" i="14"/>
  <c r="O266" i="14"/>
  <c r="Q266" i="14"/>
  <c r="S268" i="14"/>
  <c r="S266" i="14"/>
  <c r="P269" i="14"/>
  <c r="N267" i="14"/>
  <c r="P268" i="14"/>
  <c r="R269" i="14"/>
  <c r="L271" i="14"/>
  <c r="Q267" i="14"/>
  <c r="Q269" i="14"/>
  <c r="P270" i="14"/>
  <c r="R267" i="14"/>
  <c r="O270" i="14"/>
  <c r="N268" i="14"/>
  <c r="M267" i="14"/>
  <c r="N270" i="14"/>
  <c r="L268" i="14"/>
  <c r="Q271" i="14"/>
  <c r="L266" i="14"/>
  <c r="R266" i="14"/>
  <c r="S269" i="14"/>
  <c r="S271" i="14"/>
  <c r="S267" i="14"/>
  <c r="O267" i="14"/>
  <c r="R270" i="14"/>
  <c r="S270" i="14"/>
  <c r="L269" i="14"/>
  <c r="P266" i="14"/>
  <c r="P271" i="14"/>
  <c r="M269" i="14"/>
  <c r="N269" i="14"/>
  <c r="R271" i="14"/>
  <c r="O269" i="14"/>
  <c r="L267" i="14"/>
  <c r="P267" i="14"/>
  <c r="Q270" i="14"/>
  <c r="L270" i="14"/>
  <c r="M270" i="14"/>
  <c r="M268" i="14"/>
  <c r="O268" i="14"/>
  <c r="S215" i="14"/>
  <c r="P220" i="14"/>
  <c r="L217" i="14"/>
  <c r="O218" i="14"/>
  <c r="M215" i="14"/>
  <c r="N220" i="14"/>
  <c r="S216" i="14"/>
  <c r="Q215" i="14"/>
  <c r="L218" i="14"/>
  <c r="O219" i="14"/>
  <c r="M216" i="14"/>
  <c r="O215" i="14"/>
  <c r="S217" i="14"/>
  <c r="Q218" i="14"/>
  <c r="L219" i="14"/>
  <c r="P215" i="14"/>
  <c r="M217" i="14"/>
  <c r="O217" i="14"/>
  <c r="S218" i="14"/>
  <c r="R215" i="14"/>
  <c r="L220" i="14"/>
  <c r="P218" i="14"/>
  <c r="M218" i="14"/>
  <c r="P216" i="14"/>
  <c r="S219" i="14"/>
  <c r="R218" i="14"/>
  <c r="N216" i="14"/>
  <c r="Q216" i="14"/>
  <c r="M219" i="14"/>
  <c r="P219" i="14"/>
  <c r="S220" i="14"/>
  <c r="R220" i="14"/>
  <c r="N217" i="14"/>
  <c r="Q219" i="14"/>
  <c r="M220" i="14"/>
  <c r="Q217" i="14"/>
  <c r="O220" i="14"/>
  <c r="L215" i="14"/>
  <c r="N219" i="14"/>
  <c r="R217" i="14"/>
  <c r="N215" i="14"/>
  <c r="Q220" i="14"/>
  <c r="P217" i="14"/>
  <c r="L216" i="14"/>
  <c r="O216" i="14"/>
  <c r="R219" i="14"/>
  <c r="N218" i="14"/>
  <c r="R216" i="14"/>
  <c r="L16" i="39"/>
  <c r="L13" i="39"/>
  <c r="M15" i="39"/>
  <c r="L17" i="39"/>
  <c r="L15" i="39"/>
  <c r="L14" i="39"/>
  <c r="M12" i="39"/>
  <c r="M13" i="39"/>
  <c r="M14" i="39"/>
  <c r="M17" i="39"/>
  <c r="L12" i="39"/>
  <c r="M16" i="39"/>
  <c r="M20" i="39"/>
  <c r="S305" i="14"/>
  <c r="S307" i="14"/>
  <c r="S306" i="14"/>
  <c r="S309" i="14"/>
  <c r="S308" i="14"/>
  <c r="S310" i="14"/>
  <c r="R248" i="14"/>
  <c r="O251" i="14"/>
  <c r="Q253" i="14"/>
  <c r="P249" i="14"/>
  <c r="P250" i="14"/>
  <c r="S251" i="14"/>
  <c r="R252" i="14"/>
  <c r="N250" i="14"/>
  <c r="P252" i="14"/>
  <c r="O248" i="14"/>
  <c r="O250" i="14"/>
  <c r="O249" i="14"/>
  <c r="N249" i="14"/>
  <c r="P248" i="14"/>
  <c r="L253" i="14"/>
  <c r="S252" i="14"/>
  <c r="R253" i="14"/>
  <c r="N248" i="14"/>
  <c r="O252" i="14"/>
  <c r="Q251" i="14"/>
  <c r="M249" i="14"/>
  <c r="R250" i="14"/>
  <c r="S253" i="14"/>
  <c r="M248" i="14"/>
  <c r="S248" i="14"/>
  <c r="N253" i="14"/>
  <c r="S249" i="14"/>
  <c r="P251" i="14"/>
  <c r="L250" i="14"/>
  <c r="M252" i="14"/>
  <c r="M253" i="14"/>
  <c r="N251" i="14"/>
  <c r="L249" i="14"/>
  <c r="L251" i="14"/>
  <c r="L252" i="14"/>
  <c r="R251" i="14"/>
  <c r="S250" i="14"/>
  <c r="R249" i="14"/>
  <c r="Q250" i="14"/>
  <c r="N252" i="14"/>
  <c r="O253" i="14"/>
  <c r="Q252" i="14"/>
  <c r="M250" i="14"/>
  <c r="Q248" i="14"/>
  <c r="L248" i="14"/>
  <c r="M251" i="14"/>
  <c r="Q249" i="14"/>
  <c r="P253" i="14"/>
  <c r="Q257" i="14"/>
  <c r="S260" i="14"/>
  <c r="P260" i="14"/>
  <c r="N261" i="14"/>
  <c r="N260" i="14"/>
  <c r="P261" i="14"/>
  <c r="Q261" i="14"/>
  <c r="M259" i="14"/>
  <c r="R260" i="14"/>
  <c r="O260" i="14"/>
  <c r="O261" i="14"/>
  <c r="R259" i="14"/>
  <c r="Q258" i="14"/>
  <c r="N258" i="14"/>
  <c r="L259" i="14"/>
  <c r="O257" i="14"/>
  <c r="O262" i="14"/>
  <c r="M258" i="14"/>
  <c r="S261" i="14"/>
  <c r="P258" i="14"/>
  <c r="R262" i="14"/>
  <c r="N262" i="14"/>
  <c r="R257" i="14"/>
  <c r="S262" i="14"/>
  <c r="Q262" i="14"/>
  <c r="P259" i="14"/>
  <c r="P262" i="14"/>
  <c r="S258" i="14"/>
  <c r="Q260" i="14"/>
  <c r="L262" i="14"/>
  <c r="S259" i="14"/>
  <c r="O258" i="14"/>
  <c r="Q259" i="14"/>
  <c r="O259" i="14"/>
  <c r="N257" i="14"/>
  <c r="R258" i="14"/>
  <c r="M262" i="14"/>
  <c r="L258" i="14"/>
  <c r="P257" i="14"/>
  <c r="M261" i="14"/>
  <c r="N259" i="14"/>
  <c r="L261" i="14"/>
  <c r="M260" i="14"/>
  <c r="S257" i="14"/>
  <c r="L257" i="14"/>
  <c r="M257" i="14"/>
  <c r="R261" i="14"/>
  <c r="L260" i="14"/>
  <c r="P287" i="14"/>
  <c r="L290" i="14"/>
  <c r="O286" i="14"/>
  <c r="M286" i="14"/>
  <c r="S291" i="14"/>
  <c r="M290" i="14"/>
  <c r="P291" i="14"/>
  <c r="O289" i="14"/>
  <c r="L286" i="14"/>
  <c r="N286" i="14"/>
  <c r="Q291" i="14"/>
  <c r="N291" i="14"/>
  <c r="P289" i="14"/>
  <c r="L289" i="14"/>
  <c r="R287" i="14"/>
  <c r="N288" i="14"/>
  <c r="R289" i="14"/>
  <c r="O290" i="14"/>
  <c r="Q289" i="14"/>
  <c r="Q290" i="14"/>
  <c r="M287" i="14"/>
  <c r="O288" i="14"/>
  <c r="N289" i="14"/>
  <c r="M288" i="14"/>
  <c r="O287" i="14"/>
  <c r="R290" i="14"/>
  <c r="R291" i="14"/>
  <c r="L291" i="14"/>
  <c r="M289" i="14"/>
  <c r="S286" i="14"/>
  <c r="L288" i="14"/>
  <c r="Q287" i="14"/>
  <c r="N290" i="14"/>
  <c r="P290" i="14"/>
  <c r="L287" i="14"/>
  <c r="S288" i="14"/>
  <c r="Q286" i="14"/>
  <c r="P288" i="14"/>
  <c r="M291" i="14"/>
  <c r="N287" i="14"/>
  <c r="R288" i="14"/>
  <c r="P286" i="14"/>
  <c r="S287" i="14"/>
  <c r="S289" i="14"/>
  <c r="Q288" i="14"/>
  <c r="O291" i="14"/>
  <c r="S290" i="14"/>
  <c r="R286" i="14"/>
  <c r="R318" i="14"/>
  <c r="R317" i="14"/>
  <c r="P316" i="14"/>
  <c r="L314" i="14"/>
  <c r="R313" i="14"/>
  <c r="P314" i="14"/>
  <c r="O314" i="14"/>
  <c r="M315" i="14"/>
  <c r="M314" i="14"/>
  <c r="K313" i="14"/>
  <c r="K314" i="14"/>
  <c r="Q313" i="14"/>
  <c r="S314" i="14"/>
  <c r="M313" i="14"/>
  <c r="K317" i="14"/>
  <c r="N313" i="14"/>
  <c r="P315" i="14"/>
  <c r="O316" i="14"/>
  <c r="P318" i="14"/>
  <c r="Q318" i="14"/>
  <c r="R314" i="14"/>
  <c r="L318" i="14"/>
  <c r="S315" i="14"/>
  <c r="P313" i="14"/>
  <c r="S317" i="14"/>
  <c r="O317" i="14"/>
  <c r="Q316" i="14"/>
  <c r="R315" i="14"/>
  <c r="S316" i="14"/>
  <c r="L317" i="14"/>
  <c r="S318" i="14"/>
  <c r="N316" i="14"/>
  <c r="N314" i="14"/>
  <c r="M318" i="14"/>
  <c r="M316" i="14"/>
  <c r="O313" i="14"/>
  <c r="R316" i="14"/>
  <c r="Q314" i="14"/>
  <c r="K316" i="14"/>
  <c r="O315" i="14"/>
  <c r="Q317" i="14"/>
  <c r="L316" i="14"/>
  <c r="K315" i="14"/>
  <c r="N318" i="14"/>
  <c r="L313" i="14"/>
  <c r="N315" i="14"/>
  <c r="Q315" i="14"/>
  <c r="S313" i="14"/>
  <c r="N317" i="14"/>
  <c r="K318" i="14"/>
  <c r="P317" i="14"/>
  <c r="M317" i="14"/>
  <c r="L315" i="14"/>
  <c r="O318" i="14"/>
  <c r="L229" i="14"/>
  <c r="P233" i="14"/>
  <c r="P225" i="14"/>
  <c r="N227" i="14"/>
  <c r="O228" i="14"/>
  <c r="S230" i="14"/>
  <c r="M232" i="14"/>
  <c r="S232" i="14"/>
  <c r="M234" i="14"/>
  <c r="N229" i="14"/>
  <c r="R231" i="14"/>
  <c r="Q234" i="14"/>
  <c r="L233" i="14"/>
  <c r="L225" i="14"/>
  <c r="P229" i="14"/>
  <c r="Q232" i="14"/>
  <c r="R233" i="14"/>
  <c r="M223" i="14"/>
  <c r="Q225" i="14"/>
  <c r="R226" i="14"/>
  <c r="Q227" i="14"/>
  <c r="N233" i="14"/>
  <c r="N225" i="14"/>
  <c r="O231" i="14"/>
  <c r="L232" i="14"/>
  <c r="P234" i="14"/>
  <c r="P223" i="14"/>
  <c r="O232" i="14"/>
  <c r="N232" i="14"/>
  <c r="O229" i="14"/>
  <c r="N226" i="14"/>
  <c r="M233" i="14"/>
  <c r="R224" i="14"/>
  <c r="L231" i="14"/>
  <c r="P232" i="14"/>
  <c r="S233" i="14"/>
  <c r="M231" i="14"/>
  <c r="Q229" i="14"/>
  <c r="M228" i="14"/>
  <c r="S224" i="14"/>
  <c r="M226" i="14"/>
  <c r="O234" i="14"/>
  <c r="L230" i="14"/>
  <c r="P231" i="14"/>
  <c r="N231" i="14"/>
  <c r="R229" i="14"/>
  <c r="N228" i="14"/>
  <c r="O225" i="14"/>
  <c r="Q223" i="14"/>
  <c r="R232" i="14"/>
  <c r="Q230" i="14"/>
  <c r="L228" i="14"/>
  <c r="P230" i="14"/>
  <c r="S229" i="14"/>
  <c r="M227" i="14"/>
  <c r="S226" i="14"/>
  <c r="M224" i="14"/>
  <c r="O230" i="14"/>
  <c r="M229" i="14"/>
  <c r="R227" i="14"/>
  <c r="L227" i="14"/>
  <c r="P228" i="14"/>
  <c r="Q228" i="14"/>
  <c r="R225" i="14"/>
  <c r="N224" i="14"/>
  <c r="N234" i="14"/>
  <c r="Q226" i="14"/>
  <c r="S231" i="14"/>
  <c r="R223" i="14"/>
  <c r="L226" i="14"/>
  <c r="P227" i="14"/>
  <c r="S225" i="14"/>
  <c r="O224" i="14"/>
  <c r="R234" i="14"/>
  <c r="Q231" i="14"/>
  <c r="O223" i="14"/>
  <c r="R228" i="14"/>
  <c r="O227" i="14"/>
  <c r="L224" i="14"/>
  <c r="P226" i="14"/>
  <c r="Q224" i="14"/>
  <c r="S234" i="14"/>
  <c r="O233" i="14"/>
  <c r="N230" i="14"/>
  <c r="M230" i="14"/>
  <c r="M225" i="14"/>
  <c r="S223" i="14"/>
  <c r="L234" i="14"/>
  <c r="L223" i="14"/>
  <c r="P224" i="14"/>
  <c r="N223" i="14"/>
  <c r="Q233" i="14"/>
  <c r="R230" i="14"/>
  <c r="S228" i="14"/>
  <c r="O226" i="14"/>
  <c r="S227" i="14"/>
  <c r="S240" i="14"/>
  <c r="P244" i="14"/>
  <c r="N240" i="14"/>
  <c r="N241" i="14"/>
  <c r="Q244" i="14"/>
  <c r="P242" i="14"/>
  <c r="S244" i="14"/>
  <c r="O242" i="14"/>
  <c r="M239" i="14"/>
  <c r="P241" i="14"/>
  <c r="M242" i="14"/>
  <c r="Q243" i="14"/>
  <c r="S243" i="14"/>
  <c r="O239" i="14"/>
  <c r="M244" i="14"/>
  <c r="R240" i="14"/>
  <c r="Q239" i="14"/>
  <c r="S242" i="14"/>
  <c r="M243" i="14"/>
  <c r="R242" i="14"/>
  <c r="P239" i="14"/>
  <c r="N239" i="14"/>
  <c r="S241" i="14"/>
  <c r="R241" i="14"/>
  <c r="M240" i="14"/>
  <c r="M241" i="14"/>
  <c r="L242" i="14"/>
  <c r="S239" i="14"/>
  <c r="P240" i="14"/>
  <c r="L244" i="14"/>
  <c r="L241" i="14"/>
  <c r="N242" i="14"/>
  <c r="O244" i="14"/>
  <c r="N244" i="14"/>
  <c r="Q242" i="14"/>
  <c r="R243" i="14"/>
  <c r="O243" i="14"/>
  <c r="L243" i="14"/>
  <c r="L240" i="14"/>
  <c r="Q240" i="14"/>
  <c r="O241" i="14"/>
  <c r="Q241" i="14"/>
  <c r="R244" i="14"/>
  <c r="R239" i="14"/>
  <c r="O240" i="14"/>
  <c r="L239" i="14"/>
  <c r="P243" i="14"/>
  <c r="N243" i="14"/>
  <c r="L37" i="27"/>
  <c r="K36" i="27"/>
  <c r="J34" i="27"/>
  <c r="I36" i="27"/>
  <c r="I34" i="27"/>
  <c r="K37" i="27"/>
  <c r="K34" i="27"/>
  <c r="L34" i="27"/>
  <c r="J35" i="27"/>
  <c r="I37" i="27"/>
  <c r="K35" i="27"/>
  <c r="L38" i="27"/>
  <c r="I38" i="27"/>
  <c r="L36" i="27"/>
  <c r="J38" i="27"/>
  <c r="L35" i="27"/>
  <c r="J37" i="27"/>
  <c r="J36" i="27"/>
  <c r="K38" i="27"/>
  <c r="I35" i="27"/>
  <c r="D183" i="55"/>
  <c r="E184" i="60"/>
  <c r="B189" i="60" a="1"/>
  <c r="B192" i="60" l="1"/>
  <c r="D190" i="60"/>
  <c r="E193" i="60"/>
  <c r="G191" i="60"/>
  <c r="I189" i="60"/>
  <c r="C190" i="60"/>
  <c r="H190" i="60"/>
  <c r="C191" i="60"/>
  <c r="E189" i="60"/>
  <c r="H191" i="60"/>
  <c r="B189" i="60"/>
  <c r="E190" i="60"/>
  <c r="H192" i="60"/>
  <c r="C193" i="60"/>
  <c r="H193" i="60"/>
  <c r="E192" i="60"/>
  <c r="B193" i="60"/>
  <c r="D191" i="60"/>
  <c r="F189" i="60"/>
  <c r="G192" i="60"/>
  <c r="I190" i="60"/>
  <c r="I193" i="60"/>
  <c r="F193" i="60"/>
  <c r="E191" i="60"/>
  <c r="G190" i="60"/>
  <c r="C189" i="60"/>
  <c r="D192" i="60"/>
  <c r="F190" i="60"/>
  <c r="H189" i="60"/>
  <c r="I191" i="60"/>
  <c r="D193" i="60"/>
  <c r="F191" i="60"/>
  <c r="I192" i="60"/>
  <c r="F192" i="60"/>
  <c r="C192" i="60"/>
  <c r="B190" i="60"/>
  <c r="G189" i="60"/>
  <c r="B191" i="60"/>
  <c r="G193" i="60"/>
  <c r="D189" i="60"/>
  <c r="E166" i="60"/>
  <c r="F115" i="43" a="1"/>
  <c r="B172" i="60" a="1"/>
  <c r="F57" i="43" a="1"/>
  <c r="F77" i="43" a="1"/>
  <c r="F104" i="43" a="1"/>
  <c r="F67" i="43" a="1"/>
  <c r="F91" i="43" a="1"/>
  <c r="E116" i="9" a="1"/>
  <c r="B117" i="44" a="1"/>
  <c r="F128" i="43" a="1"/>
  <c r="E175" i="60" l="1"/>
  <c r="E173" i="60"/>
  <c r="B173" i="60"/>
  <c r="G172" i="60"/>
  <c r="D175" i="60"/>
  <c r="H176" i="60"/>
  <c r="C176" i="60"/>
  <c r="E172" i="60"/>
  <c r="H172" i="60"/>
  <c r="F175" i="60"/>
  <c r="G173" i="60"/>
  <c r="G176" i="60"/>
  <c r="H174" i="60"/>
  <c r="D172" i="60"/>
  <c r="D176" i="60"/>
  <c r="F176" i="60"/>
  <c r="F174" i="60"/>
  <c r="C174" i="60"/>
  <c r="H173" i="60"/>
  <c r="G174" i="60"/>
  <c r="H175" i="60"/>
  <c r="C172" i="60"/>
  <c r="G175" i="60"/>
  <c r="B175" i="60"/>
  <c r="D173" i="60"/>
  <c r="E176" i="60"/>
  <c r="E174" i="60"/>
  <c r="F172" i="60"/>
  <c r="B172" i="60"/>
  <c r="F173" i="60"/>
  <c r="B174" i="60"/>
  <c r="C173" i="60"/>
  <c r="C175" i="60"/>
  <c r="D174" i="60"/>
  <c r="B176" i="60"/>
  <c r="G129" i="43"/>
  <c r="F134" i="43"/>
  <c r="F133" i="43"/>
  <c r="H130" i="43"/>
  <c r="F135" i="43"/>
  <c r="G130" i="43"/>
  <c r="H134" i="43"/>
  <c r="F129" i="43"/>
  <c r="G133" i="43"/>
  <c r="H129" i="43"/>
  <c r="F132" i="43"/>
  <c r="F131" i="43"/>
  <c r="H131" i="43"/>
  <c r="F136" i="43"/>
  <c r="G134" i="43"/>
  <c r="H133" i="43"/>
  <c r="G128" i="43"/>
  <c r="F130" i="43"/>
  <c r="H135" i="43"/>
  <c r="G132" i="43"/>
  <c r="H132" i="43"/>
  <c r="G136" i="43"/>
  <c r="H136" i="43"/>
  <c r="G135" i="43"/>
  <c r="G131" i="43"/>
  <c r="H128" i="43"/>
  <c r="F128" i="43"/>
  <c r="G99" i="43"/>
  <c r="F92" i="43"/>
  <c r="F99" i="43"/>
  <c r="G96" i="43"/>
  <c r="F98" i="43"/>
  <c r="F96" i="43"/>
  <c r="G98" i="43"/>
  <c r="G93" i="43"/>
  <c r="G92" i="43"/>
  <c r="F97" i="43"/>
  <c r="F93" i="43"/>
  <c r="F94" i="43"/>
  <c r="G95" i="43"/>
  <c r="G91" i="43"/>
  <c r="F91" i="43"/>
  <c r="G94" i="43"/>
  <c r="G97" i="43"/>
  <c r="F95" i="43"/>
  <c r="F63" i="43"/>
  <c r="G58" i="43"/>
  <c r="F64" i="43"/>
  <c r="G63" i="43"/>
  <c r="G65" i="43"/>
  <c r="G62" i="43"/>
  <c r="F59" i="43"/>
  <c r="G59" i="43"/>
  <c r="F60" i="43"/>
  <c r="G61" i="43"/>
  <c r="F61" i="43"/>
  <c r="G57" i="43"/>
  <c r="F57" i="43"/>
  <c r="G60" i="43"/>
  <c r="F58" i="43"/>
  <c r="F65" i="43"/>
  <c r="F62" i="43"/>
  <c r="G64" i="43"/>
  <c r="F110" i="43"/>
  <c r="F108" i="43"/>
  <c r="F105" i="43"/>
  <c r="G109" i="43"/>
  <c r="G107" i="43"/>
  <c r="F109" i="43"/>
  <c r="F111" i="43"/>
  <c r="F112" i="43"/>
  <c r="F104" i="43"/>
  <c r="F106" i="43"/>
  <c r="G105" i="43"/>
  <c r="G104" i="43"/>
  <c r="G112" i="43"/>
  <c r="G111" i="43"/>
  <c r="G106" i="43"/>
  <c r="G110" i="43"/>
  <c r="F107" i="43"/>
  <c r="G108" i="43"/>
  <c r="F75" i="43"/>
  <c r="G71" i="43"/>
  <c r="F73" i="43"/>
  <c r="G69" i="43"/>
  <c r="F72" i="43"/>
  <c r="G75" i="43"/>
  <c r="F74" i="43"/>
  <c r="F71" i="43"/>
  <c r="F69" i="43"/>
  <c r="F67" i="43"/>
  <c r="G68" i="43"/>
  <c r="G73" i="43"/>
  <c r="F70" i="43"/>
  <c r="F68" i="43"/>
  <c r="G70" i="43"/>
  <c r="G74" i="43"/>
  <c r="G72" i="43"/>
  <c r="G67" i="43"/>
  <c r="G119" i="43"/>
  <c r="F119" i="43"/>
  <c r="G118" i="43"/>
  <c r="F120" i="43"/>
  <c r="G115" i="43"/>
  <c r="F123" i="43"/>
  <c r="F121" i="43"/>
  <c r="F117" i="43"/>
  <c r="F122" i="43"/>
  <c r="F116" i="43"/>
  <c r="G116" i="43"/>
  <c r="G120" i="43"/>
  <c r="G122" i="43"/>
  <c r="G117" i="43"/>
  <c r="G123" i="43"/>
  <c r="G121" i="43"/>
  <c r="F118" i="43"/>
  <c r="F115" i="43"/>
  <c r="F118" i="9"/>
  <c r="E117" i="9"/>
  <c r="F117" i="9"/>
  <c r="E118" i="9"/>
  <c r="E116" i="9"/>
  <c r="F116" i="9"/>
  <c r="F78" i="43"/>
  <c r="G85" i="43"/>
  <c r="F81" i="43"/>
  <c r="G79" i="43"/>
  <c r="G84" i="43"/>
  <c r="G78" i="43"/>
  <c r="F79" i="43"/>
  <c r="F84" i="43"/>
  <c r="F82" i="43"/>
  <c r="G80" i="43"/>
  <c r="G82" i="43"/>
  <c r="F85" i="43"/>
  <c r="G81" i="43"/>
  <c r="G83" i="43"/>
  <c r="F80" i="43"/>
  <c r="F77" i="43"/>
  <c r="F83" i="43"/>
  <c r="G77" i="43"/>
  <c r="K127" i="44"/>
  <c r="F125" i="44"/>
  <c r="D126" i="44"/>
  <c r="C123" i="44"/>
  <c r="E129" i="44"/>
  <c r="D118" i="44"/>
  <c r="G128" i="44"/>
  <c r="F123" i="44"/>
  <c r="K118" i="44"/>
  <c r="B129" i="44"/>
  <c r="D124" i="44"/>
  <c r="K117" i="44"/>
  <c r="E124" i="44"/>
  <c r="I130" i="44"/>
  <c r="B122" i="44"/>
  <c r="F128" i="44"/>
  <c r="C120" i="44"/>
  <c r="G126" i="44"/>
  <c r="B125" i="44"/>
  <c r="F122" i="44"/>
  <c r="C122" i="44"/>
  <c r="D127" i="44"/>
  <c r="E120" i="44"/>
  <c r="F124" i="44"/>
  <c r="K128" i="44"/>
  <c r="C124" i="44"/>
  <c r="E121" i="44"/>
  <c r="H118" i="44"/>
  <c r="K119" i="44"/>
  <c r="D130" i="44"/>
  <c r="H125" i="44"/>
  <c r="J131" i="44"/>
  <c r="F119" i="44"/>
  <c r="H129" i="44"/>
  <c r="I124" i="44"/>
  <c r="B120" i="44"/>
  <c r="E130" i="44"/>
  <c r="G125" i="44"/>
  <c r="I118" i="44"/>
  <c r="C125" i="44"/>
  <c r="G131" i="44"/>
  <c r="J122" i="44"/>
  <c r="D129" i="44"/>
  <c r="K120" i="44"/>
  <c r="E127" i="44"/>
  <c r="B121" i="44"/>
  <c r="K130" i="44"/>
  <c r="B117" i="44"/>
  <c r="J117" i="44"/>
  <c r="I126" i="44"/>
  <c r="J130" i="44"/>
  <c r="G130" i="44"/>
  <c r="J123" i="44"/>
  <c r="J128" i="44"/>
  <c r="B127" i="44"/>
  <c r="F118" i="44"/>
  <c r="D128" i="44"/>
  <c r="E117" i="44"/>
  <c r="I120" i="44"/>
  <c r="B131" i="44"/>
  <c r="C126" i="44"/>
  <c r="F121" i="44"/>
  <c r="I131" i="44"/>
  <c r="K126" i="44"/>
  <c r="G119" i="44"/>
  <c r="K125" i="44"/>
  <c r="D117" i="44"/>
  <c r="H123" i="44"/>
  <c r="B130" i="44"/>
  <c r="I121" i="44"/>
  <c r="C128" i="44"/>
  <c r="D120" i="44"/>
  <c r="J119" i="44"/>
  <c r="H122" i="44"/>
  <c r="B128" i="44"/>
  <c r="B118" i="44"/>
  <c r="G122" i="44"/>
  <c r="F131" i="44"/>
  <c r="D131" i="44"/>
  <c r="G124" i="44"/>
  <c r="E126" i="44"/>
  <c r="B119" i="44"/>
  <c r="E122" i="44"/>
  <c r="D123" i="44"/>
  <c r="E118" i="44"/>
  <c r="H128" i="44"/>
  <c r="K123" i="44"/>
  <c r="C119" i="44"/>
  <c r="F129" i="44"/>
  <c r="C121" i="44"/>
  <c r="G127" i="44"/>
  <c r="J118" i="44"/>
  <c r="D125" i="44"/>
  <c r="H131" i="44"/>
  <c r="E123" i="44"/>
  <c r="I129" i="44"/>
  <c r="K122" i="44"/>
  <c r="I123" i="44"/>
  <c r="I128" i="44"/>
  <c r="F130" i="44"/>
  <c r="G121" i="44"/>
  <c r="J124" i="44"/>
  <c r="H124" i="44"/>
  <c r="I119" i="44"/>
  <c r="J129" i="44"/>
  <c r="E125" i="44"/>
  <c r="G120" i="44"/>
  <c r="H130" i="44"/>
  <c r="K121" i="44"/>
  <c r="E128" i="44"/>
  <c r="H119" i="44"/>
  <c r="B126" i="44"/>
  <c r="I117" i="44"/>
  <c r="I127" i="44"/>
  <c r="G129" i="44"/>
  <c r="H117" i="44"/>
  <c r="C118" i="44"/>
  <c r="B124" i="44"/>
  <c r="F127" i="44"/>
  <c r="J125" i="44"/>
  <c r="J120" i="44"/>
  <c r="C131" i="44"/>
  <c r="F126" i="44"/>
  <c r="H121" i="44"/>
  <c r="K131" i="44"/>
  <c r="I122" i="44"/>
  <c r="C129" i="44"/>
  <c r="F120" i="44"/>
  <c r="J126" i="44"/>
  <c r="G118" i="44"/>
  <c r="K124" i="44"/>
  <c r="E131" i="44"/>
  <c r="F117" i="44"/>
  <c r="D119" i="44"/>
  <c r="J121" i="44"/>
  <c r="H120" i="44"/>
  <c r="H126" i="44"/>
  <c r="C130" i="44"/>
  <c r="C127" i="44"/>
  <c r="D122" i="44"/>
  <c r="G117" i="44"/>
  <c r="J127" i="44"/>
  <c r="B123" i="44"/>
  <c r="C117" i="44"/>
  <c r="G123" i="44"/>
  <c r="K129" i="44"/>
  <c r="D121" i="44"/>
  <c r="H127" i="44"/>
  <c r="E119" i="44"/>
  <c r="I125" i="44"/>
  <c r="H31" i="11"/>
  <c r="B83" i="12" a="1"/>
  <c r="B78" i="41" a="1"/>
  <c r="L341" i="14" a="1"/>
  <c r="F84" i="12" l="1"/>
  <c r="G84" i="12"/>
  <c r="D84" i="12"/>
  <c r="H83" i="12"/>
  <c r="B84" i="12"/>
  <c r="H84" i="12"/>
  <c r="G83" i="12"/>
  <c r="D83" i="12"/>
  <c r="F83" i="12"/>
  <c r="B83" i="12"/>
  <c r="C83" i="12"/>
  <c r="E84" i="12"/>
  <c r="E83" i="12"/>
  <c r="I84" i="12"/>
  <c r="C84" i="12"/>
  <c r="I83" i="12"/>
  <c r="N343" i="14"/>
  <c r="N346" i="14"/>
  <c r="L347" i="14"/>
  <c r="N348" i="14"/>
  <c r="L348" i="14"/>
  <c r="O347" i="14"/>
  <c r="L345" i="14"/>
  <c r="L342" i="14"/>
  <c r="O343" i="14"/>
  <c r="O344" i="14"/>
  <c r="O342" i="14"/>
  <c r="M344" i="14"/>
  <c r="N344" i="14"/>
  <c r="M343" i="14"/>
  <c r="M345" i="14"/>
  <c r="O341" i="14"/>
  <c r="O346" i="14"/>
  <c r="M342" i="14"/>
  <c r="L346" i="14"/>
  <c r="L341" i="14"/>
  <c r="M348" i="14"/>
  <c r="N342" i="14"/>
  <c r="O345" i="14"/>
  <c r="N345" i="14"/>
  <c r="M346" i="14"/>
  <c r="M347" i="14"/>
  <c r="L344" i="14"/>
  <c r="M341" i="14"/>
  <c r="L343" i="14"/>
  <c r="N347" i="14"/>
  <c r="N341" i="14"/>
  <c r="O348" i="14"/>
  <c r="F79" i="41"/>
  <c r="I78" i="41"/>
  <c r="D79" i="41"/>
  <c r="C78" i="41"/>
  <c r="G79" i="41"/>
  <c r="B79" i="41"/>
  <c r="D78" i="41"/>
  <c r="I79" i="41"/>
  <c r="H78" i="41"/>
  <c r="B78" i="41"/>
  <c r="E78" i="41"/>
  <c r="J79" i="41"/>
  <c r="J78" i="41"/>
  <c r="C79" i="41"/>
  <c r="G78" i="41"/>
  <c r="F78" i="41"/>
  <c r="E79" i="41"/>
  <c r="H79" i="41"/>
  <c r="G72" i="18" a="1"/>
  <c r="G60" i="18" a="1"/>
  <c r="H257" i="58" a="1"/>
  <c r="G63" i="18" l="1"/>
  <c r="G61" i="18"/>
  <c r="G64" i="18"/>
  <c r="H64" i="18"/>
  <c r="G60" i="18"/>
  <c r="H61" i="18"/>
  <c r="H63" i="18"/>
  <c r="G62" i="18"/>
  <c r="H65" i="18"/>
  <c r="G65" i="18"/>
  <c r="H60" i="18"/>
  <c r="H62" i="18"/>
  <c r="G79" i="18"/>
  <c r="G78" i="18"/>
  <c r="H79" i="18"/>
  <c r="H78" i="18"/>
  <c r="G80" i="18"/>
  <c r="H80" i="18"/>
  <c r="H76" i="18"/>
  <c r="H73" i="18"/>
  <c r="G72" i="18"/>
  <c r="G76" i="18"/>
  <c r="G74" i="18"/>
  <c r="H75" i="18"/>
  <c r="G73" i="18"/>
  <c r="G75" i="18"/>
  <c r="H74" i="18"/>
  <c r="H77" i="18"/>
  <c r="H72" i="18"/>
  <c r="G77" i="18"/>
  <c r="J259" i="58"/>
  <c r="J258" i="58"/>
  <c r="J262" i="58"/>
  <c r="H261" i="58"/>
  <c r="K259" i="58"/>
  <c r="I261" i="58"/>
  <c r="K262" i="58"/>
  <c r="I260" i="58"/>
  <c r="K258" i="58"/>
  <c r="H259" i="58"/>
  <c r="I257" i="58"/>
  <c r="K257" i="58"/>
  <c r="H260" i="58"/>
  <c r="I262" i="58"/>
  <c r="K261" i="58"/>
  <c r="J257" i="58"/>
  <c r="I258" i="58"/>
  <c r="H258" i="58"/>
  <c r="K260" i="58"/>
  <c r="J260" i="58"/>
  <c r="J261" i="58"/>
  <c r="I259" i="58"/>
  <c r="H262" i="58"/>
  <c r="H257" i="58"/>
  <c r="L180" i="15" a="1"/>
  <c r="R186" i="15" l="1"/>
  <c r="L183" i="15"/>
  <c r="Q187" i="15"/>
  <c r="R187" i="15"/>
  <c r="M186" i="15"/>
  <c r="N186" i="15"/>
  <c r="S187" i="15"/>
  <c r="T186" i="15"/>
  <c r="Q183" i="15"/>
  <c r="L182" i="15"/>
  <c r="L185" i="15"/>
  <c r="T184" i="15"/>
  <c r="T183" i="15"/>
  <c r="O187" i="15"/>
  <c r="R185" i="15"/>
  <c r="O183" i="15"/>
  <c r="S180" i="15"/>
  <c r="S184" i="15"/>
  <c r="L184" i="15"/>
  <c r="M180" i="15"/>
  <c r="P185" i="15"/>
  <c r="R184" i="15"/>
  <c r="Q186" i="15"/>
  <c r="L187" i="15"/>
  <c r="S183" i="15"/>
  <c r="S182" i="15"/>
  <c r="O188" i="15"/>
  <c r="P187" i="15"/>
  <c r="T180" i="15"/>
  <c r="Q180" i="15"/>
  <c r="N188" i="15"/>
  <c r="P182" i="15"/>
  <c r="M182" i="15"/>
  <c r="L181" i="15"/>
  <c r="N182" i="15"/>
  <c r="Q185" i="15"/>
  <c r="M183" i="15"/>
  <c r="O181" i="15"/>
  <c r="T188" i="15"/>
  <c r="T181" i="15"/>
  <c r="O185" i="15"/>
  <c r="N187" i="15"/>
  <c r="S186" i="15"/>
  <c r="M181" i="15"/>
  <c r="N180" i="15"/>
  <c r="R183" i="15"/>
  <c r="P180" i="15"/>
  <c r="M188" i="15"/>
  <c r="O186" i="15"/>
  <c r="M187" i="15"/>
  <c r="P183" i="15"/>
  <c r="R180" i="15"/>
  <c r="S181" i="15"/>
  <c r="R182" i="15"/>
  <c r="Q184" i="15"/>
  <c r="N183" i="15"/>
  <c r="M185" i="15"/>
  <c r="N181" i="15"/>
  <c r="T185" i="15"/>
  <c r="O184" i="15"/>
  <c r="R188" i="15"/>
  <c r="P186" i="15"/>
  <c r="S185" i="15"/>
  <c r="P181" i="15"/>
  <c r="Q182" i="15"/>
  <c r="L186" i="15"/>
  <c r="T187" i="15"/>
  <c r="R181" i="15"/>
  <c r="Q188" i="15"/>
  <c r="P184" i="15"/>
  <c r="S188" i="15"/>
  <c r="N185" i="15"/>
  <c r="O180" i="15"/>
  <c r="P188" i="15"/>
  <c r="O182" i="15"/>
  <c r="L188" i="15"/>
  <c r="N184" i="15"/>
  <c r="Q181" i="15"/>
  <c r="M184" i="15"/>
  <c r="T182" i="15"/>
  <c r="L180" i="15"/>
  <c r="D295" i="26" a="1"/>
  <c r="D295" i="26" l="1"/>
  <c r="F295" i="26"/>
  <c r="H295" i="26"/>
  <c r="D296" i="26"/>
  <c r="F296" i="26"/>
  <c r="E295" i="26"/>
  <c r="G296" i="26"/>
  <c r="G295" i="26"/>
  <c r="H296" i="26"/>
  <c r="E296"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2" authorId="0" shapeId="0" xr:uid="{19A4F9A1-C203-4672-AD95-15638807A07D}">
      <text>
        <r>
          <rPr>
            <b/>
            <sz val="9"/>
            <color indexed="81"/>
            <rFont val="Tahoma"/>
            <family val="2"/>
          </rPr>
          <t>The U methods with an X in the RTD column are RTD methods, and therefore for performance reasons should never be nested inside of multi-cell array formulas. Instead, place the RTD method in its own single cell and reference that cell from a multi-cell array formula when needed. (It's fine to nest RTDs in dynamic arrays.) Nesting RTD methods inside of Macro methods (methods with X in the macro column) can under some conditions lead to performance or stability issues -- if such issues are experienced, it is good to again place RTD methods in their own cells and reference them there.
The U methods with an X in the #init() column are those that are blocked for initial calculation cycles when #init() is included in the worksheet / workbook name. If they are within a script range defined by U.CREATE_SCRIPT they remain blocked until it is their turn to be calculated in a script (methods marked with an asterisk are only blocked when in a script range, but otherwise not when the workbook opens).
Most of the #init() methods contain a "block" parameter. When this parameter is set to TRUE, the method will block itself from calculation unless the user has explicitly triggered the calculation by clicking a button configured to calculate the range (either a menu button created with U.MENU, a clickable cell created with U.SET_CLICKVALS or the Yes button in a message box created with U.MESSAGE_BOX). Blocked methods are also allowed to proceed when calculated as a step in a script, when calculated during a one-time or recurring recalc created by U.RECALC, or when calculated by an EVENT that triggers.
If the "block" parameter is set to a number, then instead of blocking the method it will throttle the method so that it does not calculate more frequently than the specified number of seconds. When throttled in this way, a blocked recalculation of the method will be re-attempted once the throttle interval has elapsed. To prevent attempts to recalculate after a block resulting from a throttle, make the specified number of seconds negative.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S7" authorId="0" shapeId="0" xr:uid="{00000000-0006-0000-0900-000001000000}">
      <text>
        <r>
          <rPr>
            <b/>
            <sz val="9"/>
            <color indexed="81"/>
            <rFont val="Tahoma"/>
            <family val="2"/>
          </rPr>
          <t>U.VSORT sorts rows based on specified criteria. Here the data is sorted by Symbol in ascending order, then by Broker in ascending order, then by absolute value of the Quantity in descending order.
The original order of the rows is retained for rows that are equivalent given the sort params.
As with all U utility methods, a valid U topic could optionally be passed in as the first parameter ...instead of a reference to a range... and the method will retrieve and sort the content of that topic.</t>
        </r>
      </text>
    </comment>
    <comment ref="W8" authorId="0" shapeId="0" xr:uid="{00000000-0006-0000-0900-000002000000}">
      <text>
        <r>
          <rPr>
            <b/>
            <sz val="9"/>
            <color indexed="81"/>
            <rFont val="Tahoma"/>
            <family val="2"/>
          </rPr>
          <t>Basic sort params go into a 2-column matrix with the column on the left and the value on the right.
Sorting is performed based on the order in which sort params are provided. An arbitrary number of nested sorts is supported.
If a column contains both numbers and strings, numbers will always be sorted before strings unless an alphanumeric or length sort is specified. Sorting of strings is case-insensitive by default. Blank values and error cells are sorted to the bottom of result by default regardless of specified sort order.
Valid values for the 2nd column are as follows:
 1: Ascending
 2: Ascending by Absolute Value
 3: Ascending Alphanumeric
 4: Ascending Alphanumeric Case-Sensitive
 9: Ascending Length
-1: Descending
-2: Descending by Absolute Value
-3: Descending Alphanumeric
-4: Descending Alphanumeric Case-Sensitive
-9: Descending Length
 0: From List
A blank value in the 2nd column is interpreted as a 1 (Ascending order).</t>
        </r>
      </text>
    </comment>
    <comment ref="X36" authorId="0" shapeId="0" xr:uid="{00000000-0006-0000-0900-000003000000}">
      <text>
        <r>
          <rPr>
            <b/>
            <sz val="9"/>
            <color indexed="81"/>
            <rFont val="Tahoma"/>
            <family val="2"/>
          </rPr>
          <t>The order at any given level can be based on a list instead of an ascending/descending order. Here the second level sort is on the broker column in the order of Tom, then Bob then Sally.
If you want to do a list-based sort where one of the items actually has a comma in it, then use a backslash to escape the comma so it is not treated as a delimiter. For example, of a sort list has the two items "ACME, LLC" and "IBM" then the list should be provided as "ACME\, LLC,IBM".
As seen in this example, column numbers can be specified instead of column labels, as may be needed if the data does not have column labels. Or a mix of column labels and column numbers can be used. Negative column numbers can be specified, in which case the counting is from the right (the special string "last()" can be used and is the same as -1).
As further seen here, an optional 3rd column can be provided to modify how blank cells are handled. If set to TRUE on an ascending sort, then blanks will sort to the top of results instead of being pushed to the bottom. If set to TRUE on list-based sorts, then any whitespace around items in the list will be treated as valid. In this case, if the params where changed to set the 3rd column to TRUE for the Broker sort it would cause the whitespace in front of "bob" in the sort list to be treated as valid ...and that would not match any values in the Broker column ...so "Bob" (no leading space) would end up being placed behind Tom and Sally in the results (in each 2nd-level sort, after the Symbol sort).</t>
        </r>
      </text>
    </comment>
    <comment ref="W62" authorId="0" shapeId="0" xr:uid="{00000000-0006-0000-0900-000004000000}">
      <text>
        <r>
          <rPr>
            <b/>
            <sz val="9"/>
            <color indexed="81"/>
            <rFont val="Tahoma"/>
            <family val="2"/>
          </rPr>
          <t>In a list sort, an asterisk can be placed anywhere within the list to indicate anything that does not otherwise exist in the list. Rows whose column value does not match another item on the list will be grouped at the relative position specified by the asterisk and will retain their original positions relative to one another. In this example, any row whose Broker is equal to Tom will be placed at the end of the first sort. As seen here, blanks and errors are not automatically pushed to the bottom of list-based sorts.
This example also illustrates that a list can optionally reside in a range of cells instead of being specified as comma separated values. The range containing the list items can be oriented vertically or horizontally. A zero in the 2nd column of the sort params is what tells U.VSORT to look for a list in the optional 3rd parameter passed to the method.</t>
        </r>
      </text>
    </comment>
    <comment ref="W80" authorId="0" shapeId="0" xr:uid="{00000000-0006-0000-0900-000005000000}">
      <text>
        <r>
          <rPr>
            <b/>
            <sz val="9"/>
            <color indexed="81"/>
            <rFont val="Tahoma"/>
            <family val="2"/>
          </rPr>
          <t>U.VSORT has 3 optional params that can be used to pass in sort lists. They will be applied to columns based on the order in which sort params with zero in the 2nd column are listed. In this example, Broker will be sorted by the 1st list passed in (because it is listed first), Symbol will use the 2nd list passed in, etc.
As shown here, you are not limited to 3 lists. Any or all of the three optional parameters can take multiple lists, and they are still applied in the order provided. Here, Symbol is actually getting its list from the first optional parameter to U.VSORT, because that references two ranges so contains the 2nd list passed in.
This example also illustrates that wildcards can be used in sort params. If a column's value does not match a non-wildcarded list item, then it will be sorted based on the first wild-carded item it matches ...and if it doesn't match any, then it will be placed where the asterisk is ...and if no asterisk is provided, it will be at the bottom of the list with other non-matching rows that retain their order relative to one another.
This example also illustrates that either the numeric value of a sort type (0) or its name ("list") can be used to specify the sort type. See the bottom of this page for a table of all sort types and their corresponding names.</t>
        </r>
      </text>
    </comment>
    <comment ref="W103" authorId="0" shapeId="0" xr:uid="{5FFC2F04-F744-4B77-9322-75CD2A8C75DB}">
      <text>
        <r>
          <rPr>
            <b/>
            <sz val="9"/>
            <color indexed="81"/>
            <rFont val="Tahoma"/>
            <family val="2"/>
          </rPr>
          <t>It is possible to perform more than a single sort based on the same column. Doing so is typically only meaningful when the first sort is a list-based sort that contains wildcard characters, where the 2nd sort on the column is a subsort within each group from the list sort. In this case the first sort places the options at the bottom, and then within the option and non-option groups an ascending subsort is performed. No effort is made in this example to remove or sort to bottom the blank row or error row, so they occur where they normally would in the ascending sub-sort.</t>
        </r>
      </text>
    </comment>
    <comment ref="S121" authorId="0" shapeId="0" xr:uid="{00000000-0006-0000-0900-000006000000}">
      <text>
        <r>
          <rPr>
            <b/>
            <sz val="9"/>
            <color indexed="81"/>
            <rFont val="Tahoma"/>
            <family val="2"/>
          </rPr>
          <t>If no sort params are provided at all, then sorting is by the first column ascending. In this example, U.VSORT has no way of knowing that the first row contains labels...so the labels are sorted along with other rows.</t>
        </r>
      </text>
    </comment>
    <comment ref="V141" authorId="0" shapeId="0" xr:uid="{00000000-0006-0000-0900-000007000000}">
      <text>
        <r>
          <rPr>
            <b/>
            <sz val="9"/>
            <color indexed="81"/>
            <rFont val="Tahoma"/>
            <family val="2"/>
          </rPr>
          <t>If the only a single column is provided as sort params (or a single cell), then then each is assigned a sort value of 1 (ascending order). The lone exception is when one or more sort lists are also provided (see next example).</t>
        </r>
      </text>
    </comment>
    <comment ref="V160" authorId="0" shapeId="0" xr:uid="{00000000-0006-0000-0900-000008000000}">
      <text>
        <r>
          <rPr>
            <b/>
            <sz val="9"/>
            <color indexed="81"/>
            <rFont val="Tahoma"/>
            <family val="2"/>
          </rPr>
          <t>If only a single column or a single value is provided as sort params AND one or more lists are provided, then the first N columns in the sort params …where N is the number of lists provided in subsequent params to U.VSORT… will be treated as list sort columns and each will use the list in the corresponding position. If there are more sort params than lists, then remaining sort params are given a value of 1 (ascending order).
In this example, sorting on the Broker column uses the provided list. Because only a single list is provided, the 2nd-level sort by Symbol is done in ascending order.
This example also shows that Excel errors will be treated as valid entries in a list and sorted accordingly.</t>
        </r>
      </text>
    </comment>
    <comment ref="S178" authorId="0" shapeId="0" xr:uid="{00000000-0006-0000-0900-000009000000}">
      <text>
        <r>
          <rPr>
            <b/>
            <sz val="9"/>
            <color indexed="81"/>
            <rFont val="Tahoma"/>
            <family val="2"/>
          </rPr>
          <t>If -1 is passed as the sort param then the rows provided will be reversed. If there is a label row that should not be sent to the bottom when reversed, then include a 2nd column in the sort params row and set the value to TRUE (as hard-coded in this example, though could alternatively reference a 1-row, 2-column range instead of hard-coding).
By default any bottom-most rows containing only blanks and errors remain on the bottom in their original order after the reversal. To include such rows when reversing ...so that they end up on top of results... include a 3rd column in sort params set to TRUE.
If the first row of the data contains any cells whose value is "-1" and you want -1 in the sort params to be interpreted as a column label, then you must escape the -1 in the sort params (i.e., pass "\-1" instead of just "-1").</t>
        </r>
      </text>
    </comment>
    <comment ref="V198" authorId="0" shapeId="0" xr:uid="{00000000-0006-0000-0900-00000A000000}">
      <text>
        <r>
          <rPr>
            <b/>
            <sz val="9"/>
            <color indexed="81"/>
            <rFont val="Tahoma"/>
            <family val="2"/>
          </rPr>
          <t>If the very first row in the sort params contains the special method "after(…)" with an integer enclosed, the specified number of rows from the top of the report (including labels) will not be sorted. In this example, the first 8 rows of the report (7 rows of data under the labels) will not be sorted at all, and the subsequent sort params will only be applied starting from the 9th row.
If a negative number is provided, the counting is done from the bottom of the report and only rows after that will be sorted.
Use of the after method is typically only meaningful when data has labels that are more than a single vector deep and the user only wishes to sort rows under all of the labels.
The special functions skip(n) and take(n) are applied to the final result before it is returned. The skip function will remove the specified number of rows from the top (or bottom if the n is negative) and the take will return the specified number of rows from the top (or bottom if n is negative). If both are present, the skip is always applied before the take. Any value in the 2nd column is ignored for skip and take. Skip and take can occur at any position within the list of sort params. A 2nd parameter of true (e.g. skip(n,true)) can be included, in which case the skip/take is applied to the orthogonal vector (to columns for VFILTER and to rows for HFILTER). Variants of skip/take with and without the additional parameter can be provided in a single call.</t>
        </r>
      </text>
    </comment>
    <comment ref="M221" authorId="0" shapeId="0" xr:uid="{00000000-0006-0000-0900-00000B000000}">
      <text>
        <r>
          <rPr>
            <b/>
            <sz val="9"/>
            <color indexed="81"/>
            <rFont val="Tahoma"/>
            <family val="2"/>
          </rPr>
          <t>If the sort time is alphanumeric with case, then the casing of the letters will be considered in the sort order with lower-case letters sorted before upper-case letters in an ascending sort.</t>
        </r>
      </text>
    </comment>
    <comment ref="M231" authorId="0" shapeId="0" xr:uid="{00000000-0006-0000-0900-00000C000000}">
      <text>
        <r>
          <rPr>
            <b/>
            <sz val="9"/>
            <color indexed="81"/>
            <rFont val="Tahoma"/>
            <family val="2"/>
          </rPr>
          <t>To have letter casing considered with a list-based sort, place the column indicator in a match_case() function as seen in the parameters to the right.</t>
        </r>
      </text>
    </comment>
    <comment ref="S245" authorId="0" shapeId="0" xr:uid="{00000000-0006-0000-0900-00000D000000}">
      <text>
        <r>
          <rPr>
            <b/>
            <sz val="9"/>
            <color indexed="81"/>
            <rFont val="Tahoma"/>
            <family val="2"/>
          </rPr>
          <t>U.HSORT functions just like U.VSORT but sorts columns by row values instead of rows by column values.
Here the columns are re-ordered by passing a sort param of row 1 (hard-coded in equation) and a list indicating the desired column order. The list of columns could optionally have been laid out horizontally, which is useful when lining data up with existing horizontal labels. Note that the 2 columns not provided in the list are put to the far right and retain their original position relative to one another.</t>
        </r>
      </text>
    </comment>
    <comment ref="D264" authorId="0" shapeId="0" xr:uid="{00000000-0006-0000-0900-00000E000000}">
      <text>
        <r>
          <rPr>
            <b/>
            <sz val="9"/>
            <color indexed="81"/>
            <rFont val="Tahoma"/>
            <family val="2"/>
          </rPr>
          <t>If only the 2nd parameter of U.VSORT or U.HSORT is set to the string "types" then a report is returned of available sort types. The name of a sort type can optionally be used when specifying sort params method instead of the numeric value of the sort type.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7" authorId="0" shapeId="0" xr:uid="{00000000-0006-0000-0A00-000001000000}">
      <text>
        <r>
          <rPr>
            <b/>
            <sz val="9"/>
            <color indexed="81"/>
            <rFont val="Tahoma"/>
            <family val="2"/>
          </rPr>
          <t>Pass any range of data into U.VUNIQUE, and it will eliminate duplicate rows (i.e., rows were all values are the same). By default, the returned values will be sorted alphanumerically by the first column.
If a single column vector is provided and all values are numeric, then sorting will be numerical instead of alphabetical.
Any Excel call can be nested inside of U.VUNIQUE, including Runline methods like U.GET.
As with other Runline utility methods, U.VUNIQUE will recognize if a value passed to it is an U topic and if so will apply the logic to the cached U report.</t>
        </r>
      </text>
    </comment>
    <comment ref="F17" authorId="0" shapeId="0" xr:uid="{00000000-0006-0000-0A00-000002000000}">
      <text>
        <r>
          <rPr>
            <b/>
            <sz val="9"/>
            <color indexed="81"/>
            <rFont val="Tahoma"/>
            <family val="2"/>
          </rPr>
          <t>By setting the optional second parameter to TRUE values will be returned sorted by the order of first appearance instead of alphanumerically.
By default, rows containing only blanks and/or errors are still pushed to the bottom of the result. To retain the order of rows containing only blanks and/or errors, pass a 2nd column set to TRUE in the 2nd parameter.</t>
        </r>
      </text>
    </comment>
    <comment ref="F27" authorId="0" shapeId="0" xr:uid="{00000000-0006-0000-0A00-000003000000}">
      <text>
        <r>
          <rPr>
            <b/>
            <sz val="9"/>
            <color indexed="81"/>
            <rFont val="Tahoma"/>
            <family val="2"/>
          </rPr>
          <t>Setting the optional second parameter to -1 will sort the returned data in descending order starting from the left.</t>
        </r>
      </text>
    </comment>
    <comment ref="F37" authorId="0" shapeId="0" xr:uid="{00000000-0006-0000-0A00-000004000000}">
      <text>
        <r>
          <rPr>
            <b/>
            <sz val="9"/>
            <color indexed="81"/>
            <rFont val="Tahoma"/>
            <family val="2"/>
          </rPr>
          <t>Because U.VUNIQUE will shorten the data by removing duplicate rows, you may see Excel natively fill excess rows in the calling range with #N/A errors. This can be prevented by nesting the U.VUNIQUE call inside of an U.PAD call.</t>
        </r>
      </text>
    </comment>
    <comment ref="F47" authorId="0" shapeId="0" xr:uid="{00000000-0006-0000-0A00-000005000000}">
      <text>
        <r>
          <rPr>
            <b/>
            <sz val="9"/>
            <color indexed="81"/>
            <rFont val="Tahoma"/>
            <family val="2"/>
          </rPr>
          <t>Multiple ranges can be passed into the first U.VUNIQUE parameter by separating them with a comma and surrounding them with parentheses. The ranges will be stacked atop one another, then the uniqueness logic will be applied to the full set of rows.
If the stacked ranges are different widths, narrow ranges will be expanded to the width of the widest range with all cells in any columns added being given a value of an empty string.</t>
        </r>
      </text>
    </comment>
    <comment ref="G60" authorId="0" shapeId="0" xr:uid="{00000000-0006-0000-0A00-000006000000}">
      <text>
        <r>
          <rPr>
            <b/>
            <sz val="9"/>
            <color indexed="81"/>
            <rFont val="Tahoma"/>
            <family val="2"/>
          </rPr>
          <t>By default casing is ignored when determining whether values match. See to the left how "tom" and "Tom" are not considered different. By setting the optional 3rd parameter to TRUE as done here, values with different casing will be treated as different.</t>
        </r>
      </text>
    </comment>
    <comment ref="G66" authorId="0" shapeId="0" xr:uid="{00000000-0006-0000-0A00-000007000000}">
      <text>
        <r>
          <rPr>
            <b/>
            <sz val="9"/>
            <color indexed="81"/>
            <rFont val="Tahoma"/>
            <family val="2"/>
          </rPr>
          <t>By default the string and numeric versions of a number are treated as equal. See to the left how the number 2 and the string "2" are treated as a single unique value. By setting the optional 4th parameter to TRUE as done here, numbers whose type is different will be treated as different.</t>
        </r>
      </text>
    </comment>
    <comment ref="I83" authorId="0" shapeId="0" xr:uid="{00000000-0006-0000-0A00-000008000000}">
      <text>
        <r>
          <rPr>
            <b/>
            <sz val="9"/>
            <color indexed="81"/>
            <rFont val="Tahoma"/>
            <family val="2"/>
          </rPr>
          <t>U.HUNIQUE functions exactly like U.VUNIQUE, but operates on columns instead of rows.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K6" authorId="0" shapeId="0" xr:uid="{00000000-0006-0000-0B00-000001000000}">
      <text>
        <r>
          <rPr>
            <b/>
            <sz val="9"/>
            <color indexed="81"/>
            <rFont val="Tahoma"/>
            <family val="2"/>
          </rPr>
          <t>U.REPLACE replaces cells in a range with specified replacement values. The inputs can be provided in two ways: a "short" form is used when there is a single "to" value specified; and a "full" form is used when there are many different possible "to" values depending on the "from" value and its location in the data.
As seen in this first short-from example, it is easy to replace cells that contain one of many "from" values with a specified "to" value. Here any cells in the range containing "chemist" or "Physicist" are replaced with "scientist." Note that the replacement is not case-sensitive by default.
Use of U.REPLACE can create significant efficiencies by preventing the need to display all report rows in Excel. For example, replacing values based on a range could be nested in an U.VAGGREGATE to perform a bucketed aggregation before the report, where only the aggregated rows are then displayed.</t>
        </r>
      </text>
    </comment>
    <comment ref="K16" authorId="0" shapeId="0" xr:uid="{00000000-0006-0000-0B00-000002000000}">
      <text>
        <r>
          <rPr>
            <b/>
            <sz val="9"/>
            <color indexed="81"/>
            <rFont val="Tahoma"/>
            <family val="2"/>
          </rPr>
          <t>As seen here, the match can be made case-sensitive by placing a "from" value in a match_case() function. Now "physicist" in the data is not replaced because its casing does not match "Physicist"; chemist is still a case-insensitive match.</t>
        </r>
      </text>
    </comment>
    <comment ref="K25" authorId="0" shapeId="0" xr:uid="{00000000-0006-0000-0B00-000003000000}">
      <text>
        <r>
          <rPr>
            <b/>
            <sz val="9"/>
            <color indexed="81"/>
            <rFont val="Tahoma"/>
            <family val="2"/>
          </rPr>
          <t>If the "from" parameter is 2-columns wide in short form, then each "from" row represents a range and values between them (inclusive) are replaced. Here Age values within the specified range (20-35) are replaced with "replaced."
A range can also be alphanumeric strings, in which case determining if a value is within the range is based on alphanumeric ordering. Here the two names within the range "aaron - binny" are also replaced. The match_case() function can be used to make alphanumeric ranges case-sensitive.
If only 1 side of a range contains a value, the range is open-ended on the other side.</t>
        </r>
      </text>
    </comment>
    <comment ref="K34" authorId="0" shapeId="0" xr:uid="{00000000-0006-0000-0B00-000004000000}">
      <text>
        <r>
          <rPr>
            <b/>
            <sz val="9"/>
            <color indexed="81"/>
            <rFont val="Tahoma"/>
            <family val="2"/>
          </rPr>
          <t>Note that in the previous example, the column label "Age" was also replaced because it fell within the specified alphanumeric range (from "aaron" to "binny"). Here a "first row "setting of 2 is specified in the optional 5th parameter so that replacements do not occur in the 1st row.
Any subrange can be specified by setting the 5th - 8th parameters: first row, first col, last row, and last col. These can be provided as either row/column numbers or row/column labels. For example, to have the replacements occur in only the "Name" column set both the first column (6th param) and last column (8th param) to "Name". If a negative number is provided, the row/column location is counted from the bottom/right of the report.</t>
        </r>
      </text>
    </comment>
    <comment ref="K43" authorId="0" shapeId="0" xr:uid="{00000000-0006-0000-0B00-000005000000}">
      <text>
        <r>
          <rPr>
            <b/>
            <sz val="9"/>
            <color indexed="81"/>
            <rFont val="Tahoma"/>
            <family val="2"/>
          </rPr>
          <t>By default, U.REPLACE will only replace values if the type is the same. As seen here, the string value "37" and the string "#N/A" do not replace the numeric 37 and Excel #N/A error in the data range.</t>
        </r>
      </text>
    </comment>
    <comment ref="K52" authorId="0" shapeId="0" xr:uid="{00000000-0006-0000-0B00-000006000000}">
      <text>
        <r>
          <rPr>
            <b/>
            <sz val="9"/>
            <color indexed="81"/>
            <rFont val="Tahoma"/>
            <family val="2"/>
          </rPr>
          <t>If the optional 4th parameter is set to TRUE, then replacements will be made for matching cells even if the type does not match. Now the numeric 37 is matched to the string "37" and is replaced; the same is true for the Excel #N/A error.</t>
        </r>
      </text>
    </comment>
    <comment ref="K61" authorId="0" shapeId="0" xr:uid="{00000000-0006-0000-0B00-000007000000}">
      <text>
        <r>
          <rPr>
            <b/>
            <sz val="9"/>
            <color indexed="81"/>
            <rFont val="Tahoma"/>
            <family val="2"/>
          </rPr>
          <t>Wildcards can be used in "from" values, where an asterisk (*) matches any number of characters and a question mark (?) matches exactly 1 character. In this example, the female names are replaced with "Ms." See how by default the entire content of the cell is replaced with the "to" value. The type of a blank cell is ambiguous, so to have an asterisk match even blank cells set the 4th parameter to TRUE.
To use a regular expression to match instead of simple wildcards, prefix the "from" value with [regex] (e.g.: [regex]sally*). Case-sensitive regex matches are supported -- a "from of "[regex]match_case(sally*)" would not match Sally Smith due to the different casing of "sally".
An asterisk will not, by default, cause values to be placed in empty cells (i.e. it won't "replace" an empty value). To have it also apply to empty cells, set the 4th parameter ("ignore types") to TRUE.</t>
        </r>
      </text>
    </comment>
    <comment ref="K70" authorId="0" shapeId="0" xr:uid="{00000000-0006-0000-0B00-000008000000}">
      <text>
        <r>
          <rPr>
            <b/>
            <sz val="9"/>
            <color indexed="81"/>
            <rFont val="Tahoma"/>
            <family val="2"/>
          </rPr>
          <t>When only a portion of a string should be replaced instead of the entire string, the "to" value can be placed in a "sub()" function (using substitute() also works). In this case, the portion of the cell's value that matches the "from" value is replaced with the parameter of the sub() function ...which is "Ms." in this example.
See how the "Sally" in "Sally Smith" is replaced with "Ms." to get "Ms. Smith". However, an asterisk is still included after anna ("anna*"), so the matching portion of the cell is the entire name "Anna Lukin" ...so that entire value is replaced with "Ms.".
It's non-sensical, but just to further illustrate how the matching portion is replaced another wildcard replacement of ?bra? is included -- see that this has the effect of replacing the " Brag" in "Billy Bragg" with "Ms.".
In the short-form usage of U.REPLACE, only the first possible replacement is made. So if the 3rd item on the from list were "Smith" instead of "?bra?", it would not cause the "Ms. Smith" to be converted to "Ms. Ms." (i.e. the "Smith" would not be replaced) because the cell containing "Sally Smith" had already been changed to "Ms. Smith". The full form of U.REPLACE makes it possible to apply multiple different replacements against the same cell.
The sub() function supports a 2nd "number of substitutions" param that, if set, caps the number of times the substitution is applied in a cell. For example, if in this example the "to" value were sub(Ms.,2) and some cell had "sally" repeated 3 times, only the first 2 would be replaced. By default every occurrence in a cell is substituted.</t>
        </r>
      </text>
    </comment>
    <comment ref="K86" authorId="0" shapeId="0" xr:uid="{00000000-0006-0000-0B00-000009000000}">
      <text>
        <r>
          <rPr>
            <b/>
            <sz val="9"/>
            <color indexed="81"/>
            <rFont val="Tahoma"/>
            <family val="2"/>
          </rPr>
          <t>In some cases there may be a need to insert all, or a portion, of the cell's value into some other string. As seen here, the insert() method can be used to do this. The parameter of the insert function is the string into which values will be inserted, just like with the U.FORMAT_STRING method. If the "from" value has wildcards, then only the matching portion of the cell's value is inserted; otherwise if the entire cell matches, the entire cell's value is inserted.
In this example, the "from" value is a blank space followed by an asterisk (" *"). This pattern only matches values in the Name column, and the matching portion is the blank space and last name ...so that is what is inserted into the string format. Although not done here, in practice it would be wise to restrict this replacement to just the Name column in case other cells in the data range (beside names) have spaces.</t>
        </r>
      </text>
    </comment>
    <comment ref="K97" authorId="0" shapeId="0" xr:uid="{00000000-0006-0000-0B00-00000A000000}">
      <text>
        <r>
          <rPr>
            <b/>
            <sz val="9"/>
            <color indexed="81"/>
            <rFont val="Tahoma"/>
            <family val="2"/>
          </rPr>
          <t>In cases where more control over insertions is required, true regular expressions can be used instead of wildcards. To indicate that a "from" value is a regular expression, prefix it with "[regex]" as seen here. When regular expressions are used, capture groups can be specified with parentheses to extract the desired portion(s) of the cell value. This works just as in the U.REGEX() method, with support for advanced functionality like named insertions (see doc on U.REGEX for details). The regex match could optionally be made case-sensitive by putting the portion after the [regex] prefix in a match_case(&lt;regex&gt;) function.
In this example, a regular expression is used to extract and capture the first and last names from a cell's value, and those are changed to a "last, first" format. The "proper()" method is also applied in order to cleanup the casing in the names (this is optional; the proper() method and support for multiple "to" methods are described in the following examples).
As a best practice, in this case the replace is restricted to the Name column (by setting it as both the first and last column) and also it starts at the 2nd row (not really necessary here since the label "Name" does not have a space in it, so would not match the regex).</t>
        </r>
      </text>
    </comment>
    <comment ref="K110" authorId="0" shapeId="0" xr:uid="{00000000-0006-0000-0B00-00000B000000}">
      <text>
        <r>
          <rPr>
            <b/>
            <sz val="9"/>
            <color indexed="81"/>
            <rFont val="Tahoma"/>
            <family val="2"/>
          </rPr>
          <t>There are many other "to" functions available besides sub() and insert(). These functions perform different modifications of the cell's value. Some functions take parameters to indicate how the value should be modified (as sub() does, which take as a parameter the value that should be substituted in).
In this example, the proper() method is used. This converts casing to "proper" case, where only the first letter of each word is capitalized. See how the casing of "bob jones" and "tom HOPPER" have been adjusted accordingly, and also all of the occupations.
Also see that the "from" value here has the special value of a double asterisk (**). This will match any/all string values in the data range. A single asterisk will match all values regardless of type (not just strings), which is not desirable here because the proper() function would result in all the numeric values (and the error) being converted to strings. The special from values of number(*), bool(*) and error(*) will match only values that are of type number, bool and Excel error, respectively (if those are used and ignore types is explicitly set to TRUE, they will also match strings that can be parsed into those types). The value "string(*)" could optionally be used instead of "**".</t>
        </r>
      </text>
    </comment>
    <comment ref="K122" authorId="0" shapeId="0" xr:uid="{00000000-0006-0000-0B00-00000C000000}">
      <text>
        <r>
          <rPr>
            <b/>
            <sz val="9"/>
            <color indexed="81"/>
            <rFont val="Tahoma"/>
            <family val="2"/>
          </rPr>
          <t>The "to" value can contain multiple functions, separated by a comma, and they will all be applied in the order provided.
In this case the scale() function is specified with a parameter of 2, and also an add() function is specified with a parameter of .1. As a result, matching values are doubled (scaled by 2) and then increased by 0.1 after being doubled. See the table below for a full list of currently available "to" functions.
Here the "from" value is an asterisk (*) which matches all inputs. This is alright in this case, since numeric calculations are only applied to numbers ...so the string values in the Name and Occupation columns are not impacted.</t>
        </r>
      </text>
    </comment>
    <comment ref="K132" authorId="0" shapeId="0" xr:uid="{00000000-0006-0000-0B00-00000D000000}">
      <text>
        <r>
          <rPr>
            <b/>
            <sz val="9"/>
            <color indexed="81"/>
            <rFont val="Tahoma"/>
            <family val="2"/>
          </rPr>
          <t>Multiple "from" values can optionally be provided as comma-delimited values instead of as a range of cells. Here only the values 22, 30 and "teacher" are replaced.
When values are provided as a comma-delimited list and no "ignore types" setting is explicitly provided, then types will be ignored by default only if the values in the list cannot all be parsed into the same type. In this case, not all values in the list can be parsed to numbers, boolean values, errors or dates ...so types are ignored when doing the replace (so if the 30 had been the string "30" in the data, it would still be replaced.)
If an item in the list should, itself, contain a comma just escape that comma with a backslash (e.g.: ABC\, Inc.,DEF\, Inc.,XYZ\, Inc. ...where in the comma in the name of each is escaped).</t>
        </r>
      </text>
    </comment>
    <comment ref="C142" authorId="0" shapeId="0" xr:uid="{00000000-0006-0000-0B00-00000E000000}">
      <text>
        <r>
          <rPr>
            <b/>
            <sz val="9"/>
            <color indexed="81"/>
            <rFont val="Tahoma"/>
            <family val="2"/>
          </rPr>
          <t>This table lists the functions currently supported in the "to" parameter. Additional functions will be added over time.</t>
        </r>
      </text>
    </comment>
    <comment ref="C168" authorId="0" shapeId="0" xr:uid="{00000000-0006-0000-0B00-00000F000000}">
      <text>
        <r>
          <rPr>
            <b/>
            <sz val="9"/>
            <color indexed="81"/>
            <rFont val="Tahoma"/>
            <family val="2"/>
          </rPr>
          <t>See examples for U.CONVERT_DATETIME for description of iso_8601() function. The parameters when used in U.REPLACE are the same, except that in U.REPLACE an optional "From" timezone can be included in the iso_8601() function. If a From timezone is provided, then a "To" timezone must also be provided (even if just a blank string) and the From must be placed after the To.
When using invoke(...) or &lt;compiled_func&gt;(...) the value to be replaced is the first parameter passed to the function (except in the case of invoke(...) where the first parameter is an invoke configuration, in which case the value to be replaced is the 2nd parameter passed to the function). In either case, if the value to be replaced should be in some other location then set the parameter value to the string "&lt;&lt;replace&gt;&gt;" at the location where the value to be replaced should be set when passed to the function.</t>
        </r>
      </text>
    </comment>
    <comment ref="K179" authorId="0" shapeId="0" xr:uid="{00000000-0006-0000-0B00-000010000000}">
      <text>
        <r>
          <rPr>
            <b/>
            <sz val="9"/>
            <color indexed="81"/>
            <rFont val="Tahoma"/>
            <family val="2"/>
          </rPr>
          <t>The parameters to U.REPLACE are interpreted as being in "full form" if the 3rd parameter is either not provided or is a single cell. When full form is used, any number of from/to combinations can be applied to a range of data. The 2nd parameter takes "match" settings -- when a cell value in the data range matches the "from" value in a match setting row, it is replaced with the corresponding "to" value. Match settings must be at least 2 columns wide. All of the functionality available in the short form ...including specifying "to" functions,  and having case-sensitive or regex matches... can be specified independently for each match settings line in the full form.
In this example, 3 distinct replacements are specified. See that all 3 are applied.</t>
        </r>
      </text>
    </comment>
    <comment ref="K188" authorId="0" shapeId="0" xr:uid="{00000000-0006-0000-0B00-000011000000}">
      <text>
        <r>
          <rPr>
            <b/>
            <sz val="9"/>
            <color indexed="81"/>
            <rFont val="Tahoma"/>
            <family val="2"/>
          </rPr>
          <t>The match parameters can be up to 5 columns wide, with column values being as follows:
    From, To, Columns, Rows, Ignore Types
Using the 3rd and 4th values, the columns and/or rows to which a replacement should be applied can be specified independently for each match line. In this example, the 1st match is now only applied to the first 4 rows ...so "Billy Bragg" in the 5th row is not changed. Also the 2nd match is now only applied to the "Weight" column, so the Age of 22 is not divided by 2.
Columns and rows can be specified as ranges and or a comma-delimited list, with both numbers and labels supported. For example, a Columns setting of "Name-Occupation,4" would capture this entire data report ...since the range "Name-Occupation" would be the 1st 3 columns and "4" would be the 4th. The order of a range doesn't matter -- if the range were Occupation-Name it would still capture those 3 columns.
The ignore types setting is not used in this example, but could also be set as desired for each match setting.</t>
        </r>
      </text>
    </comment>
    <comment ref="K205" authorId="0" shapeId="0" xr:uid="{00000000-0006-0000-0B00-000012000000}">
      <text>
        <r>
          <rPr>
            <b/>
            <sz val="9"/>
            <color indexed="81"/>
            <rFont val="Tahoma"/>
            <family val="2"/>
          </rPr>
          <t>In full form, lists of "from" values can be provided in distinct ranges instead of as a comma-delimited list. This example is the same as the first "full form" example above, except that the list of values used for the 2nd match (the 22 and 114) are provided in a range of cells instead of as comma-delimited values. To indicate that a provided list should be used, the "from" value is set to just a comma; setting it to "list()" would also indicate that a specified list should be used.
If no list is provided, then a comma (or "list()") would not be a list indicator -- it would just match a comma (or "list()") in the data range like any other "from" value. If a list is provided, but the desire is to have a comma that is a "from" value but not a list indicator then escape the comma with a backslash (\,).
In full form, both the 5th and 6th parameters can be used to provide lists. Each parameter could be used to provide multiple lists by using Excel's multi-range syntax (separate list ranges with commas, and enclose the entire parameter in parentheses). Specified lists are applied to match rows in corresponding order: the 1st list provided will go with the first match row that indicates a list should be used, etc.</t>
        </r>
      </text>
    </comment>
    <comment ref="K219" authorId="0" shapeId="0" xr:uid="{00000000-0006-0000-0B00-000013000000}">
      <text>
        <r>
          <rPr>
            <b/>
            <sz val="9"/>
            <color indexed="81"/>
            <rFont val="Tahoma"/>
            <family val="2"/>
          </rPr>
          <t>The full form also supports passing value ranges in the 3rd parameter. The value range settings function just like the match settings, except that they must be at least 3 columns wide. The 1st two columns are the low and high values of the range (inclusive), and the 3rd column is the "to" value for report cells that are within that range. If only a low or high value is provided, the range is unbounded on the other side.
Both exact match parameters (2nd param) and range match parameters (3rd param) can be provided. When seeking to replace a given cell in the report, the match parameters are checked first in order; if no match is found, the range parameters are checked. By default only the first match or range replacement found that alters a given report cell is applied.
Cache keys passed as the 2nd or 3rd parameters will only be recognized as cache keys if the other parameter is not set at all. If mapping tables are cached for both parameters, nest an U.GET(&lt;cache key&gt;) in each parameter to pass in the table values.</t>
        </r>
      </text>
    </comment>
    <comment ref="K237" authorId="0" shapeId="0" xr:uid="{00000000-0006-0000-0B00-000014000000}">
      <text>
        <r>
          <rPr>
            <b/>
            <sz val="9"/>
            <color indexed="81"/>
            <rFont val="Tahoma"/>
            <family val="2"/>
          </rPr>
          <t>By default, only the first applicable replacement is applied to any given cell in the data …with any match settings being checked before any range settings. By setting the optional 4th parameter to TRUE in full form, a given report cell will have all applicable replacements applied. The replacements are applied in the order provided, with match settings being applied before range settings.
In this example, see how "Sally Smith" is changed to "Shelly Brooks" in 2 different replacements: one for the first name, and one for the last name. The last 3 match settings illustrate that it is the adjusted value that is fed into the next match, making the changes cumulative: the 22 is changed to "newVal" ...which is then changed to "new Again" ...which is finally changed to "was 22".</t>
        </r>
      </text>
    </comment>
    <comment ref="K248" authorId="0" shapeId="0" xr:uid="{00000000-0006-0000-0B00-000015000000}">
      <text>
        <r>
          <rPr>
            <b/>
            <sz val="9"/>
            <color indexed="81"/>
            <rFont val="Tahoma"/>
            <family val="2"/>
          </rPr>
          <t>There may be times when replacements are specified for cells in a report, but some rows and/or columns should be excluded based on some other criteria such as the value of some *other* cell in that row or column. When using U.REPLACE in full form, global row and column filters can be specified in the optional 7th and 8th parameters, respectively. The values provided must be a list of numbers that indicate the row/column numbers to exclude from replacement. If the value TRUE is included anywhere in the list of numbers provided, then the meaning of the global filter is inverted: it becomes a list of rows/columns to *include* when performing replacements.
In this contrived example, see how initially the basic match settings have replacements that impact every row in the report (except for the labels). The names are all replaced because they contained spaces ...so were all replaced by the first match setting. The 2nd match settings row causes the error, occupations ending in "er" and numbers ending in .3 to be replaced with blanks.
Then below, a global row filter containing column 3 and 6 is provided. As a result, no cells in rows 3 and 6 of the report are replaced. The row (or column) numbers used in the global filter list could be hard-coded or calculated however the user likes -- in this case, U.VFILTER is used to find the row numbers of rows containing specific Age values, and rows with those Age values are therefore left untouched by U.REPLACE.</t>
        </r>
      </text>
    </comment>
    <comment ref="H249" authorId="0" shapeId="0" xr:uid="{00000000-0006-0000-0B00-000016000000}">
      <text>
        <r>
          <rPr>
            <b/>
            <sz val="9"/>
            <color indexed="81"/>
            <rFont val="Tahoma"/>
            <family val="2"/>
          </rPr>
          <t>Something replaced in every row</t>
        </r>
      </text>
    </comment>
    <comment ref="H258" authorId="0" shapeId="0" xr:uid="{00000000-0006-0000-0B00-000017000000}">
      <text>
        <r>
          <rPr>
            <b/>
            <sz val="9"/>
            <color indexed="81"/>
            <rFont val="Tahoma"/>
            <family val="2"/>
          </rPr>
          <t xml:space="preserve">3rd and 6th row replacements blocked by global filter
</t>
        </r>
      </text>
    </comment>
    <comment ref="K269" authorId="0" shapeId="0" xr:uid="{01F0EDD5-F2AD-414B-8E50-EB027A86C178}">
      <text>
        <r>
          <rPr>
            <b/>
            <sz val="9"/>
            <color indexed="81"/>
            <rFont val="Tahoma"/>
            <family val="2"/>
          </rPr>
          <t>Sometimes there is a need to replace one or more columns with another column. This can be done by setting the 2nd parameter to "columns()" (or just "cols()") and providing the replacement columns in the 3rd parameter. Column labels are used to match columns for the replacement. In this example the Age and Occupation columns are replaced in full.
Rows can similarly be replaced by setting the 2nd parameter to "rows()". When rows are replaced, the leftmost column is treated as a row label in determining the row(s) to be replaced.
When the new column is not the same size as the column being replaced, blank cells are added accordingly.</t>
        </r>
      </text>
    </comment>
    <comment ref="K287" authorId="0" shapeId="0" xr:uid="{3C4CB095-C706-4A21-ADBB-AB7926EDCE5E}">
      <text>
        <r>
          <rPr>
            <b/>
            <sz val="9"/>
            <color indexed="81"/>
            <rFont val="Tahoma"/>
            <family val="2"/>
          </rPr>
          <t xml:space="preserve">In cases where columns labels do not match, a column label mapping can be provided. When columns are being replaced, the mapping should be in the 8th parameter; when rows are being replaced they should be in the 7th parameter. Here the Occupation column is replaced by a column labeled "Job" and the Name column is replaced by a "Username" column.
Notice that by default the Age column is still replaced since it was able to be matched. If the desire is to only replace columns where a mapping is configured, then include a map entry whose "from" value is an asterisk (*) and whose "to" value is "ignore()".
</t>
        </r>
      </text>
    </comment>
    <comment ref="K295" authorId="0" shapeId="0" xr:uid="{CD0988FE-2DF6-4EF6-85DB-14634725EA64}">
      <text>
        <r>
          <rPr>
            <b/>
            <sz val="9"/>
            <color indexed="81"/>
            <rFont val="Tahoma"/>
            <family val="2"/>
          </rPr>
          <t>Mappings can optionally be embedded with the "columns()" or "rows()" indicator in the 2nd parameter with the following format: &lt;from1&gt;:&lt;to1&gt;|&lt;from2&gt;:to2&gt;|.... This example is nearly the same as the one immediately above, except the mappings are provided this way instead of in the 8th parameter. This example also adds the "*|ignore()" mapping, which causes the method to ignore the Age column since it is not explicitly mapped.
When any mapping info is provided in the 2nd parameter, anything in the 8th (or 7th) parameter is ignored.</t>
        </r>
      </text>
    </comment>
    <comment ref="K303" authorId="0" shapeId="0" xr:uid="{7A9A0BD0-C0BF-494B-9504-64106FA46543}">
      <text>
        <r>
          <rPr>
            <b/>
            <sz val="9"/>
            <color indexed="81"/>
            <rFont val="Tahoma"/>
            <family val="2"/>
          </rPr>
          <t>As with all U methods, column(/row) numbers could optionally be used in mappings instead of column(/row) labels. Here the mappings are 1:3 (replace column 1 if 1st parameter with column 3 of 3rd parameter) and 3:1 (replace column 3 of 1st parameter with column 1 of 3rd parameter). Using column labels is always better where possible, but use of column numbers may be necessary of the data does not contain labels and in some cases may be simpler.
Use of column/row numbers and labels can be mixed freely. As seen here, the Age column is still replaced based on its matching label even though the mappings provided are by column number.</t>
        </r>
      </text>
    </comment>
    <comment ref="L313" authorId="0" shapeId="0" xr:uid="{7760CEAA-9CE6-41B2-B940-5A7E40837303}">
      <text>
        <r>
          <rPr>
            <b/>
            <sz val="9"/>
            <color indexed="81"/>
            <rFont val="Tahoma"/>
            <family val="2"/>
          </rPr>
          <t>By default, any replacement columns that cannot be matched are ignored. In this example the mapping from "name" to "username" is removed, so the Username column cannot be matched and is simply ignored.</t>
        </r>
      </text>
    </comment>
    <comment ref="L321" authorId="0" shapeId="0" xr:uid="{7951A7F2-FD9F-4284-9F5E-49D3D72473D5}">
      <text>
        <r>
          <rPr>
            <b/>
            <sz val="9"/>
            <color indexed="81"/>
            <rFont val="Tahoma"/>
            <family val="2"/>
          </rPr>
          <t>To have unmatched replacements appended to the end of the result, include the special mapping from asterisk (*) to "append()". As seen here, now the unmatched Username column is appended to the end of the result.</t>
        </r>
      </text>
    </comment>
    <comment ref="L331" authorId="0" shapeId="0" xr:uid="{B6CC62A7-D761-4499-96BD-585B1B6A3638}">
      <text>
        <r>
          <rPr>
            <b/>
            <sz val="9"/>
            <color indexed="81"/>
            <rFont val="Tahoma"/>
            <family val="2"/>
          </rPr>
          <t>A column can be replaced with multiple columns by making the "to" column a comma-delimited list of column labels and/or column numbers. In this example the Occupation column is replaced with both the Job and Age columns.</t>
        </r>
      </text>
    </comment>
    <comment ref="L339" authorId="0" shapeId="0" xr:uid="{98EDB927-3D30-47CA-8A73-48EB5A4218EC}">
      <text>
        <r>
          <rPr>
            <b/>
            <sz val="9"/>
            <color indexed="81"/>
            <rFont val="Tahoma"/>
            <family val="2"/>
          </rPr>
          <t>In the example above, the replacement Age column was used in a mapping. By default, when a column is used in a mapping there will not be an attempt to match it with any other columns in the original data. See above how the original Age column remains unreplaced.
If there is a desire to have replacement columns matched even when they are included in a mapping, use the special mapping *|reuse() (i.e. from * to reuse()). As seen here, now the replacement Age column is reused to replace the original Age column even though it is also explicitly inserted by the mapping.</t>
        </r>
      </text>
    </comment>
    <comment ref="L350" authorId="0" shapeId="0" xr:uid="{FF5D3DA4-73D5-4318-B459-8A29C7E9D47D}">
      <text>
        <r>
          <rPr>
            <b/>
            <sz val="9"/>
            <color indexed="81"/>
            <rFont val="Tahoma"/>
            <family val="2"/>
          </rPr>
          <t>If a vector is provided as the mapping, then those columns/rows will be replaced in the order specified by the replacement columns/rows in the order they are provided. In this example row E is replaced with the 1st replacement row provided, row B with the 2nd, and row D with the 3rd.
Any additional replacement columns/rows would again be ignored by default, but they can be appended by included "append()" in the list.</t>
        </r>
      </text>
    </comment>
    <comment ref="L358" authorId="0" shapeId="0" xr:uid="{301F1493-B974-4E35-9901-42817EB3F6A6}">
      <text>
        <r>
          <rPr>
            <b/>
            <sz val="9"/>
            <color indexed="81"/>
            <rFont val="Tahoma"/>
            <family val="2"/>
          </rPr>
          <t>A vector of values can alternatively be provided as a list within the 2nd parameter, delimited either by commas or by pipe (|) characters. Here is the same result as above with the inputs provided that way, and just for variation note that this example uses a mix of row numbers and row labels.</t>
        </r>
      </text>
    </comment>
    <comment ref="K370" authorId="0" shapeId="0" xr:uid="{70B7C5A2-2697-4C29-B645-638030E0DF29}">
      <text>
        <r>
          <rPr>
            <b/>
            <sz val="9"/>
            <color indexed="81"/>
            <rFont val="Tahoma"/>
            <family val="2"/>
          </rPr>
          <t>U.REPLACE has a special form that enables replacing individual cells within the grid. This is done by setting the 2nd parameter to the special "grid()" function. A full report with values to be replaced is passed as the 1st parameter -- the row and column labels to be looked up will be taken from that. Values found in the 3rd parameter are inserted into the report where row and column labels match. Other U.REPLACE parameters are ignored when this form is used. This is functionally identical to the form of U.GRID_LOOKUP that provides cell-by-cell replacements (the "grid()" function here is converted to the "replace()" function in U.GRID_LOOKUP).
By default the depth of column and row labels as assumed to be 1 if no parameters are provided. The grid() function can take optional parameters as follows:
  grid([num_row_labels], [num_col_labels], [ignore_blanks], [ignore_errors])
If only a single number is provided, it will be treated as the number of row labels. If a single bool is provided, it will be cause both errors and blanks in the looked up values to be ignored. When ignoring blanks and errors, the value in the original report cell will be retained in cases where a lookup value is found but its value is a blank/error. Regardless of any parameter settings for the grid function, any cell in the 3rd parameter containing the special value "ignore()" (case-sensitive) will not overwrite the value in the original report; see the MSFT value for 3/5/2018 in this example. (In the unlikely event of wanting to have the string "ignore()" inserted, escape it with a backslash.) If the grid parameter function contains the word "fill" at any location ("grid(fill)"), then the value in the original report will only be updated if it contains a blank or an error. If zero is explicitly specified as the number of row and column labels, then the replacement is done based on cell location in the grid rather than based on any row/column lookups.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4" authorId="0" shapeId="0" xr:uid="{37017D36-43D8-4530-B09E-C773E4C29A11}">
      <text>
        <r>
          <rPr>
            <b/>
            <sz val="9"/>
            <color indexed="81"/>
            <rFont val="Tahoma"/>
            <family val="2"/>
          </rPr>
          <t>U.CONVERT is a method that over time will provide a number of domain-specific conversions. Input data is provided along with an indication of the type of value inputs should be converted to, and optionally the type of value they are converted from. By default the input value is returned unchanged if it cannot be converted, though an optional "fail value" can be specified and if so that will be returned for inputs that cannot be converted. If a particular conversion accepts parameters, those can be passed in any of the last 3 parameters of the method.
At present U.CONVERT supports converting numbers back to CUSIPs and converting between futures tenors and dates. More conversions will be added over time.</t>
        </r>
      </text>
    </comment>
    <comment ref="C13" authorId="0" shapeId="0" xr:uid="{00000000-0006-0000-1E00-000001000000}">
      <text>
        <r>
          <rPr>
            <b/>
            <sz val="9"/>
            <color indexed="81"/>
            <rFont val="Tahoma"/>
            <family val="2"/>
          </rPr>
          <t>When data is imported into Excel, Excel automatically attempts to parse string values in to numbers or dates. Sometimes this parsing results in incorrect values.
One common case is CUSIPs that look to Excel like a number in scientific notation and so are automatically converted to numbers.
The left column shows CUSIPs that might appear in fields of a CSV file, and the right column shows how they would be parsed by Excel. The values in red are problematic, as Excel thought these CUSIPs were numbers.</t>
        </r>
      </text>
    </comment>
    <comment ref="C23" authorId="0" shapeId="0" xr:uid="{00000000-0006-0000-1E00-000002000000}">
      <text>
        <r>
          <rPr>
            <b/>
            <sz val="9"/>
            <color indexed="81"/>
            <rFont val="Tahoma"/>
            <family val="2"/>
          </rPr>
          <t>U.CONVERT can be used to restore values to their original representation. Here the first parameter is set to "cusips" ...U.CONVERT identified fields that are numeric values in scientific notation, and it converted any such field that was able to be converted to a valid CUSIP.
The cusip conversion uses a heuristic algorithm to convert numbers back to CUSIP values, and it's possible that in extreme cases an incorrect CUSIP could be returned. This is because information is lost when Excel converts from a CUSIP to a number, and it's possible that a given number in Excel could come from multiple valid CUSIP values (and no way for the method to know which). This is not likely to be a problem in practice, but is a theoretical risk.
If the 5th parameter of U.CONVERT is set to TRUE, U.CONVERT converts the number to an 8-digit CUSIP. The 9th digit is technically optional, and some providers may omit it. However, the 9th digit is a "check digit" that is used to verify the validity of the CUSIP derived by the method. When converting numbers to 8-digit CUSIPS there is a much greater chance that an incorrect CUSIP could be returned since the method does not have a "check digit" it can use to verify the result.</t>
        </r>
      </text>
    </comment>
    <comment ref="D43" authorId="0" shapeId="0" xr:uid="{FA335A7E-5400-4AEC-821A-4A4C8D98CECF}">
      <text>
        <r>
          <rPr>
            <b/>
            <sz val="9"/>
            <color indexed="81"/>
            <rFont val="Tahoma"/>
            <family val="2"/>
          </rPr>
          <t>If the 2nd parameter to U.CONVERT is "tenor" (or "tenors") then the method will convert dates into a corresponding futures tenor. By default the year on the tenor is represented by a single digit.</t>
        </r>
      </text>
    </comment>
    <comment ref="D50" authorId="0" shapeId="0" xr:uid="{ECEE7FA5-0BF7-4AC0-916E-2D82EACAA2A9}">
      <text>
        <r>
          <rPr>
            <b/>
            <sz val="9"/>
            <color indexed="81"/>
            <rFont val="Tahoma"/>
            <family val="2"/>
          </rPr>
          <t>To have years represented as 2 digits, provide the value 2 in the optional 5th parameter.
If an input is a tenor with a single year digit, it will be converted to a tenor whose 2 year digits represent a date greater than or equal to the current system date.
If the 5th parameter is set to 0, only the month code is returned.</t>
        </r>
      </text>
    </comment>
    <comment ref="D57" authorId="0" shapeId="0" xr:uid="{2973AC7D-34F0-46C1-91C1-1581C38E330A}">
      <text>
        <r>
          <rPr>
            <b/>
            <sz val="9"/>
            <color indexed="81"/>
            <rFont val="Tahoma"/>
            <family val="2"/>
          </rPr>
          <t>An optional 6th "roll days" parameter can be provided, which can impact how tenors with a single year digit are converted into tenors with 2 year digits. A tenor for a date in the past will be returned …instead of a future tenor… if it is within the specified number of roll days of the current system date. Here the roll days are set to 75, so if the current system date were within 75 days of March 1, 2021 then H1 will return H21 (instead of the future H31). Once the current system date is more than 75 days beyond March 1, 2021 then H1 will be converted to H31.</t>
        </r>
      </text>
    </comment>
    <comment ref="D66" authorId="0" shapeId="0" xr:uid="{214B707D-1DAC-4160-8D0C-C6C9EB091925}">
      <text>
        <r>
          <rPr>
            <b/>
            <sz val="9"/>
            <color indexed="81"/>
            <rFont val="Tahoma"/>
            <family val="2"/>
          </rPr>
          <t>If the 2nd parameter to U.CONVERT is "date" (or "dates") and the 3rd "from" parameter is set to "tenors" then the method will convert futures tenors into corresponding dates. Tenors are always converted to the 1st of the month, and for tenors with only a single year digit the date returned is by default greater than or equal to the current system date.</t>
        </r>
      </text>
    </comment>
    <comment ref="D72" authorId="0" shapeId="0" xr:uid="{DEEB1A99-1CCE-4144-91CF-D5B2FA8C6960}">
      <text>
        <r>
          <rPr>
            <b/>
            <sz val="9"/>
            <color indexed="81"/>
            <rFont val="Tahoma"/>
            <family val="2"/>
          </rPr>
          <t>A number of roll days can be specified in the 5th parameter, which can impact how tenors with a single year digit are converted to dates. This functions just as described above for using roll days to impact how tenors with a single year digit are converted to tenors with 2 year digits. In this example the roll days are again set to 75, so the H1 tenor will be converted to March 1, 2021 until 75 days past March 1, 2021 (i.e. until May 15, 2021) after which it will be converted to March 1, 2031.</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L6" authorId="0" shapeId="0" xr:uid="{00000000-0006-0000-0C00-000001000000}">
      <text>
        <r>
          <rPr>
            <b/>
            <sz val="9"/>
            <color indexed="81"/>
            <rFont val="Tahoma"/>
            <family val="2"/>
          </rPr>
          <t>U.SUBRANGE returns the specified subset of a range. In this example it returns the subset of the selected range starting at row 1 and column "B". Because a last row is not specified, default behavior of trimming any bottom-most rows containing only blanks and/or errors is applied (ditto for columns since no last column is specified). The #N/A errors seen at the bottom and right here are applied by Excel because the subrange returned does not fill the entire area containing the U.SUBRANGE call (U.SUBRANGE could be nested in U.PAD to prevent this if needed).
As seen in this example, either row/column numbers or row/column labels can be used as parameters. Negative column numbers can be specified, in which case the counting is from the right (the special string "last()" can be used and is the same as -1).
The values are the subrange are returned unless in the optional 6th parameter is set to TRUE, in which case a reference to the subrange is returned.</t>
        </r>
      </text>
    </comment>
    <comment ref="L16" authorId="0" shapeId="0" xr:uid="{00000000-0006-0000-0C00-000002000000}">
      <text>
        <r>
          <rPr>
            <b/>
            <sz val="9"/>
            <color indexed="81"/>
            <rFont val="Tahoma"/>
            <family val="2"/>
          </rPr>
          <t>This example is the same as the first above, except that final row and column parameters are specified ...so the subrange returned ends at the specified row and column. This example also changes the starting column ...and specifies it by using a hard-coded starting column number (1) instead of a column label ("B" in example above).
If the desire is to have all rows (or columns) returned but without trimming, set the "last" parameter to the special value "end()" or to an arbitrarily large number (e.g.: 999999 or whatever). In the unlikely event that the data has a column labeled "end()" then either use a large number or place anything unique in the parentheses (e.g. "end(blah)".</t>
        </r>
      </text>
    </comment>
    <comment ref="L24" authorId="0" shapeId="0" xr:uid="{00000000-0006-0000-0C00-000003000000}">
      <text>
        <r>
          <rPr>
            <b/>
            <sz val="9"/>
            <color indexed="81"/>
            <rFont val="Tahoma"/>
            <family val="2"/>
          </rPr>
          <t>If negative numbers are given for any index, then the counting is from the end of the range. Here the final row is -5, so the 5th row from the bottom is the final row returned. Also the final column is given as -3, so the 3rd column from the right is the final column.</t>
        </r>
      </text>
    </comment>
    <comment ref="L34" authorId="0" shapeId="0" xr:uid="{00000000-0006-0000-0C00-000004000000}">
      <text>
        <r>
          <rPr>
            <b/>
            <sz val="9"/>
            <color indexed="81"/>
            <rFont val="Tahoma"/>
            <family val="2"/>
          </rPr>
          <t>If no starting row is specified, the starting row will default to the first row that does not contain only blanks and/or errors. Ditto for the starting column.
As seen in this example, all 4 sides are trimmed of "bad" rows (i.e., containing only blanks and/or errors) if only an input range is specified.</t>
        </r>
      </text>
    </comment>
    <comment ref="L46" authorId="0" shapeId="0" xr:uid="{00000000-0006-0000-0C00-000005000000}">
      <text>
        <r>
          <rPr>
            <b/>
            <sz val="9"/>
            <color indexed="81"/>
            <rFont val="Tahoma"/>
            <family val="2"/>
          </rPr>
          <t>There can be an ambiguity about how to interpret an input if a label also happens to be a valid index number. For example, here the user may be intending to select the range down to the row whose label is 4, but because 4 is also a valid row index it is interpreted as a row index ...so rows 1 through 4 are returned.</t>
        </r>
      </text>
    </comment>
    <comment ref="L54" authorId="0" shapeId="0" xr:uid="{00000000-0006-0000-0C00-000006000000}">
      <text>
        <r>
          <rPr>
            <b/>
            <sz val="9"/>
            <color indexed="81"/>
            <rFont val="Tahoma"/>
            <family val="2"/>
          </rPr>
          <t>U.SUBRANGE can be told to treat an input explicitly as a label by passing the input as a 2-column range with the 2nd column's value set to TRUE. In this example the last column parameter is set to {4,TRUE} which uses Excel's native array syntax to pass just such a 2-column range (alternatively a range 2 cells wide containing a 4 and TRUE could have been referenced).
If a 2-column parameter is passed like this and the 2nd column's value is set to FALSE, that tells U.SUBRANGE that the parameter is definitively NOT to be treated as a label.</t>
        </r>
      </text>
    </comment>
    <comment ref="L66" authorId="0" shapeId="0" xr:uid="{5B9273FA-C601-47E0-957B-D02B427BCA25}">
      <text>
        <r>
          <rPr>
            <b/>
            <sz val="9"/>
            <color indexed="81"/>
            <rFont val="Tahoma"/>
            <family val="2"/>
          </rPr>
          <t>If a number is passed to the optional 6th parameter, it will be interpreted as a number of label rows that should be included in the result. In this example a subrange in the middle of the data is retrieved, and the 6th parameter is also set to 1. The result is that 1 row of labels is included at the top of the result. If the number passed to the 6th parameter is negative, the label rows are pulled from the bottom of the un-trimmed data range instead of from the top.</t>
        </r>
      </text>
    </comment>
    <comment ref="L75" authorId="0" shapeId="0" xr:uid="{C86B0B76-409A-419E-8BE8-0AAC714230C8}">
      <text>
        <r>
          <rPr>
            <b/>
            <sz val="9"/>
            <color indexed="81"/>
            <rFont val="Tahoma"/>
            <family val="2"/>
          </rPr>
          <t>The 6th parameter can receive 2 columns of numbers, in which case the 1st is the number of row labels to include in the result and the 2nd is the number of column labels to include in the result. In this example 1 row of column labels is included and 2 columns of row labels. Either or both of the numbers can be negative to pull labels from the top/right of the report. To include only column labels, provide 2 values and set the number of row labels to zero.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5" authorId="0" shapeId="0" xr:uid="{00000000-0006-0000-0D00-000001000000}">
      <text>
        <r>
          <rPr>
            <b/>
            <sz val="9"/>
            <color indexed="81"/>
            <rFont val="Tahoma"/>
            <family val="2"/>
          </rPr>
          <t>U.OFFSET is a non-volatile version of Excel's OFFSET method. It takes a start range and offset parameters, and returns the values of the shifted range.
Here the start range is cell B5 in the table to the left. Try changing the row and column offsets to the right and see how the correspondingly shifted value from the table is returned.
Unlike Excel's native OFFSET method, U.OFFSET returns the *values* of the shifted range by default. To instead have a *reference* to the shifted range returned, set the optional 6th parameter to TRUE.</t>
        </r>
      </text>
    </comment>
    <comment ref="K5" authorId="0" shapeId="0" xr:uid="{00000000-0006-0000-0D00-000002000000}">
      <text>
        <r>
          <rPr>
            <b/>
            <sz val="9"/>
            <color indexed="81"/>
            <rFont val="Tahoma"/>
            <family val="2"/>
          </rPr>
          <t xml:space="preserve">These are the offsets being applied. The could optionally be hard-coded into U.OFFSET
</t>
        </r>
      </text>
    </comment>
    <comment ref="H15" authorId="0" shapeId="0" xr:uid="{00000000-0006-0000-0D00-000003000000}">
      <text>
        <r>
          <rPr>
            <b/>
            <sz val="9"/>
            <color indexed="81"/>
            <rFont val="Tahoma"/>
            <family val="2"/>
          </rPr>
          <t>U.OFFSET returns, by default, the values of a range whose size is the same as the start range. Here the start range is a 2x2 array in the top-left corner of the table, so the values of a 2x2 array are returned (the formula is placed in a 3x3 range, and Excel natively fills in the extra cells with #N/A errors).</t>
        </r>
      </text>
    </comment>
    <comment ref="H23" authorId="0" shapeId="0" xr:uid="{00000000-0006-0000-0D00-000004000000}">
      <text>
        <r>
          <rPr>
            <b/>
            <sz val="9"/>
            <color indexed="81"/>
            <rFont val="Tahoma"/>
            <family val="2"/>
          </rPr>
          <t>Set the optional height and/or width parameters to explicitly set the size of the range to be returned.</t>
        </r>
      </text>
    </comment>
    <comment ref="H30" authorId="0" shapeId="0" xr:uid="{00000000-0006-0000-0D00-000005000000}">
      <text>
        <r>
          <rPr>
            <b/>
            <sz val="9"/>
            <color indexed="81"/>
            <rFont val="Tahoma"/>
            <family val="2"/>
          </rPr>
          <t>Unlike Excel's native OFFSET function, U.OFFSET will not by default return a #REF error if an offset causes a range to extend beyond the spreadsheet boundaries. Instead it will simply ignore the cells that are off the edge of the sheet. It will also always refer to at least the edge row or column no matter how shifted the range is.
Here the column offset takes the start of the range off the left side of the sheet, so the column of cells that are off the sheet are ignored. See that the returned range is compressed to being 2 columns wide instead of the 3-column width of the start range.</t>
        </r>
      </text>
    </comment>
    <comment ref="F45" authorId="0" shapeId="0" xr:uid="{99CC2249-C4B8-4160-A608-9C31A91BAE85}">
      <text>
        <r>
          <rPr>
            <b/>
            <sz val="9"/>
            <color indexed="81"/>
            <rFont val="Tahoma"/>
            <family val="2"/>
          </rPr>
          <t>If the optional 6th parameter is set to "id" then a range ref ID is returned instead of the ranges values or a reference to the range. In this way a dependency can be hidden entirely from Excel's calculation tree, which can be useful in cases where the number of calculations of a method needs to be tightly controlled.
U.OFFSET will not automatically recalc when a workbook is opened, so if returning a range ref ID it's important to ensure it recalculates at least once so that the ID is current. In many cases nothing is required since the cells referenced by the method will recalculate ...or it's nested in another method. Neither is the case in this example, so U.DO is used with a trigger set to a cell that contains U.NOW to ensure it calcs when the workbook opens (since U.NOW() is an RTD method and will recalc when the workbook opens).</t>
        </r>
      </text>
    </comment>
    <comment ref="H54" authorId="0" shapeId="0" xr:uid="{00000000-0006-0000-0D00-000006000000}">
      <text>
        <r>
          <rPr>
            <b/>
            <sz val="9"/>
            <color indexed="81"/>
            <rFont val="Tahoma"/>
            <family val="2"/>
          </rPr>
          <t>To get #REF errors whenever a shift takes the range off of the spreadsheet, set the optional 7th parameter to TRUE.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20" authorId="0" shapeId="0" xr:uid="{00000000-0006-0000-0E00-000001000000}">
      <text>
        <r>
          <rPr>
            <b/>
            <sz val="9"/>
            <color indexed="81"/>
            <rFont val="Tahoma"/>
            <family val="2"/>
          </rPr>
          <t>Sometimes the user must publish or otherwise process a range of cells whose size changes over time. For example, one may need to operate on a list of trades that grows throughout the trading day. The U.REGION method can be used to automatically locate the region of cells containing the list of trades so that only rows containing trade data are processed. Typically the U.REGION call would be nested into another call that must do the processing on the cells.
By default the values of the detected region are returned, but setting the optional 4th parameter to TRUE will cause an Excel range reference to be returned. In many contexts the range of values and a range reference will behave the same way, but in certain advanced scenarios a reference to the range is required instead of the values.
Users pass U.REGION an "anchor" range within the region to be found, and U.REGION will detect the region containing that anchor range subject to any barriers. A "region" is defined as any range of cells that has a complete border consisting of only empty cells, cells containing Excel errors and or empty strings, or cells that are off of the Excel grid. The matrix returned by U.REGION may not meet this strict definition if a region cannot be found. For example, if the user specifies a max number of columns, but there does not exist any range around the specified anchor that is sufficiently narrow to qualify, then U.REGION will return the largest range it can find that adheres to the max column setting even though that range may not be a region. The region returned will always contain the specified anchor, so if a user specifies a multi-cell range as the anchor then at a minimum that range will be returned ...unless the anchor is larger than allowed as specified by the max rows and max columns parameters, in which case an error is returned. U.REGION assumes that the provided anchor range is in the top left corner of the region unless optional parameters specify otherwise (see below).
In the example to the left, a single anchor cell is referenced and U.REGION was able to discover the range of cells surrounded by blank cells. The method is able to handle blanks scattered throughout the report. Note that Excel fills surrounding cells with #N/A when an array formula is spread over a range that is larger than the data it returns. Note also that array formulas cannot be entered over merged cells (which is why the cells containing the title "Trades" is not merged in the result; use U.PASTE to paste the results into a range with merged cells when needed).
The user should specify a max number of columns that the resulting region can contain as the 2nd parameter. If no max number of columns is set, it will default to the width of the anchor range provided. The user can also set the max number of rows the region can contain as an optional 3rd parameter. Doing so is not required, but can minimize the odds of a hidden circular reference (whereby another U.REGION call exists in the range searched by an U.REGION call). The method will currently never detect a region greater than 1 million rows tall and 8 thousand columns wide unless the max_rows or max_columns parameters are set to TRUE, respectively (see example below).
If a user does not specify a max number of rows as a 3rd parameter, then the initial calculation of U.REGION may be slightly slower than subsequent calculations. This is because the method takes a conservative approach to discovering the surrounding region in an attempt to avoid hidden circular references. Information about the size of a region is cached after the first calculation, so the method can begin from a smarter starting place on subsequent calculations. If a max number of rows is provided by the user, the method assumes that the user knows those rows are clear of potential circular references and so this level of caution is not needed.
Users can tell the method to also look "up" from the anchor range (i.e., consider lower-numbered rows) and/or tell the method to look left by setting the optional 6th and 7th parameters to TRUE, respectively. If both are set to true, the specified anchor can be anywhere within the range that will be discovered and returned by the method.
Users must take care that the method will be recalculated as desired. The "anchor" may only reference a single cell or a few cells within the region, and the cells it references may not be ones that recalculate when new data is added in a way that extends the region (so nothing triggers a recalc of U.REGION). This is not a problem in typical use cases where U.REGION is used against data returned by an array formula ...such as U.GET... because in that case every cell in the range recalculates when new data is available. But if used in other contexts caution should be taken that the anchor range includes a cell within the region that is expected to recalc regularly and therefore trigger a recalculation of U.REGION. This behavior can also be an asset, of course, where you want to reference data in a certain calc but want to control when it is processed instead of it recalcing with every data change. Note that a special use of the optional 2nd parameter can be helpful in forcing recalcs as desired in many cases (see example below).</t>
        </r>
      </text>
    </comment>
    <comment ref="I53" authorId="0" shapeId="0" xr:uid="{00000000-0006-0000-0E00-000002000000}">
      <text>
        <r>
          <rPr>
            <b/>
            <sz val="9"/>
            <color indexed="81"/>
            <rFont val="Tahoma"/>
            <family val="2"/>
          </rPr>
          <t>In some cases, there may be a desire for the region to extend beyond a natural region boundary. In this case, there is a row in the trade data that is entirely empty. That acts as a region boundary, so by default U.REGION would not pick up rows beneath that empty row (since next row beneath the empty row would be the start of a new region).
Just for variation, this example sets the max width of the region to be detected by setting an anchor range 3 columns wide rather than specifying a max columns of 3. The anchor range is also below the top "Trades" label, but that label is picked up because the "Look Up" parameter is set to TRUE ...so rows above the anchor range can be included in the detected region.</t>
        </r>
      </text>
    </comment>
    <comment ref="I62" authorId="0" shapeId="0" xr:uid="{00000000-0006-0000-0E00-000003000000}">
      <text>
        <r>
          <rPr>
            <b/>
            <sz val="9"/>
            <color indexed="81"/>
            <rFont val="Tahoma"/>
            <family val="2"/>
          </rPr>
          <t>Here is an example of how to include the values beneath the blank row. The 3rd "max rows" parameter is set to TRUE, which will make the region include the very last cell in the sheet that has some non-blank value in the columns of the anchor region. This example no longer sets the "look up" parameter to TRUE since doing so would cause it to include in the result the values above this example in the anchor range columns.
You don't see #N/As beneath the last trade row only because the region found includes the data further down the sheet ...since there are non-blank values in the anchor range columns down there.
This example also shows a special use of the 2nd parameter. If the 2nd parameter is set to a range that encloses the anchor range, then it acts as a trigger: if anything in the entire 2nd parameter range changes, the equation will recalculate. In this way it is identical to the 2nd parameter of U.DO. This is done to ensure that the region is recalculated whenever anything in those columns changes. This may be needed in a case like this, since otherwise it would only recalc if the cells actually referenced by U.REGION changed ...and in this example U.REGION only references a label row. (Note that when using the 2nd parameter this way, the "extend" functionality described below is not available for columns; if there is a need to both set a trigger and to extend the region's columns, then U.REGION should be nested in an U.DO call and the trigger parameter of U.DO can be set as the trigger range.)
Performance is a consideration when using U.REGION in this way, since every row from the bottom of the sheet up must be checked in order to find the last populated row. Where performance is a concern, using U.SUBRANGE and passing an arbitrarily large range is likely to be a better way to satisfy this use case. Also note that this is only required here since the row's cells are actually empty (as if a user hit "delete" on them). If instead the rows only *look* empty but in fact contain empty strings ...as is always the case if the range contains any U array formula... then it is far more efficient to just set the 5th parameter to TRUE, which will cause empty strings to be treated as values when finding the region (so the empty row would then not act as a region barrier). Passing full columns to an Excel method is often a cause of performance issues, but that is not problematic when they are passed as a trigger since the values of all those cells are never actually read.
These examples have been shifted to columns further right so that they do not result in circular references (which can occur when a region detected by U.REGION, itself, contains an U.REGION call).</t>
        </r>
      </text>
    </comment>
    <comment ref="I90" authorId="0" shapeId="0" xr:uid="{00000000-0006-0000-0E00-000004000000}">
      <text>
        <r>
          <rPr>
            <b/>
            <sz val="9"/>
            <color indexed="81"/>
            <rFont val="Tahoma"/>
            <family val="2"/>
          </rPr>
          <t>The 2nd and 3rd parameters can optionally contain a special "extend()" method that will cause the final region detected to be extended the specified number of columns or rows, respectively. If the number provided is negative, the region is contracted. In this example, both the Price column and a column of blanks right of it are picked up because of the "extend(2)" in the 2nd parameter, and the bottom row that would otherwise have been returned is dropped because of the "extend(-1)" in the 3rd parameter.
The extend() method does not support adjusting the top row or leftmost column. If that is required, U.OFFSET can be used in combination with extend() to select the desired range.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00000000-0006-0000-0F00-000001000000}">
      <text>
        <r>
          <rPr>
            <b/>
            <sz val="9"/>
            <color indexed="81"/>
            <rFont val="Tahoma"/>
            <family val="2"/>
          </rPr>
          <t>U.RANGE_REF returns a unique string that U methods can interpret as a reference to an Excel range.
The ID returned is only valid in the current process. If U sees a value that looks like it is intended to be a range reference ID, but that id is not valid, it will return an Excel reference error (#REF!). A param value hard-coded to "self" will return a reference to the calling cell.
The method should always only be called from a single cell, not nested in a multi-cell array formula.</t>
        </r>
      </text>
    </comment>
    <comment ref="F8" authorId="0" shapeId="0" xr:uid="{00000000-0006-0000-0F00-000002000000}">
      <text>
        <r>
          <rPr>
            <b/>
            <sz val="9"/>
            <color indexed="81"/>
            <rFont val="Tahoma"/>
            <family val="2"/>
          </rPr>
          <t>Most U methods that receive one or more ranges in Excel will recognize the range ref ID. Here U.VUNIQUE refers to the ID, and as such the values input the values in the range referenced by the U.RANGE_REF method.
The ID will only be treated as a reference if it is an atomic value. Excel range reference IDs passed as part of a vector or matrix of cells will not be treated as references to an Excel range except in the unique case of U.CREATE_SCRIPT.
Methods that consume range reference IDs should always do so by referencing the cell containing the U.RANGE_REF call in order to preserve the logical calculation dependency order: if the range updates, then the U.RANGE_REF call will update, and that will cause methods referencing the cell with U.RANGE_REF to update.</t>
        </r>
      </text>
    </comment>
    <comment ref="F25" authorId="0" shapeId="0" xr:uid="{00000000-0006-0000-0F00-000003000000}">
      <text>
        <r>
          <rPr>
            <b/>
            <sz val="9"/>
            <color indexed="81"/>
            <rFont val="Tahoma"/>
            <family val="2"/>
          </rPr>
          <t>A primary motivation for the U.RANGE_REF method is to support multi-range parameters that reference multiple sheets. As seen in this example, U.VUNIQUE will stack multiple ranges provided to its single data parameter using Excel's multi-range syntax (where ranges are separated by commas and surrounded by parentheses). Excel only supports the case where all ranges in this syntax are on the same sheet. Using U.RANGE_REF, those individual ranges can refer to ranges on any sheet in the workbook (not actually done in this example, but either of the U.RANGE_REF calls to the left could just as easily refer to another sheet). Note that you cannot actually nest the U.RANGE_REF call into Excel's multi-range syntax -- Excel requires that they be actual range references, so you must place the U.RANGE_REF call into a cell and reference that. To remain consistent with Excel's basic handling of this syntax, U will only recognize a single range ID per referenced range; and as noted in the comment above, that range must be a single cell containing a valid range reference ID.
In many cases use of U.RANGE_REF is not necessary. For example, an U.VAPPEND call that stacks multiple ranges from different sheets could be nested inside of U.VUNIQUE, which would be simpler to understand. But in some cases use of U.RANGE_REF will significantly reduce effort and complexity. Consider the case of publishing a multi-page HTML report for viewing in UWeb, where each page may reside on a different sheet. One *could* create a sheet whose purpose is to lay out all of the pages to be published ...but this would be painful because the row height and column width requirements may not be consistent across the pages, so the pages would have to be spread diagonally across that single sheet for each to have its own row/column layout. With U.RANGE_REF, each page could reside on its own tab and all pages can still be referenced in the single report_data parameter of U.PUBLISH.</t>
        </r>
      </text>
    </comment>
    <comment ref="E45" authorId="0" shapeId="0" xr:uid="{00000000-0006-0000-0F00-000004000000}">
      <text>
        <r>
          <rPr>
            <b/>
            <sz val="9"/>
            <color indexed="81"/>
            <rFont val="Tahoma"/>
            <family val="2"/>
          </rPr>
          <t>If the optional 2nd parameter is set to TRUE, then the value passed to U.RANGE_REF will be interpreted as an Excel address or range name. If the values is invalid, a #REF! error will be returned. In this example, the value is an Excel address string that refers to the range B5:C8 above. If the value does not contain a sheet name, the range will be assumed to exist on the worksheet containing the U.RANGE_REF method ...so in this example just having B5:C8 would give the same result.
If the value is a range name that is not prefixed by a worksheet name (e.g. MY_DATA_RANGE instead of Sheet1!MY_DATA_RANGE) then the range will be the name with workbook scope if it exists. If a range with workbook scope does not exist but a range with that name in the calling sheet exists, that range will be used. When a range name includes a worksheet prefix, the range will only be valid if the name with worksheet scope exists for that workbook (workbook scope names will be ignored).
To return an actual Excel reference suitable for passing to native Excel methods, instead of returning a range reference ID, set the 3rd parameter to TRUE. Setting both the 2nd and 3rd parameters can then perform the work of Excel's INDIRECT method and will not be volatile.</t>
        </r>
      </text>
    </comment>
    <comment ref="E56" authorId="0" shapeId="0" xr:uid="{FF72E1B6-3B40-44CF-8E85-4E0B95CABC99}">
      <text>
        <r>
          <rPr>
            <b/>
            <sz val="9"/>
            <color indexed="81"/>
            <rFont val="Tahoma"/>
            <family val="2"/>
          </rPr>
          <t>Up to 20 distinct ranges can be passed to U.RANGE_REF, and they will be returned as a comma-delimited list of range identifiers. Methods that support operating on multiple ranges support receiving such a list of identifiers. More than 20 ranges can be provided in a variety of ways (a) any single parameter can take multiple ranges if they are all on the same tab by separating them with commas and surrounding them all with parentheses; (b) U.RANGE_REF methods could be nested; or (c) the result of multiple U.RANGE_REF calls could be concatenated. A primary reason for using U.RANGE_REF in this way is when a method needs to reference ranges that are spread across different tabs in a workbook, as Excel's native method for selecting multiple ranges ...as described in (a) earlier in this comment... only supports ranges that are all on the same tab.</t>
        </r>
      </text>
    </comment>
    <comment ref="E65" authorId="0" shapeId="0" xr:uid="{D21E5733-AAE1-41BB-9180-C1F75894FEC9}">
      <text>
        <r>
          <rPr>
            <b/>
            <sz val="9"/>
            <color indexed="81"/>
            <rFont val="Tahoma"/>
            <family val="2"/>
          </rPr>
          <t>If RANGE_REF has a single parameter hard-coded to the string "selection" then it will return the ID of the currently selected range. If it contains "prior_selection" it will return the ID of the range previously selected. If Excel events are disabled using VBA, RANGE_REF may not be able to properly report the current and prior selections.
To avoid circular references, when referencing one of these cells from another U method it may be necessary to pass the value as a string instead of as a cell reference. An easy way to do that is to append a blank character. For example, instead of just U.VAPPEND(E65) do U.VAPPEND(E65&amp;"").</t>
        </r>
      </text>
    </comment>
    <comment ref="E74" authorId="0" shapeId="0" xr:uid="{00000000-0006-0000-0F00-000005000000}">
      <text>
        <r>
          <rPr>
            <b/>
            <sz val="9"/>
            <color indexed="81"/>
            <rFont val="Tahoma"/>
            <family val="2"/>
          </rPr>
          <t>U.NAMED_RANGE will apply a name to a range, or update the range associated with a name if the name already exists. Here the range to the left is being assigned the name "Colleagues." Note that Excel only allows range names to contain numbers, letters, underscores and period characters.
Named ranges can contain multiple regions by surrounding the regions in the 2nd parameter with parentheses.
If the 2nd parameter is set to "CLEAR" instead of a range, then the specified range will be removed if it exists.
If the 1st parameter is set to "CLEAN" then any names in the workbook that have #REF! errors will be removed.
By default names are created with "workbook scope" -- that is, visible from any worksheet. To restrict a name's visibility to just the worksheet containing the range, set the optional 3rd parameter to TRUE. Care is warranted when using names with worksheet scope -- if the same name exists at both workbook scope and worksheet scope, attempts to change the workbook scope name will instead change the name with worksheet scope. To avoid potential issues, a good practice is not to reuse names at different scopes.
A descriptive comment can optionally be applied to the name via the optional 4th parameter.</t>
        </r>
      </text>
    </comment>
    <comment ref="E87" authorId="0" shapeId="0" xr:uid="{00000000-0006-0000-0F00-000006000000}">
      <text>
        <r>
          <rPr>
            <b/>
            <sz val="9"/>
            <color indexed="81"/>
            <rFont val="Tahoma"/>
            <family val="2"/>
          </rPr>
          <t>If a formula is passed as the 2nd parameter instead of a range reference, then the name is created (or updated) to have the specified formula.
Here the simple trick of appending an empty string to the cell containing the formula is used so that the formula string is passed instead of a reference to its cell. U.FORMULA could alternatively be used, but a nested U.FORMULA call should not remain in the sheet as it will cause a continuous recalculation in this context.</t>
        </r>
      </text>
    </comment>
    <comment ref="E97" authorId="0" shapeId="0" xr:uid="{00000000-0006-0000-0F00-000007000000}">
      <text>
        <r>
          <rPr>
            <b/>
            <sz val="9"/>
            <color indexed="81"/>
            <rFont val="Tahoma"/>
            <family val="2"/>
          </rPr>
          <t>If no parameters are provided, U.NAMED_RANGE returns a report of all names defined in the workbook. In this example it is filtered to show the "Colleagues" and "ColleaguesCount" names created above among the displayed results.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M6" authorId="0" shapeId="0" xr:uid="{00000000-0006-0000-1000-000001000000}">
      <text>
        <r>
          <rPr>
            <b/>
            <sz val="9"/>
            <color indexed="81"/>
            <rFont val="Tahoma"/>
            <family val="2"/>
          </rPr>
          <t>U.GRID_TO_TABLE transforms a grid of data into table form. This is commonly required when users receive data in grid/matrix form from some source and wish to feed that data into an Excel pivot table or just simplify processing the data.
As seen here, U.GRID_TO_TABLE assumes by default that a single vector of labels exists for both rows and columns in the grid.</t>
        </r>
      </text>
    </comment>
    <comment ref="M19" authorId="0" shapeId="0" xr:uid="{00000000-0006-0000-1000-000002000000}">
      <text>
        <r>
          <rPr>
            <b/>
            <sz val="9"/>
            <color indexed="81"/>
            <rFont val="Tahoma"/>
            <family val="2"/>
          </rPr>
          <t>Table column labels can optionally be provided, and if so will appear at the top of the resulting table. Labels can be provided for the grid's row labels, column labels, grid values or any combination thereof. If labels are provided for some elements but not others, then default table column labels are applied.</t>
        </r>
      </text>
    </comment>
    <comment ref="M32" authorId="0" shapeId="0" xr:uid="{00000000-0006-0000-1000-000003000000}">
      <text>
        <r>
          <rPr>
            <b/>
            <sz val="9"/>
            <color indexed="81"/>
            <rFont val="Tahoma"/>
            <family val="2"/>
          </rPr>
          <t>If the grid already contains labels for the row labels and/or column labels, that can be indicated by specifying TRUE in the 2nd and/or 3rd parameters, respectively. Here the 2nd parameter is set to TRUE, indicating that there is a label ("Symbol") for the grid's row labels. This label is used in the results. Because no other labels were specified in this example, default column labels are used for the other columns in the resulting table.</t>
        </r>
      </text>
    </comment>
    <comment ref="O45" authorId="0" shapeId="0" xr:uid="{00000000-0006-0000-1000-000004000000}">
      <text>
        <r>
          <rPr>
            <b/>
            <sz val="9"/>
            <color indexed="81"/>
            <rFont val="Tahoma"/>
            <family val="2"/>
          </rPr>
          <t>U.GRID_TO_TABLE supports cases where the grid has row and/or column labels with more than a single vector. In this example each axis has two rows of labels, and U.GRID_TO_TABLE is able to detect that automatically and generate the correct table accordingly. This only works when the quadrant in the top-left of the grid is blank.
To conserve space in this and following examples, only a portion of the table returned by U.GRID_TO_TABLE is shown.</t>
        </r>
      </text>
    </comment>
    <comment ref="O60" authorId="0" shapeId="0" xr:uid="{00000000-0006-0000-1000-000005000000}">
      <text>
        <r>
          <rPr>
            <b/>
            <sz val="9"/>
            <color indexed="81"/>
            <rFont val="Tahoma"/>
            <family val="2"/>
          </rPr>
          <t>If the top-left quadrant of the grid is not blank, U.GRID_TO_TABLE will not be able to correctly determine the number of row and column labels in the grid. Here there is a grid label in that area, which would confuse the method. When necessary, the number of row and/or column labels can be explicitly provided in the 2nd and 3rd params, respectively. Here the number 2 is being passed in each param to let the method know there are 2 label vectors on each dimension of the grid, allowing the method to return the desired result.</t>
        </r>
      </text>
    </comment>
    <comment ref="O74" authorId="0" shapeId="0" xr:uid="{00000000-0006-0000-1000-000006000000}">
      <text>
        <r>
          <rPr>
            <b/>
            <sz val="9"/>
            <color indexed="81"/>
            <rFont val="Tahoma"/>
            <family val="2"/>
          </rPr>
          <t>Column labels can also be provided when there are multiple label vectors. They can be provided either as a comma-delimited string or in a range of cells. Here the table column labels for the grid's row labels are provided as a comma-delimited string, and the column labels are provided in a range of cells. A label for the grid's values is also provided.
Default column labels are applied if any is not specified, though in this case the default labels will contain a number so that each table's column has a unique label (e.g.: COL_LABEL_1, COL_LABEL_2, etc)</t>
        </r>
      </text>
    </comment>
    <comment ref="O90" authorId="0" shapeId="0" xr:uid="{00000000-0006-0000-1000-000007000000}">
      <text>
        <r>
          <rPr>
            <b/>
            <sz val="9"/>
            <color indexed="81"/>
            <rFont val="Tahoma"/>
            <family val="2"/>
          </rPr>
          <t>Multi-vector labels can also be extracted explicitly from a grid if they exist. Here the grid contains labels for both the row and column labels, so both the 2nd and 3rd parameters are set to TRUE. Notice that the bottom-right corner of the labels contains two labels separated by a pipe character with a space on either side (" | ") -- this is what the method will expect to see in cases where both row and column labels exist (this is also the way labels are represented when U.TABLE_TO_GRID is configured to include labels in the grid).</t>
        </r>
      </text>
    </comment>
    <comment ref="O108" authorId="0" shapeId="0" xr:uid="{00000000-0006-0000-1000-000008000000}">
      <text>
        <r>
          <rPr>
            <b/>
            <sz val="9"/>
            <color indexed="81"/>
            <rFont val="Tahoma"/>
            <family val="2"/>
          </rPr>
          <t>In cases where the grid is laid out with repeating groups of value columns, users may prefer the table to retain the grouping. This can be done by using the "column()" function in the 4th parameter, and providing it with the number of columns in the group.
In this example the values are grouped into repeating blocks of 3 columns each: 3 dates each for GS and HSBC. Therefore the value "columns(3)" is passed as the 4th parameter, which results in the blocks being stacked atop one another with the common row labels applied to each block.
When this method is used, labels are not checked to ensure a proper alignment since in many cases the blocks may not have identical labels.</t>
        </r>
      </text>
    </comment>
    <comment ref="O122" authorId="0" shapeId="0" xr:uid="{00000000-0006-0000-1000-000009000000}">
      <text>
        <r>
          <rPr>
            <b/>
            <sz val="9"/>
            <color indexed="81"/>
            <rFont val="Tahoma"/>
            <family val="2"/>
          </rPr>
          <t>The columns() method can be used even when the grid does not have any column labels, though in this case the number of row label columns must be indicated either by providing the number explicitly or by providing a list of labels to apply.</t>
        </r>
      </text>
    </comment>
    <comment ref="O130" authorId="0" shapeId="0" xr:uid="{00000000-0006-0000-1000-00000A000000}">
      <text>
        <r>
          <rPr>
            <b/>
            <sz val="9"/>
            <color indexed="81"/>
            <rFont val="Tahoma"/>
            <family val="2"/>
          </rPr>
          <t>When the grid has no column labels of its own, labels to be applied can optionally be provided in the 2nd and 3rd parameters. Labels can be provided in the 2nd parameter even when the grid does have column labels, but in that case providing labels in the 3rd parameter will lead to undesired results - that's because when the columns() function is used, then labels explicitly provided in the 3rd parameter will be interpreted as indicating that the grid has no labels at all.</t>
        </r>
      </text>
    </comment>
    <comment ref="M140" authorId="0" shapeId="0" xr:uid="{00000000-0006-0000-1000-00000B000000}">
      <text>
        <r>
          <rPr>
            <b/>
            <sz val="9"/>
            <color indexed="81"/>
            <rFont val="Tahoma"/>
            <family val="2"/>
          </rPr>
          <t>The columns() function can be used to stack groups of rows even when there are no row labels.</t>
        </r>
      </text>
    </comment>
    <comment ref="M148" authorId="0" shapeId="0" xr:uid="{00000000-0006-0000-1000-00000C000000}">
      <text>
        <r>
          <rPr>
            <b/>
            <sz val="9"/>
            <color indexed="81"/>
            <rFont val="Tahoma"/>
            <family val="2"/>
          </rPr>
          <t>When columns() is used to stack columns in a grid lacking row labels, column labels can still be optionally applied.</t>
        </r>
      </text>
    </comment>
    <comment ref="O157" authorId="0" shapeId="0" xr:uid="{00000000-0006-0000-1000-00000D000000}">
      <text>
        <r>
          <rPr>
            <b/>
            <sz val="9"/>
            <color indexed="81"/>
            <rFont val="Tahoma"/>
            <family val="2"/>
          </rPr>
          <t>If a user only wants to re-position one of multiple labels, the best approach is to fully expand the grid to a table then change it back to the desired grid format. Here the broker is moved from a grid column label to a grid row label using this approach.</t>
        </r>
      </text>
    </comment>
    <comment ref="L170" authorId="0" shapeId="0" xr:uid="{00000000-0006-0000-1000-00000E000000}">
      <text>
        <r>
          <rPr>
            <b/>
            <sz val="9"/>
            <color indexed="81"/>
            <rFont val="Tahoma"/>
            <family val="2"/>
          </rPr>
          <t>U.TABLE_TO_GRID converts a table into a grid (opposite of what U.GRID_TO_TABLE does).
U.TABLE_TO_GRID needs to know which table columns should be used for the various parts of the grid: row label(s), column label(s) and the grid values. Each of these must be specified, though an asterisk ("*") can be provided for the row label columns to indicate every column that is not a column label or the grid value.
The 4th parameter specifying the value column is technically optional in the example shown here. That's because if the table is 3 columns wide and the row and column labels are specified in the 2nd and 3rd params, then the unspecified column is assumed to contain the grid values.
By default both row labels and column labels in the grid are sorted in ascending order. To retain the order in which they appear in the original table, set the optional 6th parameter to TRUE. To retain the original table order of only the row labels OR the column labels, pass a 2-column wide input to the 6th parameter with TRUE or FALSE in each cell: the first cell will apply to the row ordering, and the second to the column ordering. To apply a descending sort, pass a value of -1 instead of TRUE.</t>
        </r>
      </text>
    </comment>
    <comment ref="P183" authorId="0" shapeId="0" xr:uid="{00000000-0006-0000-1000-00000F000000}">
      <text>
        <r>
          <rPr>
            <b/>
            <sz val="9"/>
            <color indexed="81"/>
            <rFont val="Tahoma"/>
            <family val="2"/>
          </rPr>
          <t>Multiple label vectors can be specified for the grid rows and/or grid columns. In this example, 2 labels are specified for each dimension. They can be specified either as a comma-delimited string or by referencing a range containing label values.
The order in which labels are specified will dictate their order in the grid. Here the row label "Time" is before the label "Symbol" so that appears first in the grid even though that is different from the order in the original table.</t>
        </r>
      </text>
    </comment>
    <comment ref="M192" authorId="0" shapeId="0" xr:uid="{00000000-0006-0000-1000-000010000000}">
      <text>
        <r>
          <rPr>
            <b/>
            <sz val="9"/>
            <color indexed="81"/>
            <rFont val="Tahoma"/>
            <family val="2"/>
          </rPr>
          <t>Here is another grid derived from the same data on the left. In this example, 3 columns are used for row labels and only 1 for column labels.
This example also selects a range that does not include the column labels to simulate data that does not contain labels. In this case, the index of the table columns to be used for each component of the resulting grid must be specified as is done here. See that the order in which they are specified still dictates the format of the resulting grid.
This example also nests U.TABLE_TO_GRID inside of an U.FILL_LABELS method that has its "trim" parameter set to TRUE, which causes redundant labels to be dropped. This can be useful to make a grid more readable when preparing it for display.</t>
        </r>
      </text>
    </comment>
    <comment ref="M212" authorId="0" shapeId="0" xr:uid="{00000000-0006-0000-1000-000011000000}">
      <text>
        <r>
          <rPr>
            <b/>
            <sz val="9"/>
            <color indexed="81"/>
            <rFont val="Tahoma"/>
            <family val="2"/>
          </rPr>
          <t>Here is the same example (with fewer result rows shown), but where the row labels are set an asterisk ("*"). In this case it assumes all table columns not identified as column labels or the grid value should be included in the grid as row labels, and it includes them in the order they appear in the table.</t>
        </r>
      </text>
    </comment>
    <comment ref="P225" authorId="0" shapeId="0" xr:uid="{00000000-0006-0000-1000-000012000000}">
      <text>
        <r>
          <rPr>
            <b/>
            <sz val="9"/>
            <color indexed="81"/>
            <rFont val="Tahoma"/>
            <family val="2"/>
          </rPr>
          <t>To retain the input table's column labels in the grid, set the optional 5th parameter to TRUE. A single value of TRUE in that parameter will only retain labels for the grid's row labels. To retain labels for both dimensions of the grid, pass a 2-column wide array with TRUE in each cell (here hard-coded in the equation using Excel's array syntax, but it could have been a reference to a 2-column wide range). See that when this is done, the bottom-right label uses a pipe character with spacing around it (" | ") to separate the row label from the column label. To only include labels for the columns, pass a 2-column input with FALSE in the first cell and TRUE in the second.</t>
        </r>
      </text>
    </comment>
    <comment ref="K238" authorId="0" shapeId="0" xr:uid="{00000000-0006-0000-1000-000013000000}">
      <text>
        <r>
          <rPr>
            <b/>
            <sz val="9"/>
            <color indexed="81"/>
            <rFont val="Tahoma"/>
            <family val="2"/>
          </rPr>
          <t>When the selected labels would result in duplicate row and/or column labels in the grid, values are summed into a single cell by default. In this example there would be 2 rows for each player (one for Entry=Starter, and one for Entry=Sub). Since Entry is not included among the columns, those values are summed in the result.</t>
        </r>
      </text>
    </comment>
    <comment ref="K246" authorId="0" shapeId="0" xr:uid="{00000000-0006-0000-1000-000014000000}">
      <text>
        <r>
          <rPr>
            <b/>
            <sz val="9"/>
            <color indexed="81"/>
            <rFont val="Tahoma"/>
            <family val="2"/>
          </rPr>
          <t>To have a value other than a summation returned, enclose the value column indication in a supported function. The functions supported are the same as those supported by U.VAGGREGATE. In this example, the min() method is used to return the lesser value of the duplicate rows. To ignore errors when performing the function, include a 2nd param set to true (e.g. "min(Pay,true)").
For more fine-grained control of the return value, the table could be aggregated and/or sorted, etc, prior to being sent to U.TABLE_TO_GRID.</t>
        </r>
      </text>
    </comment>
    <comment ref="K253" authorId="0" shapeId="0" xr:uid="{00000000-0006-0000-1000-000015000000}">
      <text>
        <r>
          <rPr>
            <b/>
            <sz val="9"/>
            <color indexed="81"/>
            <rFont val="Tahoma"/>
            <family val="2"/>
          </rPr>
          <t>Note that the values in the grid do not have to be numeric. When a column containing non-numeric values is selected for the grid values, the value of the first row is returned in the case of duplicates unless a method is applied. Here the last() method is applied, so in the case of duplicate labels the value from the last row in the table is used as the grid value.</t>
        </r>
      </text>
    </comment>
    <comment ref="K260" authorId="0" shapeId="0" xr:uid="{5F41853B-ED3D-4632-A96B-DA9CF7F77B4C}">
      <text>
        <r>
          <rPr>
            <b/>
            <sz val="9"/>
            <color indexed="81"/>
            <rFont val="Tahoma"/>
            <family val="2"/>
          </rPr>
          <t>Aggregations of grid values can be added by including the desired aggregation in the 2nd or 3rd parameter. Here a total row is added to the bottom by appending ",total()" at the end of the 2nd parameter. In this example it is just provided as a comma-delimited string, but "Name" and "total()" could alternatively be specified in 2 adjacent cells and referenced.</t>
        </r>
      </text>
    </comment>
    <comment ref="K268" authorId="0" shapeId="0" xr:uid="{AA0CD686-62BE-4DF6-BE79-A6F17F8ECFDA}">
      <text>
        <r>
          <rPr>
            <b/>
            <sz val="9"/>
            <color indexed="81"/>
            <rFont val="Tahoma"/>
            <family val="2"/>
          </rPr>
          <t>Multiple aggregations can be added before and/or after rows and/or columns. In this example, a row total is inserted at the top of the grid and average/min/max are appended to the bottom. Also a shift total and average are appended to the right of the grid. All of the aggregations available in U.VAGGREGATE are also available here (see doc on U.VAGGREGATE method for that list).
By default, the label on the aggregation row will match the function used. So if "total()" is used then the label will be "Total". This is true even when there are multiple ways to specify a function. For example, "sum()" performs the same calculation as "total()" but if used the label will be "Sum". Ditto for "Avg", "Average" and "Mean" -- they all perform the same calculation, but the label will match the version of the function provided.
As seen here, custom labels can be provided for the aggregations by providing the label within the aggregation function. For example, "total(Payroll)" is setting the label of that aggregation row to "Payroll" instead of the default of "Total". To remove the total altogether, use the special value "none()" (e.g. "total(none())").
If a 2nd param of true is provided in a aggregation function, it will cause aggregation errors to be ignored; that is, any non-numeric values will simply be treated as zero instead of causing a #VALUE! error to be returned. In this example this is done for the total payroll ("total(Payroll, true)") and also the average shift pay ("mean(Shift Avg, true)"). If the only parameter is a boolean value (e.g. "total(true)") the function will assume the intent is to ignore errors and not set the label to "true". In the unlikely event of desiring to set the label to "true" escape it with a backslash (i.e. "total(\true)"). Similarly, if a custom label contains a comma then the comma may need to be escaped so it is not interpreted as a parameter delimiter.</t>
        </r>
      </text>
    </comment>
    <comment ref="J292" authorId="0" shapeId="0" xr:uid="{00000000-0006-0000-1000-000016000000}">
      <text>
        <r>
          <rPr>
            <b/>
            <sz val="9"/>
            <color indexed="81"/>
            <rFont val="Tahoma"/>
            <family val="2"/>
          </rPr>
          <t>U.TRANSPOSE behaves like Excel's native TRANSPOSE method, except that it will return the entire matrix of values even when entered in a single cell and not as an array formula. Use of this method helps to prevent a common error whereby an equation using Excel's TRANSPOSE requires that Control-Shift-Enter be used but the user accidentally just clicks Enter.</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5" authorId="0" shapeId="0" xr:uid="{00000000-0006-0000-1100-000001000000}">
      <text>
        <r>
          <rPr>
            <b/>
            <sz val="9"/>
            <color indexed="81"/>
            <rFont val="Tahoma"/>
            <family val="2"/>
          </rPr>
          <t>U.VCOMBINATIONS takes multiple ranges as inputs and returns all of the combinations of rows in those ranges. See here how in the result, each row from the first range provided is combined with each row from the 2nd range provided.
The method has 3 parameters for passing in ranges to be combined, but an unlimited number of ranges can be provided by passing multiple ranges into any of the parameters (by enclosing the ranges with parentheses). Note that the number of rows is increased exponentially, so care should be taken not to provide inputs that will lead to out-of-memory Excel crashes. To minimize the risk of such errors, bottom-most rows from each range containing only blanks and/or errors are always removed before the combinations are created.</t>
        </r>
      </text>
    </comment>
    <comment ref="H18" authorId="0" shapeId="0" xr:uid="{00000000-0006-0000-1100-000002000000}">
      <text>
        <r>
          <rPr>
            <b/>
            <sz val="9"/>
            <color indexed="81"/>
            <rFont val="Tahoma"/>
            <family val="2"/>
          </rPr>
          <t>Ranges passed to U.VCOMBINATIONS can be multiple columns wide. Here the 2nd range is 2-columns wide. Note that in this example both ranges are passed in using only the first parameter.</t>
        </r>
      </text>
    </comment>
    <comment ref="H31" authorId="0" shapeId="0" xr:uid="{00000000-0006-0000-1100-000003000000}">
      <text>
        <r>
          <rPr>
            <b/>
            <sz val="9"/>
            <color indexed="81"/>
            <rFont val="Tahoma"/>
            <family val="2"/>
          </rPr>
          <t>The ranges provided may contain labels, and the desire is to retain the labels atop the results and not include them in the combinations. This can be done by providing the number of label rows in the optional 5th parameter.
If ranges have different numbers of label rows, then a number of label rows should be provided for each range in the same order that the ranges are provided. Here the 2nd input range has more label rows than the 1st input range, so the integers 1 and 2 are provided in the 5th parameter (hard-coded in equation here using Excel's array syntax, but they could have been in 2 cells and referenced).
If label depths are provided, but fewer label depths are provided than there are ranges of data, the last one provided will apply to its corresponding range of data and all subsequent ranges for which no label depth is explicitly provided.</t>
        </r>
      </text>
    </comment>
    <comment ref="H44" authorId="0" shapeId="0" xr:uid="{00000000-0006-0000-1100-000004000000}">
      <text>
        <r>
          <rPr>
            <b/>
            <sz val="9"/>
            <color indexed="81"/>
            <rFont val="Tahoma"/>
            <family val="2"/>
          </rPr>
          <t>As seen in the example above, when ranges have labels of differing depths the shorter labels are placed at the bottom of the labels range. To have labels for any particular range instead aligned with the top of the result, make the number of labels negative as seen here with the "Spot Move" column.
In this case the label depths are in a range and referenced. They could be laid out horizontally instead of vertically if desired.</t>
        </r>
      </text>
    </comment>
    <comment ref="G59" authorId="0" shapeId="0" xr:uid="{00000000-0006-0000-1100-000005000000}">
      <text>
        <r>
          <rPr>
            <b/>
            <sz val="9"/>
            <color indexed="81"/>
            <rFont val="Tahoma"/>
            <family val="2"/>
          </rPr>
          <t>In some cases, the user may wish to form combinations based on groups of rows instead of single rows. In this example, all 4 of the Symbol rows are repeated for each 2 rows in the Spot Move column. This is done specifying a "block size" in the optional 4th parameter. Like when specifying labels, block sizes can be provided for each range independently. As seen in this example, the block size is only applied to rows beneath any rows designated to be column labels (that is, because a label depth of 1 is specified, the top row containing "Symbol" is recognized to be a label and not included in the repeating blocks).</t>
        </r>
      </text>
    </comment>
    <comment ref="B78" authorId="0" shapeId="0" xr:uid="{00000000-0006-0000-1100-000006000000}">
      <text>
        <r>
          <rPr>
            <b/>
            <sz val="9"/>
            <color indexed="81"/>
            <rFont val="Tahoma"/>
            <family val="2"/>
          </rPr>
          <t>U.HCOMBINATIONS works exactly like U.VCOMBINATIONS, but columns of data are combined instead of rows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9" authorId="0" shapeId="0" xr:uid="{00000000-0006-0000-0100-000001000000}">
      <text>
        <r>
          <rPr>
            <b/>
            <sz val="9"/>
            <color indexed="81"/>
            <rFont val="Tahoma"/>
            <family val="2"/>
          </rPr>
          <t>Publish a report by calling U.PUBLISH. Provide the report group and report name that will uniquely identify the content, then reference the range of cells to be published as the 3rd parameter. The call to U.PUBLISH returns the current time, indicating the last time this cell attempted to publish the report.
In this example, the risk data to the left is being published with the report name "PnL" in the "Desk1" report group.</t>
        </r>
      </text>
    </comment>
    <comment ref="F20" authorId="0" shapeId="0" xr:uid="{00000000-0006-0000-0100-000002000000}">
      <text>
        <r>
          <rPr>
            <b/>
            <sz val="9"/>
            <color indexed="81"/>
            <rFont val="Tahoma"/>
            <family val="2"/>
          </rPr>
          <t>Multiple ranges of data (report "pages") can be included in a single call to U.PUBLISH. When publishing multiple pages, surround the Excel range references with parentheses and separate individual ranges with commas, or nest an U.RANGE_REF call that refers to the multiple ranges. There is no limit to the number of pages that a report can include.
In this example, the "PnL_and_Prices" report for Desk1 includes two pages: one with position Greeks, and one with market prices that were used in calculating those Greeks.</t>
        </r>
      </text>
    </comment>
    <comment ref="F35" authorId="0" shapeId="0" xr:uid="{00000000-0006-0000-0100-000003000000}">
      <text>
        <r>
          <rPr>
            <b/>
            <sz val="9"/>
            <color indexed="81"/>
            <rFont val="Tahoma"/>
            <family val="2"/>
          </rPr>
          <t>Names can be assigned to pages in the report by including the appropriate metadata. When page names are specified, users can get individual pages by name (or partial name) instead of by the numerical page number.
U.PAGE_NAMES is a helper method that generates the required metadata. You provide the method with a list of names …either in a range of cells or as a comma-delimited string... and it creates properly formatted metadata that applies the specified names to page numbers in the order provided. Any leading or trailing whitespace will be removed from names, and if a name is duplicated in the list provided (case insensitive) it will only be used once. If you want a page name to contain a comma, you must escape the comma with a backslash (e.g.: "ACME\, INC DATA").
As with other metadata helper methods, U.PAGE_NAMES takes an optional final parameter that can refer to additional user-defined metadata, which will be concatenated with the page names metadata.
In this example, the pages are not referenced directly; rather, there is a cell containing an U.RANGE_REF method that references the ranges, and the U.PUBLISH call references that cell. This is not needed here since the ranges could be referenced the same was as in the example directly above, but this would be required if the pages were spread across multiple sheets in the Excel workbook (Excel's syntax of providing multiple ranges enclosed in parentheses and separated by commas has the limitation that all ranges referenced must be on the same sheet in the workbook). The workaround is to use U.RANGE_REF to refer to those ranges. The U.RANGE_REF call could be nested inside of the U.PUBLISH call, but is placed in its own cell here so it's easy to see what U.RANGE_REF is returning. Mixing Excel's native syntax and use of U.RANGE_REFS is also supported -- if Excel's syntax is used and one of the referenced ranges is a single cell containing the result of an U.RANGE_REF call, the range(s) referred to be that U.RANGE_REF call will be used (this is true for all U functions that support referencing multiple ranges in a single parameter).</t>
        </r>
      </text>
    </comment>
    <comment ref="C39" authorId="0" shapeId="0" xr:uid="{00000000-0006-0000-0100-000004000000}">
      <text>
        <r>
          <rPr>
            <b/>
            <sz val="9"/>
            <color indexed="81"/>
            <rFont val="Tahoma"/>
            <family val="2"/>
          </rPr>
          <t>As seen here, U.PAGE_NAMES simply returns a 2-column matrix containing the proper page name metadata entries for each page name specified.</t>
        </r>
      </text>
    </comment>
    <comment ref="F54" authorId="0" shapeId="0" xr:uid="{00000000-0006-0000-0100-000005000000}">
      <text>
        <r>
          <rPr>
            <b/>
            <sz val="9"/>
            <color indexed="81"/>
            <rFont val="Tahoma"/>
            <family val="2"/>
          </rPr>
          <t>U automatically attaches several bits of metadata to reports, and users can also attach their own. To attach user-defined metadata, reference a 2-column range of key-value pairs in the optional 4th parameter of the U.PUBLISH method.
In this example, three user-defined metadata entries are being attached to the report.
User-defined metadata can be attached whether the report has one or many pages. User-defined metadata keys cannot start with the string "U::", which is reserved for use in metadata keys generated by Runline components.
If a metadata entry with key = U.BLOCK_PUBLISH and value = TRUE exists, the publish will not be processed.
To protect against the accidental creation of many unique reports, publishes will be blocked if too many unique topics are published from the same cell on the same day. If there is a legitimate reason to publish many unique topics from the same cell, the publishes will continue to be processed if the metadata key U.ALLOW_VOLATILE_TOPIC exists.
When publishing large reports, bottom-most cells and right-most columns containing only blanks and/or Excel errors may be trimmed away automatically. To prevent the automatic trimming, include the metadata key U.DO_NOT_TRIM with no value or any value other than FALSE.</t>
        </r>
      </text>
    </comment>
    <comment ref="F68" authorId="0" shapeId="0" xr:uid="{00000000-0006-0000-0100-000006000000}">
      <text>
        <r>
          <rPr>
            <b/>
            <sz val="9"/>
            <color indexed="81"/>
            <rFont val="Tahoma"/>
            <family val="2"/>
          </rPr>
          <t>U.INCLUDE_HTML is a helper method that creates properly formatted metadata which prompts U to capture an HTML version of the published range, in addition to the raw data, for viewing in a Web browser. The captured HTML will include Excel formatting (subject to any inherent Excel limitations in generating HTML for a range) and also any Excel charts in the published range.
U.INCLUDE_HTML has two optional parameters. The first is a throttle in seconds that can be used to throttle how frequently HTML is generated to reduce load on the spreadsheet. Raw data is still published quickly even if HTML is throttled; to keep raw data and HTML synchronized use a negative number for the throttle, which will then throttle the raw data by the same amount. The default HTML throttle is 0.35 seconds if not set; a min of 0.05 seconds and max of 3600 seconds are enforced. The publish will fail if sync is enforced (a negative throttle number) and any portion of the published range is volatile or depends on volatile cells.
The 2nd optional parameter can be used to pass any additional user metadata to be applied to the published data.
Data published without use of U.INCLUDE_HTML can also be viewed in UWeb, and for performance reasons U.INCLUDE_HTML use should be used only where capture of Excel formatting is required.
In some cases Excel may get into a bad state and stop returning HTML versions of ranges when requested. By default the raw data will still be published in that case, which means data viewed in UWeb will be current but will not contain Excel formatting. Alternate handling for this error case can be specified as a 2nd column value in the 1st parameter. Supported values are as follows:
  skip (or FALSE) -- raw data will not be published when HTML fails
  skip(n) -- raw data will only be published after HTML fails 'n' times consecutively
  restart -- if the workbook was launched as controlled-enabled, it will be saved and killed when an HTML error is seen
  restart(0) -- same as just "restart" but the workbook is not saved first
  restart(n) -- the kill of the Excel process will only occur after 'n' consecutive HTML generation errors; make n negative to skip saving the workbook first
The reason restart only works if the workbook was launched as control-enabled is due to the presumption that a user would only want the workbook automatically killed if it had been launched by the workbook monitor (see U.MONITOR_WORKBOOK) and will therefore be automatically restarted.
Another option for preserving Excel's formatting is to use the U.PAGES_AS_IMAGE metadata. When that is included the specified pages are published as images of the range; for example a value of "1,3" would publish the 1st and 3rd pages as images. The default image type is jpeg, but can be configured by appending to the page number after a colon; for example "2:png,3" would publish the 2nd page as a png image and the 3rd page as a jpeg image. If only an image type is provided (e.g. "png") it will apply to the 1st page. If no value is provided, the 1st page is published as a jpeg.
By default, reports are only republished if there is a change to the non-HTML content or to the metadata. To have reports republished even if only the HTML changes, include the metadata entry U.DIFF_CHECK_HTML. Note that doing so will cause HTML to be generated with each recalc even if values have not changed. This option should therefore be used sparingly.</t>
        </r>
      </text>
    </comment>
    <comment ref="D71" authorId="0" shapeId="0" xr:uid="{37112B6F-C7FA-4612-80C5-77FFD079C7F0}">
      <text>
        <r>
          <rPr>
            <b/>
            <sz val="9"/>
            <color indexed="81"/>
            <rFont val="Tahoma"/>
            <family val="2"/>
          </rPr>
          <t>When including HTML in a publish, any links in the published range are preserved. Because a number of browsers have discontinued support for FTP, any FTP links will automatically be converted to HTTP(S) links. To prevent this conversion, include a metadata entry with the key U.PRESERVE_FTP_LINKS when publishing.</t>
        </r>
      </text>
    </comment>
    <comment ref="H98" authorId="0" shapeId="0" xr:uid="{00000000-0006-0000-0100-000007000000}">
      <text>
        <r>
          <rPr>
            <b/>
            <sz val="9"/>
            <color indexed="81"/>
            <rFont val="Tahoma"/>
            <family val="2"/>
          </rPr>
          <t>Here is a range of positions that may be updated at the same time by any of several traders on a trading desk.
If you open this sheet in different Excel processes (2nd time will be read-only) you can see how values can be changed in this yellow range in either sheet with all changes shown in both sheets.
Note: there is a small risk that a user's change could be lost if multiple users attempt to change the range at *exactly* the same time (within about 100 milliseconds of each other). In the rare event that this happens, it will be obvious to the user whose change is not retained since it will not show immediately after he enters it.</t>
        </r>
      </text>
    </comment>
    <comment ref="C100" authorId="0" shapeId="0" xr:uid="{00000000-0006-0000-0100-000008000000}">
      <text>
        <r>
          <rPr>
            <b/>
            <sz val="9"/>
            <color indexed="81"/>
            <rFont val="Tahoma"/>
            <family val="2"/>
          </rPr>
          <t>To configure a topic that multiple users can edit, use U.TWO_WAY_DATA. In the most basic case, this is just as simple as publishing any other data: provide a report group, a report name, and select a range in Excel. Changes made in that range will be published, and if anybody else updates the topic from another spreadsheet ...or from a Web browser if the report is an interactive Web report... then the selected range will be updated to reflect the change. The method returns a string that contains the report topic, a unique "two way data" ID, and an indication if there was any problem publishing the selected range. Multiple ranges are supported exactly the same way as when publishing multi-page reports (see examples for U.PUBLISH above).
The optional 4th parameter to U.TWO_WAY_DATA is any additional metadata the user wishes to include with the report. This works exactly the same way as with a standard U.PUBLISH call. If a metadata entry with key = U.BLOCK_PUBLISH and value = TRUE exists, then the method will receive data but not publish it.
The method is able to achieve the two-way functionality by pasting values from the report into the range. To prevent the method from pasting over unintended parts of the sheet, data is not pasted outside of the selected range even if the report is larger than that range. To allow data to be pasted outside of the selected range, set the optional 6th (max_columns) and 7th (max_rows) parameters. This works exactly the same way as setting these parameters in an U.PASTE call (refer to documentation on U.PASTE  method for details).
If the selected range contains an Excel table, U.TWO_WAY_DATA will, by default, convert that table into a normal Excel range. To prevent that from happening, set the optional 8th parameter to TRUE.
In some cases users may want updates pasted into only a subset of the range being published, for example when the published range contains both input cells and equations and users only want the input cells overwritten with values during an update. This can be achieved by setting the optional 5th parameter to a subset of the range being published. When the 5th parameter is provided, updates will be pasted to that range instead of into the report range. The 5th parameter can also be used to pass a list of Web controls when publishing an interactive UWeb report.
There may be cases where finer-grained control of "publish and subscribe" is desired. This functionality can also be achieved by using a combination of U.PUBLISH, U.SUBSCRIBE and U.PASTE as described below. Use of U.TWO_WAY_DATA is strongly encouraged in most cases, though, because it is much simpler and therefore minimizes the risk of a setup error. Using U.TWO_WAY_DATA also eliminates some race conditions resulting from Excel's multithreading that have to be accounted for when publishing interactive Web apps as HTML. U.TWO_WAY_DATA also has default protections enabled to prevent interactive Web apps from overwriting equations in a range.
U.TWO_WAY_DATA has logic to prevent stale data that was saved in a worksheet from being published when a worksheet is first opened. This logic will allow a publish to go through if it detects that the topic simply has never existed in the server. To prevent a publish from being allowed in this case, include U.PUB_AND_PASTE metadata with a value of TRUE (see doc for U.PUB_AND_PASTE metadata helper method). With this metadata in place, a publish will definitively not be allowed to go through until the contents of the report have been pasted into the sheet ...so the report must exist in the server, otherwise there will not be contents to paste into the sheet and the publish will never go through.
If the special metadata key U.DEBOUNCE_SECONDS is provided and its value is a number greater than zero, then the number will be treated as the debounce interval in seconds. This means that the report will not actually be sent to the server until the U.TWO_WAY_DATA has not recalculated for at least the specified number of seconds. In cases where users change many values quickly, using a debounce can help ensure only the final version of the inputs is published. The debounce metadata also works with U.PUBLISH, but is less relevant for regular publishes as its primary purpose is to prevent a reversion of values entered that may result from a race condition when multiple users update data at once.
The metadata entry U.BLOCK_PUBLISH with a value of TRUE will block publishes while still alllowing the paste of updates to occur. The metadata entry U.BLOCK_PASTE will prevent pasting into the workbook more than once while still allowing publishes; set its value to TRUE to block even the first paste.</t>
        </r>
      </text>
    </comment>
    <comment ref="M109" authorId="0" shapeId="0" xr:uid="{15DC1628-87D8-4ADB-8F21-934FE80BD52F}">
      <text>
        <r>
          <rPr>
            <b/>
            <sz val="9"/>
            <color indexed="81"/>
            <rFont val="Tahoma"/>
            <family val="2"/>
          </rPr>
          <t>If the user is offline when attempting to publish with U.TWO_WAY_DATA ...or with U.PUBLISH with U.PUB_AND_PASTE metadata set... then the publish will fail but will be retried until the machine is again able to connect to the server. However, if the Excel instance is closed before that happens, the publish will be lost.
There may be cases where a user is working offline and wishes a publish to succeed once they are able to reconnect ...which may even be after a restart of the machine. For example, a user on a plane may make many updates that they want published once back online. By default the user's changes would be overwritten upon a reconnect by U.TWO_WAY_DATA protections that always paste the most recent data from the server into the workbook before allowing publishes to go out.
To have attempted publishes persisted to disk when offline and sent once back online, include the special metadata key U.OFFLINE_OK in the publish. The value of the metadata entry is the number of days after which the persisted publish expires, which defaults to 3 days if not set. For example, if a value of 5 is provided, and the add-in does not reconnect to the server until 6 days after the publish was attempted and written to disk, then the persisted message will be discarded and not published to the server. Set the value to zero to have persisted messages expire at midnight on the current day.
This feature is intended only in use cases where a user may be making many offline changes that they want to ensure are not overwritten upon a reconnect. Offline publishes persisted this way will be published upon a reconnect even if there is more current data on the server. To ensure no persisted publish exists that will be published upon a reconnect, simply publish the topic without the U.OFFLINE_OK metadata set.</t>
        </r>
      </text>
    </comment>
    <comment ref="C133" authorId="0" shapeId="0" xr:uid="{00000000-0006-0000-0100-000009000000}">
      <text>
        <r>
          <rPr>
            <b/>
            <sz val="9"/>
            <color indexed="81"/>
            <rFont val="Tahoma"/>
            <family val="2"/>
          </rPr>
          <t>If U.TWO_WAY_DATA is called with only the 5th parameter set to a valid report location indicator, then a special string is returned that designates a subset of the range. This can be used when publishing interactive UWeb reports and providing the Web control indicators in a distinct range to specify that report updates should be applied to only a subset of the published report that contains input values (so equations are not overwritten, for example). This special indicator would be included along with the other Web control indicators.</t>
        </r>
      </text>
    </comment>
    <comment ref="H139" authorId="0" shapeId="0" xr:uid="{00000000-0006-0000-0100-00000A000000}">
      <text>
        <r>
          <rPr>
            <b/>
            <sz val="9"/>
            <color indexed="81"/>
            <rFont val="Tahoma"/>
            <family val="2"/>
          </rPr>
          <t>Here is a range of positions that may be updated by any of several traders on a trading desk.
By being both a subscriber and a publisher of the topic (as setup to the left), multiple users can update the same topic with everybody's input retained. This is possible by using the U.PASTE method to paste updated values when other users make changes.
If you open this sheet in different Excel processes (2nd time will be read-only) you can see how values can be changed in this yellow range in either sheet with all changes shown in both sheets.
Note: there is a small risk that a user's change could be lost if multiple users attempt to change the range at exactly the same time (within about 100 milliseconds of each other). In the rare event that this happens, it should be obvious to the user whose change disappeared since it will not show immediately after he enters it.</t>
        </r>
      </text>
    </comment>
    <comment ref="C140" authorId="0" shapeId="0" xr:uid="{00000000-0006-0000-0100-00000B000000}">
      <text>
        <r>
          <rPr>
            <b/>
            <sz val="9"/>
            <color indexed="81"/>
            <rFont val="Tahoma"/>
            <family val="2"/>
          </rPr>
          <t>This example shows another way to configure a topic that multiple users can edit. It uses U.PUBLISH, U.SUBSCRIBE and U.PASTE as shown here (though using U.TWO_WAY_DATA is advised unless there is a need for the finer control of the behavior).
Note that in the publish call the helper method U.PUB_AND_PASTE is used. This sets metadata that skips an initial publish of the topic unless values have been pasted at least once. This ensures that, upon opening the sheet, Excel will not publish old values that had been saved with the sheet.
Users can optionally set the first parameter of U.PUB_AND_PASTE to TRUE (i.e., U.PUB_AND_PASTE(TRUE)). Doing so will create an even stronger layer of protection against the publication of stale data, as data will not be published unless the topic is definitely retrieved from the U HubServer with non-null content and has been pasted successfully or is confirmed to not exist in the server (the U.TWO_WAY_DATA method described above uses this stronger form of protection).
If the first row of the data is subject to change, as it is in this example, then the optional final parameter of U.PASTE ("recursive") should be set to TRUE to avoid potential issues related to multi-threading race conditions. It is not necessary to set this parameter if the first row of the range contains labels that do not change (and it should not be set if the range is an Excel table, since that always contains labels; setting it in that case will cause the Excel table to be converted to a regular Excel range).
Also note that U.DO and U.AFTER are used to ensure that the paste only occurs after the publish has returned. Without this, prior cached values could be pasted over the user's change immediately since Excel is multi-threaded and will compute the U.PASTE call in parallel with the U.PUBLISH call (which is why U.PASTE may grab cached values and paste them before U.PUBLISH even has a chance to read them).
This is all very complicated, which is why use of U.TWO_WAY_DATA is strongly encouraged for situations where multiple users update the same data concurrently.</t>
        </r>
      </text>
    </comment>
    <comment ref="C171" authorId="0" shapeId="0" xr:uid="{00000000-0006-0000-0100-00000C000000}">
      <text>
        <r>
          <rPr>
            <b/>
            <sz val="9"/>
            <color indexed="81"/>
            <rFont val="Tahoma"/>
            <family val="2"/>
          </rPr>
          <t>When using the stronger form of U.PUB_AND_PASTE protection, there is a corner case where attempting to close a workbook then canceling the close can put the protection into a state where the publish will never go through (the call to U.PUBLISH will continue to return "Publish skipped").
This situation can be remedied by calling U.ALLOW_PUBLISH and passing the topic being published (or the response from U.SUBSCRIBE, which starts with the topic). Publishes on that the topic will subsequently be allowed to go through.
To prevent this from being accidentally left in the sheet, it is replaced with a response message after being applied.</t>
        </r>
      </text>
    </comment>
    <comment ref="C175" authorId="0" shapeId="0" xr:uid="{00000000-0006-0000-0100-00000D000000}">
      <text>
        <r>
          <rPr>
            <b/>
            <sz val="9"/>
            <color indexed="81"/>
            <rFont val="Tahoma"/>
            <family val="2"/>
          </rPr>
          <t>In two-way data scenarios, there is a default protection whereby if the sheet tries to publish a topic immediately after receiving it, the publish is blocked. That is because typically this is indicative of an incorrect setup, and allowing the publishes to go through can result in cycling publishes that induce load on the Excel process, the network and Runline servers.
However, there are cases where Excel is deliberately attempting to respond to requests in a two-way data scenario. In such cases, a rapid response should be allowed to go through. When a special first parameter of TRUE is passed to U.ALLOW_PUBLISH, it returns metadata that ...when included in a publish... will allow the publish to go through even if an update was just received.</t>
        </r>
      </text>
    </comment>
    <comment ref="F190" authorId="0" shapeId="0" xr:uid="{00000000-0006-0000-0100-00000E000000}">
      <text>
        <r>
          <rPr>
            <b/>
            <sz val="9"/>
            <color indexed="81"/>
            <rFont val="Tahoma"/>
            <family val="2"/>
          </rPr>
          <t>U.PUB_SNAPSHOT is a helper method that sets metadata which prompts the U Add-In to also publish a date-stamped version of the report (i.e., with ".YYYYMMDD" appended to the report name, where YYYYMMDD is the current date) with each publish. As shown here, the optional 4th parameter can reference additional user-defined metadata as needed.
Note that as an alternative to publishing snapshots from Excel, automatic daily snapshots can be configured for specific reports or who groups of reports in UWeb.</t>
        </r>
      </text>
    </comment>
    <comment ref="F197" authorId="0" shapeId="0" xr:uid="{00000000-0006-0000-0100-00000F000000}">
      <text>
        <r>
          <rPr>
            <b/>
            <sz val="9"/>
            <color indexed="81"/>
            <rFont val="Tahoma"/>
            <family val="2"/>
          </rPr>
          <t>In many cases a user may want the snapshot to be as of a certain time. If the optional 1st "Rollover Time" parameter is set, then publishes occurring after that time will be given a timestamp that is rolled forward in time. The impact is that the version with a current timestamp will be the last report published before the rollover time (the last version published before 4:00 PM in this example).
By default the datestamp is rolled forward to the next weekday. The user can explicitly define how many days to roll forward by setting the optional 2nd parameter. Here the 2nd parameter is set to 1, so after 4:00 PM (the specified rollover time) the datestamp applied will be for the next day of the week even if a Saturday or Sunday. Days Forward is only applied if a rollover time is set.</t>
        </r>
      </text>
    </comment>
    <comment ref="B213" authorId="0" shapeId="0" xr:uid="{00000000-0006-0000-0100-000010000000}">
      <text>
        <r>
          <rPr>
            <b/>
            <sz val="9"/>
            <color indexed="81"/>
            <rFont val="Tahoma"/>
            <family val="2"/>
          </rPr>
          <t>U.DELETE_REPORT is a helper method that returns the proper metadata key that needs to be included in publishes in order to delete a report. As with other metadata helper methods, U.DELETE_REPORT has an optional parameter that can be used to include additional user-defined metadata, such as a publish secret that may be required for the delete to be authorized.</t>
        </r>
      </text>
    </comment>
    <comment ref="F214" authorId="0" shapeId="0" xr:uid="{00000000-0006-0000-0100-000011000000}">
      <text>
        <r>
          <rPr>
            <b/>
            <sz val="9"/>
            <color indexed="81"/>
            <rFont val="Tahoma"/>
            <family val="2"/>
          </rPr>
          <t>To delete a report, call U.PUBLISH with empty data and include the "U.DELETE_REPORT" metadata key. The U.DELETE_REPORT helper method can be used to ensure the key is spelled properly. The report data must be empty, not just refer to empty cells.
Before the delete is processed by the U HubServer, all of the same authorization checks that apply to report publishes are performed.
Deleted reports are recoverable for a number of days, so accidental deletes can be undone by a system administrator.</t>
        </r>
      </text>
    </comment>
    <comment ref="B231" authorId="0" shapeId="0" xr:uid="{00000000-0006-0000-0100-000012000000}">
      <text>
        <r>
          <rPr>
            <b/>
            <sz val="9"/>
            <color indexed="81"/>
            <rFont val="Tahoma"/>
            <family val="2"/>
          </rPr>
          <t>Calculated values often have a much higher number of decimal places than any receiver actually needs. This additional precision needlessly increases the size of reports on the network, increasing the risk of network-related delays.
The precision of numeric values in a published report can be limited by including the U.MAX_PRECISION metadata key. The U.MAX_PRECISION helper method can be used to properly set this metadata. A max precision to be applied can be set in the first parameter, and a default of 8 is used if none is provided (a min of 0 and a max of 15 is enforced). String values that look like numbers will also be rounded.
Dates are just numbers in Excel, and the U Add-In cannot tell the difference between an Excel date and a number. Therefore, by default rounding is not applied if the number falls within a range that makes it look like it may be a date value. To have rounding applied in all cases, set the 2nd "ignore dates" parameter to TRUE.
Like with all metadata helper methods, the final method can be used to pass in additional user-defined metadata. Or it can be set to the special value "global" which will cause the specified settings to be applied to all reports published in the instance of Excel. Once set, a global max precision can be reverted by deleting the equation containing the "global" metadata parameter. If a global setting is in place and U.MAX_PRECISION metadata is set for a specific call to U.PUBLISH, the publish-specific settings will be applied instead of the global settings.</t>
        </r>
      </text>
    </comment>
    <comment ref="B249" authorId="0" shapeId="0" xr:uid="{00000000-0006-0000-0100-000013000000}">
      <text>
        <r>
          <rPr>
            <b/>
            <sz val="9"/>
            <color indexed="81"/>
            <rFont val="Tahoma"/>
            <family val="2"/>
          </rPr>
          <t>U.WEB_STYLE can be used to apply some primitive styling to reports that are not published with HTML included but are still viewed in UWeb. It returns a metadata key that, when included in a published report's metadata, will prompt UWeb to apply the specified formatting. When this metadata entry does not exist, the only formatting applied to non-HTML reports is a border around individual cells.
When the U.WEB_STYLE metadata is included and no format indicators are specified in the first optional parameter to U.WEB_STYLE, a non-HTML report will be assumed to have columns labels in the first row and they will be given bold text and a gray background; and in the body of the report numbers will be rounded to 6 decimal places, right-justified and colored red if negative; and all cells in the report will have a black border.</t>
        </r>
      </text>
    </comment>
    <comment ref="B256" authorId="0" shapeId="0" xr:uid="{456620C6-1BA7-49D2-84B5-A12258685836}">
      <text>
        <r>
          <rPr>
            <b/>
            <sz val="9"/>
            <color indexed="81"/>
            <rFont val="Tahoma"/>
            <family val="2"/>
          </rPr>
          <t>One or more format indicators can be provided as comma-delimited values in the optional parameter. See the table below for the list of available formats.
Formats provided are global to the entire report. To impact the format of individual cells, a format indicator must be included in the cell's value with the form [web_style=&lt;format(s)&gt;]. For example, to make a cell that contains the number 5 large and green, the cell value would be [web_style=color(green),size(30),copydown]5. In a browser, only the 5 would be displayed ...and it would be both green and 30 pixels tall ...and because it contains the "copydown" indicator the same styling would be applied to all cells below in the same column.
When provided formats impact only size and alignment, default formating is still applied to cells.</t>
        </r>
      </text>
    </comment>
    <comment ref="C291" authorId="0" shapeId="0" xr:uid="{00000000-0006-0000-0100-000014000000}">
      <text>
        <r>
          <rPr>
            <b/>
            <sz val="9"/>
            <color indexed="81"/>
            <rFont val="Tahoma"/>
            <family val="2"/>
          </rPr>
          <t>U.HAS_WEB_CONTROLS returns the metadata key that must be included in the report in order for special metadata control values in the report …such as the checkbox and textarea controls described below... to be converted to interactive controls in a Web browser.
Users can both publish and subscribe to a report in Excel such that when a user changes a value in a browser ...such as checking a checkbox or entering text in a text area... the associated cell in Excel is updated in real-time to reflect the changed value.
Interactive controls can be included either when publishing "raw data" reports (without Excel's formatting retained) or when publishing reports as HTML (by including the U.INCLUDE_HTML metadata key). In either case, the U.HAS_WEB_CONTROLS metadata must be included for the interactive control to be created in a browser. When publishing as raw data, for interactive controls to be displayed a control indicator ...such as for a checkbox or textarea... must reside in vectors that contain only other Web control indicators and blank spaces. By default HTML control indicators are assumed to be laid out in column vectors, but if the optional first parameter of U.HAS_WEB_CONTROLS is set to TRUE then the report is assumed to have Web control indicators laid out in row vectors. When publishing as HTML, Web control indicators are assumed to be embedded in the content of the report, but if the optional first parameter of U.HAS_WEB_CONTROLS is set to TRUE then they are assumed to be provided in a different range of cells.
The 2nd optional U.HAS_WEB_CONTROLS parameter can be used to pass any additional metadata to be included in the published report.
Note that UWeb allows interaction rights to be specified distinctly from view rights, so a report could be permissioned such that many users can see it but only a few users can interact with Web controls to change their values.</t>
        </r>
      </text>
    </comment>
    <comment ref="C295" authorId="0" shapeId="0" xr:uid="{00000000-0006-0000-0100-000015000000}">
      <text>
        <r>
          <rPr>
            <b/>
            <sz val="9"/>
            <color indexed="81"/>
            <rFont val="Tahoma"/>
            <family val="2"/>
          </rPr>
          <t>Setting the first optional parameter to TRUE will change the value of U.HAS_WEB_CONTROLS to "r" which lets UWeb know that the controls are laid out in rows below the cells that will contain the Web controls.</t>
        </r>
      </text>
    </comment>
    <comment ref="D312" authorId="0" shapeId="0" xr:uid="{00000000-0006-0000-0100-000016000000}">
      <text>
        <r>
          <rPr>
            <b/>
            <sz val="9"/>
            <color indexed="81"/>
            <rFont val="Tahoma"/>
            <family val="2"/>
          </rPr>
          <t>U.WEB_CONTROL.CHECKBOX returns a special "HTML control value" that, if U.HAS_WEB_CONTROLS metadata is included in the report's metadata, will cause an interactive checklist to be rendered when the report is viewed in a browser. When the report is published without HTML included, the U.WEB_CONTROL.CHECKBOX method must exist in a column vector that contains only other Web control indicators and blank cells (or a similar row vector, if the "rows layout" parameter is set to TRUE in U.HAS_WEB_CONTROLS). In this example, the 3rd column contains only blank cells and [HTML::CHECKBOX] control indicators. The indicators, by default, are treated as referring to the cell immediately to the left (or above if laid out in rows). In this case the "Done" column would show checkboxes in a browser, with the first one being checked (because the first row's value is TRUE). The column containing the [HTML::CHECKBOX] indicator will not be displayed in the browser at all. If setup properly in Excel, clicking on a checkbox in the browser will cause the corresponding cell in Excel to toggle between TRUE and FALSE. Using this mechanism sheets can be controlled in custom ways even from a mobile phone.
When a report containing HTML Web controls is published without HTML included (i.e. without the U.INCLUDE_HTML metadata key set) then the first parameter of the U.WEB_CONTROL.CHECKBOX must not have any value set at all ...not even a reference to a blank cell. Setting the first parameter should only be done (and must be done) when a report containing Web controls is published with HTML included.</t>
        </r>
      </text>
    </comment>
    <comment ref="E325" authorId="0" shapeId="0" xr:uid="{00000000-0006-0000-0100-000017000000}">
      <text>
        <r>
          <rPr>
            <b/>
            <sz val="9"/>
            <color indexed="81"/>
            <rFont val="Tahoma"/>
            <family val="2"/>
          </rPr>
          <t>When publishing a report without HTML included it is fine to position control indicators underneath the cell that will show the checkbox in the browser, but this will only work if the first parameter to the included U.HAS_WEB_CONTROLS parameter was set to TRUE so that UWeb knows to expect this layout. In this case the rows containing the HTML indicators must contain only other HTML indicators and blanks. It is fine to have such rows mid-report, as they will not be displayed in a browser. In this example, the browser would show just 2 rows: one for Billy and one for Susan, each with 3 checkboxes.</t>
        </r>
      </text>
    </comment>
    <comment ref="F333" authorId="0" shapeId="0" xr:uid="{00000000-0006-0000-0100-000018000000}">
      <text>
        <r>
          <rPr>
            <b/>
            <sz val="9"/>
            <color indexed="81"/>
            <rFont val="Tahoma"/>
            <family val="2"/>
          </rPr>
          <t>U.WEB_CONTROL_LOCATION returns a special string indicating the location of a specified cell within a specified range. Here you can see that in each case the full "Dinner Selections" report is referenced as the first parameter, but a different cell is referenced as the 2nd parameter. In each case a value in the form of [RyCx] is returned, where "y" and "x" are the row and column locations of the cell within the range, respectively. If the 2nd parameter is not provided, the bottom-right corner of the range selected in the 1st parameter is the control location.
If the 2nd parameter contains multiple cells within the full report, then the result is represented as a subrange in the form of [Ry1Cx1:Ry2Cx2] where the parts on either side of the colon represent the top-left and bottom-right location of the subrange, respectively. This is generally only used when control indicators are provided in a distinct range but report updates should only be pasted into a subset of the published report range.
This is a helper method for providing "location" information to Web control indicators when you do not want the indicator to be placed in or adjacent to the cell that will show the Web control in a browser. Use of this method is often optional: any control that has a location parameter can optionally have a range reference passed as that parameter ...with the top-left of the range being the top-left cell of the published report... and the control location will be the bottom-right cell of the provided range.</t>
        </r>
      </text>
    </comment>
    <comment ref="D343" authorId="0" shapeId="0" xr:uid="{00000000-0006-0000-0100-000019000000}">
      <text>
        <r>
          <rPr>
            <b/>
            <sz val="9"/>
            <color indexed="81"/>
            <rFont val="Tahoma"/>
            <family val="2"/>
          </rPr>
          <t>When publishing reports without HTML included, Web control indicators such as [HTML::CHECKBOX] do not have to be placed immediately adjacent to the cell that will render the control in a browser. They can be placed in any vector (or row) that contains only Web control indicators and blanks, but if not adjacent to the control cell then the location of the cell that should display the control ...and whose value will be the value of the control... must be specified. This can be done by setting the optional 3rd "location" parameter to a special string that indicates the location of the cell within the report. The helper method U.WEB_CONTROL_LOCATION can be used to generate the special string (see above). When using U.WEB_CONTROL_LOCATION in this way the first parameter must be a reference to a region of the published report starting from the top-left corner and large enough to capture the cell that will display the Web control; and the 2nd parameter is a reference to that specific cell that will show the control. In this case the checkboxes will be rendered in the 1st column but the control indicators are in the 3rd column -- see that a location indicator is appended to the [HTML::CHECKBOX] control indicator. This allows UWeb to know where to place the control.</t>
        </r>
      </text>
    </comment>
    <comment ref="D352" authorId="0" shapeId="0" xr:uid="{00000000-0006-0000-0100-00001A000000}">
      <text>
        <r>
          <rPr>
            <b/>
            <sz val="9"/>
            <color indexed="81"/>
            <rFont val="Tahoma"/>
            <family val="2"/>
          </rPr>
          <t>The optional 2nd parameter of Web control indicator methods is an "attributes" parameter. Different Web controls support different attributes, which will likely be expanded over time. Attributes are passed in a 2-column array with a key on the right and a value on the left. The Checkbox control currently only supports a "scale" styling attribute, which will change the size of the checkbox shown in a browser. In this example the scale is set to 2, which will cause the checkbox to be larger than it otherwise would be when displayed in a browser. The attribute parameter can be set whether or not the report is published with HTML included.</t>
        </r>
      </text>
    </comment>
    <comment ref="C360" authorId="0" shapeId="0" xr:uid="{00000000-0006-0000-0100-00001B000000}">
      <text>
        <r>
          <rPr>
            <b/>
            <sz val="9"/>
            <color indexed="81"/>
            <rFont val="Tahoma"/>
            <family val="2"/>
          </rPr>
          <t>Often users will want to preserve Excel's formatting when data is viewed in a browser, enabled by including the U.HTML_INCLUDED metadata key when publishing (see documentation for U.INCLUDE_HTML). When publishing reports as HTML, Web control methods like U.WEB_CONTROL.CHECKBOX need to be setup slightly differently. The Web control method should reside in the exact cell where you want the interactive control to appear in a browser; it does NOT have to be in a column (or row) containing only other Web controls and blanks. Also, the first parameter ...a value for the control... MUST be set, even if it is only set to a blank string (i.e., to "") or a reference to a blank cell. In this example the values of TRUE and FALSE are hard-coded into the method, but of course these could just as easily refer to other cells containing the desired values. You'll see that the special "HTML control value" string now also has a "VAL=" indicator that indicates the value that a browser should assign to the checkbox when it is displayed (true = checked; false = unchecked). For this example to work as expected the report must be published with the U.HTML_INCLUDED metadata set.</t>
        </r>
      </text>
    </comment>
    <comment ref="C369" authorId="0" shapeId="0" xr:uid="{00000000-0006-0000-0100-00001C000000}">
      <text>
        <r>
          <rPr>
            <b/>
            <sz val="9"/>
            <color indexed="81"/>
            <rFont val="Tahoma"/>
            <family val="2"/>
          </rPr>
          <t>When an interactive Web report is published with HTML included to preserve Excel's formatting, the values of fields are embedded in special Web control indicator strings used by UWeb to create the Web controls in a browser. Typically an Excel user will want to extract the values from these cells for use in Excel. That can be done easily using the U.PARSE_WEB_CONTROL_VALS method, which can take a range of data and parse values out of Web control indicator strings. Any values that are not valid Web control indicators will be returned as is. As with all methods, the input could be a reference to a cell containing an U.SUBSCRIBE call, and the result returned would be that report's data with Web indicator strings converted to Excel-friendly values.</t>
        </r>
      </text>
    </comment>
    <comment ref="C379" authorId="0" shapeId="0" xr:uid="{00000000-0006-0000-0100-00001D000000}">
      <text>
        <r>
          <rPr>
            <b/>
            <sz val="9"/>
            <color indexed="81"/>
            <rFont val="Tahoma"/>
            <family val="2"/>
          </rPr>
          <t>U.WEB_CONTROL.TEXTAREA returns a special HTML control value that, if U.HAS_WEB_CONTROLS metadata is included in the report's metadata, will cause an interactive text area to be rendered when the report is viewed in a browser. All of the rules that apply to U.WEB_CONTROL.CHECKBOX as described above also apply to U.WEB_CONTROL.TEXTAREA, including distinctions between publishing with and without HTML included. In this example, the text in each cell of the first "To Do" column would appear within an editable checkbox in a browser.</t>
        </r>
      </text>
    </comment>
    <comment ref="C386" authorId="0" shapeId="0" xr:uid="{00000000-0006-0000-0100-00001E000000}">
      <text>
        <r>
          <rPr>
            <b/>
            <sz val="9"/>
            <color indexed="81"/>
            <rFont val="Tahoma"/>
            <family val="2"/>
          </rPr>
          <t>By default, the textarea rendered in a browser will be sized to fit the text (or given a default size if the text is blank). A specific size for the text area in rows and/or columns can optionally be specified using the 2nd "attributes" parameter and specifying the number of rows and/or columns. In this example, the "Take out trash" would be shown in an editable text box that is 2 rows high and 25 columns wide; and the "Pick up kids" would be shown in an editable text box that is 3 rows high and whose column width is determined automatically. The attribute parameter was hard-coded into the equation using Excel's array syntax, but these values could just as easily have been set in a 2-column range and that range could be referenced from the U.WEB_CONTROL.TEXTAREA method. They could also be provided as a string in the form of "&lt;attribute1&gt;=&lt;value&gt;,&lt;attribute2&gt;=&lt;value&gt;". When published ranges include HTML, by default the textarea will fill the entire cell in which it resides and the size of that cell is determined by its size in Excel. So in that case, setting rows or columns explicitly is generally not required.
Each Web control supports a specific set of attributes. Refer to the table at the bottom of this page for the full list of attributes supported by each Web control.</t>
        </r>
      </text>
    </comment>
    <comment ref="C401" authorId="0" shapeId="0" xr:uid="{00000000-0006-0000-0100-00001F000000}">
      <text>
        <r>
          <rPr>
            <b/>
            <sz val="9"/>
            <color indexed="81"/>
            <rFont val="Tahoma"/>
            <family val="2"/>
          </rPr>
          <t>U.WEB_CONTROL.BUTTON returns a special HTML control value that, if U.HAS_WEB_CONTROLS metadata is included in the report's metadata, will cause an interactive button to be rendered when the report is viewed in a browser. All of the rules that apply to U.WEB_CONTROL.CHECKBOX as described above also apply to U.WEB_CONTROL.BUTTON, including distinctions between publishing with and without HTML included. In this example, the each cell in the Two Buttons column would contain a clickable button in a browser.
The TYPE attribute of buttons support special values SUBMIT and CANCEL which, if set, will by default alter the behavior on the Web page in which they are shown such that changes to other inputs will not be applied until the submit button is pressed; and if included, a cancel button will revert all changes. Refer to the table at the bottom of this page for the full list of attributes supported by each Web control.</t>
        </r>
      </text>
    </comment>
    <comment ref="C411" authorId="0" shapeId="0" xr:uid="{00000000-0006-0000-0100-000020000000}">
      <text>
        <r>
          <rPr>
            <b/>
            <sz val="9"/>
            <color indexed="81"/>
            <rFont val="Tahoma"/>
            <family val="2"/>
          </rPr>
          <t>U.WEB_CONTROL.DROPDOWN returns a special HTML control value that, if U.HAS_WEB_CONTROLS metadata is included in the report's metadata, will cause an interactive dropdown to be rendered when the report is viewed in a browser. All of the rules that apply to U.WEB_CONTROL.CHECKBOX as described above also apply to U.WEB_CONTROL.DROPDOWN, including distinctions between publishing with and without HTML included. In this example, the each cell in the Two Buttons column would contain a clickable dropdown selector in a browser.
For dropdowns, a list of options that will appear in the list must be provided as the first parameter. The options can be provided either from a range of cells or as a comma-delimited list (an example of each here). In this example the meeting date also shows a placeholder value in the rendered dropdown that prompts the user to select a date. Refer to the table at the bottom of this page for the full list of attributes supported by each Web control.</t>
        </r>
      </text>
    </comment>
    <comment ref="C425" authorId="0" shapeId="0" xr:uid="{00000000-0006-0000-0100-000021000000}">
      <text>
        <r>
          <rPr>
            <b/>
            <sz val="9"/>
            <color indexed="81"/>
            <rFont val="Tahoma"/>
            <family val="2"/>
          </rPr>
          <t>U.WEB_CONTROL.DATEPICKER returns a special HTML control value that, if U.HAS_WEB_CONTROLS metadata is included in the report's metadata, will cause an interactive calendar to be rendered when the cell is clicked in a browser. All of the rules that apply to U.WEB_CONTROL.CHECKBOX as described above also apply to U.WEB_CONTROL.DROPDOWN, including distinctions between publishing with and without HTML included.
U.WEB_CONTROL.DATEPICKER supports attributes that will result in a time picker being included with the calendar, or optionally to only show a time picker. Refer to the table at the bottom of this page for the full list of attributes supported by each Web control.</t>
        </r>
      </text>
    </comment>
    <comment ref="C433" authorId="0" shapeId="0" xr:uid="{882B5A14-9DE5-41AB-B4C3-E9DC4425319B}">
      <text>
        <r>
          <rPr>
            <b/>
            <sz val="9"/>
            <color indexed="81"/>
            <rFont val="Tahoma"/>
            <family val="2"/>
          </rPr>
          <t>U.WEB_CONTROL.HYPERLINK returns a special HTML control value that will cause a link to be displayed in the cell when viewed in UWeb. The first parameter is the text to display in the cell. As with the other Web controls, the 2nd parameter takes additional attributes that can alter how the hyperlink is rendered and functions (refer to table of supported attributes below). The URL attribute must be provided if the value in the 1st parameter is not a valid URL. The protocol prefix (e.g. "HTTPS://") is not assumed so must be included in the URL unless the URL is a topic. If the 2nd parameter is a single cell that looks like a valid URL or topic but is missing the "URL=" attribute key (as in this example) then it will be assumed to represent the intended URL or topic.
The URL provided could be a valid U Topic instead of a proper URL, in which case the link will point to that topic on UWeb. If the topic contains only 2 parts (e.g. "MY_GROUP/MY_REPORT") then the entity of the publisher is prefixed to the topic. A link to a specific snapshot date can be specified either as a 4th topic part in YYYY-MM-DD format ("MY_ENTITY/MY_GROUP/MY_REPORT/2022-08-01") or by appending a period (.) then the date in YYYYMMDD format to the topic. To link to a specific page in the report, append a hash symbol (#) followed by the page name. Topics as URLs will also work in UWeb when provided as the link location in Excel's HYPERLINK function.
Note that hyperlinks in the Excel workbook are already supported when publishing with HTML included, so in many cases U.WEB_CONTROL.HYPERLINK is not needed. However, the function is needed to add hyperlinks to non-HTML reports. Also it can simplify cases where hyperlinks must be applied to data that is changing dynamically.</t>
        </r>
      </text>
    </comment>
    <comment ref="C443" authorId="0" shapeId="0" xr:uid="{B7FC95DB-D558-4F65-8689-7FA0B1076B31}">
      <text>
        <r>
          <rPr>
            <b/>
            <sz val="9"/>
            <color indexed="81"/>
            <rFont val="Tahoma"/>
            <family val="2"/>
          </rPr>
          <t>U.WEB_CONTROL.TOOLTIP returns a special HTML control value that will cause a tooltip to be displayed when the user hovers the cursor over cell content in UWeb. The first parameter is the cell's value, but it will be interpreted as the text of the tooltip if a TEXT attribute is not provided in the 2nd parameter. If the 2nd parameter is a single cell but is missing the "TEXT=" attribute key then it will be assumed to represent the intended tooltip text.
A given cell in the published report can contain at most one Web control. To add a tooltip to a cell that already contains another control, set the TOOLTIP attribute for that control.</t>
        </r>
      </text>
    </comment>
    <comment ref="B463" authorId="0" shapeId="0" xr:uid="{00000000-0006-0000-0100-000022000000}">
      <text>
        <r>
          <rPr>
            <b/>
            <sz val="9"/>
            <color indexed="81"/>
            <rFont val="Tahoma"/>
            <family val="2"/>
          </rPr>
          <t>This table lists the available attributes for each type of Web control. When a report contains Web controls, a few special reports are published as control values are updated. The topics of these reports are the same as the report being changed but with a special suffix applied to the report name. The reports are as follows:
[TOPIC].INPUT_CONTROL_VALS: a 2-column report with tags on the left and control values on the right that gives the current value of all tagged controls that are not marked as OUTPUT controls. If this report is published by another application and the publisher is permissioned to update the report, the updated values will be applied.
[TOPIC].OUTPUT_CONTROL_VALS: like the .INPUT_CONTROL_VALS report but only contains controls that have an OUTPUT attribute applied. By tagging report values as OUTPUTs, a custom app can update its value in the report without value being interactive in a browser. It also allows "rapidly updating" updates to be published in a way that will not interfere with any slower-changing input controls.
[TOPIC].IS_MID_EDIT: when a user has made changes in a browser that have not been applied, the .IS_MID_EDIT report is published with a single cell value of TRUE. Once changes have been applied, the report is re-published with a value of FALSE. An application can optionally monitor the .IS_MID_EDIT report to identify when the report is being edited, enabling it to optionally pause in publishing updates during those times.
To prevent the U Add-In from publishing the [TOPIC].INPUT/OUTPUT_CONTROL_VALS reports, include the special metadata entry U.SKIP_CONTROL_VALS when publishing. By default this will prevent publication of both the input and output control vals reports. To prevent only publication of the output report, set the metadata value to "output"; to prevent only publication of the input report, set the metadata value to "input".</t>
        </r>
      </text>
    </comment>
    <comment ref="B497" authorId="0" shapeId="0" xr:uid="{0E4CF4C8-ECE6-410F-BF20-3DB90D48993F}">
      <text>
        <r>
          <rPr>
            <b/>
            <sz val="9"/>
            <color indexed="81"/>
            <rFont val="Tahoma"/>
            <family val="2"/>
          </rPr>
          <t>If present in a workbook, U.PUB_THROTTLE_MILLIS will apply a publish throttle globally to all U publishes within the Excel instance. The first parameter is the throttle in milliseconds to be applied; a min of 25 and max of 600000 is enforced. The publish throttling is removed when the method is deleted.
If no parameter is specified, the method returns the value of the publish throttle currently in place, or zero if none exists.</t>
        </r>
      </text>
    </comment>
    <comment ref="B507" authorId="0" shapeId="0" xr:uid="{00000000-0006-0000-0100-000023000000}">
      <text>
        <r>
          <rPr>
            <b/>
            <sz val="9"/>
            <color indexed="81"/>
            <rFont val="Tahoma"/>
            <family val="2"/>
          </rPr>
          <t>When developing or reviewing a spreadsheet, it is sometimes convenient to be able to globally disable certain input/output functions. This can be done using U.DISABLE.
U.DISABLE can be called with an optional list of functions to disable, provided either as a range of values or as a comma-delimited list of values, and the specified functions will be globally disabled for all workbooks in the Excel instance. In this way, a user could open a new, blank Workbook in a new instance of Excel; then enter =U.DISABLE([function(s)]) into any cell; then open another existing workbook safely since the functions will be disabled in the entire Excel instance.
Supported function names are as follows:
  PUBLISH (or just PUB)
  REFRESH (or GET)
  PASTE
  SEND_EMAIL (or just EMAIL)
  SEND_TEXT (or just TEXT)
  WRITE_FILE
  BACKUP
  HOVER (disables all hover ranges/images specified with U.SET_CLICKVALS)
  CLICK (disables all click ranges/images specified with U.SET_CLICKVALS)
  LISTEN
If no functions are provided ...or if an asterisk (*) or the word "ALL" is among the functions provided ...or if no recognized function is provided... then all of the methods that support being disabled will be disabled.
Disabled functions can be re-enabled by deleting the U.DISABLE method.</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5" authorId="0" shapeId="0" xr:uid="{00000000-0006-0000-1200-000001000000}">
      <text>
        <r>
          <rPr>
            <b/>
            <sz val="9"/>
            <color indexed="81"/>
            <rFont val="Tahoma"/>
            <family val="2"/>
          </rPr>
          <t>U.VREPEAT repeats the rows of the provided data the specified number of times.</t>
        </r>
      </text>
    </comment>
    <comment ref="F14" authorId="0" shapeId="0" xr:uid="{00000000-0006-0000-1200-000002000000}">
      <text>
        <r>
          <rPr>
            <b/>
            <sz val="9"/>
            <color indexed="81"/>
            <rFont val="Tahoma"/>
            <family val="2"/>
          </rPr>
          <t>If the data being repeated has labels, the number of labels can be specified in the optional 3rd parameter. The specified number of labels will remain at the top of the results and will not be repeated.</t>
        </r>
      </text>
    </comment>
    <comment ref="F25" authorId="0" shapeId="0" xr:uid="{00000000-0006-0000-1200-000003000000}">
      <text>
        <r>
          <rPr>
            <b/>
            <sz val="9"/>
            <color indexed="81"/>
            <rFont val="Tahoma"/>
            <family val="2"/>
          </rPr>
          <t>The optional 4th parameter can be used to insert a specified number of blank rows between each repetition. Here 2 rows are repeated between each of the three sections (the input data and the 2 repeats).</t>
        </r>
      </text>
    </comment>
    <comment ref="B45" authorId="0" shapeId="0" xr:uid="{00000000-0006-0000-1200-000004000000}">
      <text>
        <r>
          <rPr>
            <b/>
            <sz val="9"/>
            <color indexed="81"/>
            <rFont val="Tahoma"/>
            <family val="2"/>
          </rPr>
          <t>U.HREPEAT works exactly like U.VREPEAT but repeats columns instead of rows.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5" authorId="0" shapeId="0" xr:uid="{00000000-0006-0000-1300-000001000000}">
      <text>
        <r>
          <rPr>
            <b/>
            <sz val="9"/>
            <color indexed="81"/>
            <rFont val="Tahoma"/>
            <family val="2"/>
          </rPr>
          <t>U.VINSERT inserts rows into a range at specified locations. Here two rows are inserted into a range of data after the 1st row</t>
        </r>
      </text>
    </comment>
    <comment ref="G13" authorId="0" shapeId="0" xr:uid="{00000000-0006-0000-1300-000002000000}">
      <text>
        <r>
          <rPr>
            <b/>
            <sz val="9"/>
            <color indexed="81"/>
            <rFont val="Tahoma"/>
            <family val="2"/>
          </rPr>
          <t>By default the rows are inserted only once. The optional 4th parameter can be set to indicate the number of times do the insertion. Here the insertion is done twice at intervals spaced by the 3rd parameter. Set the 4th parameter to TRUE to do the insertion through the entire data range.</t>
        </r>
      </text>
    </comment>
    <comment ref="G21" authorId="0" shapeId="0" xr:uid="{00000000-0006-0000-1300-000003000000}">
      <text>
        <r>
          <rPr>
            <b/>
            <sz val="9"/>
            <color indexed="81"/>
            <rFont val="Tahoma"/>
            <family val="2"/>
          </rPr>
          <t>To do the insertion before the first row, provide an interval of zero.</t>
        </r>
      </text>
    </comment>
    <comment ref="G27" authorId="0" shapeId="0" xr:uid="{00000000-0006-0000-1300-000004000000}">
      <text>
        <r>
          <rPr>
            <b/>
            <sz val="9"/>
            <color indexed="81"/>
            <rFont val="Tahoma"/>
            <family val="2"/>
          </rPr>
          <t>Multiple intervals can be provided. Here zero is provided to do an insert before the first row, and also 1 is provided to do an insert after the 1st row. Because the max insertions is set to 3, the final interval provided (1 in this example) is used to determine the placement of the remaining insertions.</t>
        </r>
      </text>
    </comment>
    <comment ref="G35" authorId="0" shapeId="0" xr:uid="{2447EA53-E3A5-4C69-B2FE-9EE2B634B6AF}">
      <text>
        <r>
          <rPr>
            <b/>
            <sz val="9"/>
            <color indexed="81"/>
            <rFont val="Tahoma"/>
            <family val="2"/>
          </rPr>
          <t>Note that the intervals are cumulative. Here the intervals are set to 1 and 2, so the insertion is done after the 1st row and then after the 3rd row (interval of 2 after the 1st insertion). The intervals are provided as a comma-delimited string in this example but could also be provided as values in an array like directly above.</t>
        </r>
      </text>
    </comment>
    <comment ref="G43" authorId="0" shapeId="0" xr:uid="{3580B940-B30D-44F2-ACC7-8555B5D2C3CA}">
      <text>
        <r>
          <rPr>
            <b/>
            <sz val="9"/>
            <color indexed="81"/>
            <rFont val="Tahoma"/>
            <family val="2"/>
          </rPr>
          <t>To have intervals interpreted as absolute indexes, include "abs()" (or "absolute()") in the list of intervals. Because that is included in this example, the interval of 2 is interpreted as row 2 instead of 2 beyond the last insert …so inserts are done after the 1st and 2nd rows of the original data. Negative intervals are always treated as absolute.</t>
        </r>
      </text>
    </comment>
    <comment ref="G51" authorId="0" shapeId="0" xr:uid="{00000000-0006-0000-1300-000005000000}">
      <text>
        <r>
          <rPr>
            <b/>
            <sz val="9"/>
            <color indexed="81"/>
            <rFont val="Tahoma"/>
            <family val="2"/>
          </rPr>
          <t>When a negative number is provided as an insertion interval, the counting is done from the bottom to determine the row after which to do the insertion.</t>
        </r>
      </text>
    </comment>
    <comment ref="G57" authorId="0" shapeId="0" xr:uid="{00000000-0006-0000-1300-000006000000}">
      <text>
        <r>
          <rPr>
            <b/>
            <sz val="9"/>
            <color indexed="81"/>
            <rFont val="Tahoma"/>
            <family val="2"/>
          </rPr>
          <t>By default, every insertion row is inserted at every insertion point. To instead only have a portion of the insertion rows inserted at each insertion, specify an insertion size in the optional 5th parameter.</t>
        </r>
      </text>
    </comment>
    <comment ref="G67" authorId="0" shapeId="0" xr:uid="{00000000-0006-0000-1300-000007000000}">
      <text>
        <r>
          <rPr>
            <b/>
            <sz val="9"/>
            <color indexed="81"/>
            <rFont val="Tahoma"/>
            <family val="2"/>
          </rPr>
          <t>As with insertion intervals, multiple insertion sizes can be provided (either as a range or as comma-delimited values). Here the values 2 and 1 are provided, so the first insertion uses the first 2 insertion rows, and the 2nd insertion uses the last insertion row. If there were more insertions, the last size specified would be re-used and so the final "Total C" line would be used for any further insertions.</t>
        </r>
      </text>
    </comment>
    <comment ref="G77" authorId="0" shapeId="0" xr:uid="{00000000-0006-0000-1300-000008000000}">
      <text>
        <r>
          <rPr>
            <b/>
            <sz val="9"/>
            <color indexed="81"/>
            <rFont val="Tahoma"/>
            <family val="2"/>
          </rPr>
          <t>In this example, the special method "change()" is used in the 3rd parameter to specify where to do the insertions. Here the parameter is "change(1)" which says to do the insertions after the value of column 1 changes. If the data range had column labels, the label could have appeared inside the change() method instead of a column number.
The change() method supports checking multiple columns. For example, "change(company,department)" would insert in a report after the value in either the "company" or "department" column changed. A mix of column names and/or numbers can be used.</t>
        </r>
      </text>
    </comment>
    <comment ref="G91" authorId="0" shapeId="0" xr:uid="{00000000-0006-0000-1300-000009000000}">
      <text>
        <r>
          <rPr>
            <b/>
            <sz val="9"/>
            <color indexed="81"/>
            <rFont val="Tahoma"/>
            <family val="2"/>
          </rPr>
          <t>Note that in the example above, nothing was inserted after the final row. That's because the change() method will only insert when it sees a valid next row with a different value. To ensure an insertion is added below the last row, include the special append() method. Here the methods are provided in their own range, but they could have been hard-coded into the equation as comma-delimited values or using Excel's array syntax.</t>
        </r>
      </text>
    </comment>
    <comment ref="G104" authorId="0" shapeId="0" xr:uid="{00000000-0006-0000-1300-00000A000000}">
      <text>
        <r>
          <rPr>
            <b/>
            <sz val="9"/>
            <color indexed="81"/>
            <rFont val="Tahoma"/>
            <family val="2"/>
          </rPr>
          <t>Any specified max number of insertions is enforced regardless of how insertion points are derived. This example is the same as the one above, except that a max insertions of 1 is specified. Therefore, only the 1st insertion is performed.</t>
        </r>
      </text>
    </comment>
    <comment ref="G115" authorId="0" shapeId="0" xr:uid="{00000000-0006-0000-1300-00000B000000}">
      <text>
        <r>
          <rPr>
            <b/>
            <sz val="9"/>
            <color indexed="81"/>
            <rFont val="Tahoma"/>
            <family val="2"/>
          </rPr>
          <t>The special change_order() method can be used to insert at points where the order of a column changes. Here change_order is applied to the "Val" column, so the insertions take place after a row where the direction (ascending vs descending) changes in the val column. If the column contained strings instead of numbers, a change of direction is based on the alphanumeric ordering.
The various ways of specifying insertion points can all be used in a single call if desired.</t>
        </r>
      </text>
    </comment>
    <comment ref="H128" authorId="0" shapeId="0" xr:uid="{00000000-0006-0000-1300-00000C000000}">
      <text>
        <r>
          <rPr>
            <b/>
            <sz val="9"/>
            <color indexed="81"/>
            <rFont val="Tahoma"/>
            <family val="2"/>
          </rPr>
          <t>The optional 6th parameter can be used to shift the inserted rows left or right. The parameter takes the number of columns by which to horizontally shift the inserted rows. Here they are shifted 1 row to the left (optional 6th param set to -1). An U.HINSERT is also used in this example to insert a blank row between the row label and the total.</t>
        </r>
      </text>
    </comment>
    <comment ref="F144" authorId="0" shapeId="0" xr:uid="{00000000-0006-0000-1300-00000D000000}">
      <text>
        <r>
          <rPr>
            <b/>
            <sz val="9"/>
            <color indexed="81"/>
            <rFont val="Tahoma"/>
            <family val="2"/>
          </rPr>
          <t>U.HINSERT works exactly like U.VINSERT except that it inserts columns into ranges instead of rows.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J4" authorId="0" shapeId="0" xr:uid="{00000000-0006-0000-1400-000001000000}">
      <text>
        <r>
          <rPr>
            <b/>
            <sz val="9"/>
            <color indexed="81"/>
            <rFont val="Tahoma"/>
            <family val="2"/>
          </rPr>
          <t>In cases where sparse labels are provided, U.FILL_LABELS copies row labels down and/or column labels across to facilitate subsequent processing of the data. As seen in this example, if no other parameters are provided then U.FILL_LABELS assumes the leftmost column contains row labels to be filled. The Employee name is filled in with the value of the first non-blank label above it.</t>
        </r>
      </text>
    </comment>
    <comment ref="J17" authorId="0" shapeId="0" xr:uid="{00000000-0006-0000-1400-000002000000}">
      <text>
        <r>
          <rPr>
            <b/>
            <sz val="9"/>
            <color indexed="81"/>
            <rFont val="Tahoma"/>
            <family val="2"/>
          </rPr>
          <t>If there are multiple row labels to be filled, the number of labels must be specified in the 2nd parameter. In this example there are 2 row labels to be copied down.</t>
        </r>
      </text>
    </comment>
    <comment ref="J32" authorId="0" shapeId="0" xr:uid="{00000000-0006-0000-1400-000003000000}">
      <text>
        <r>
          <rPr>
            <b/>
            <sz val="9"/>
            <color indexed="81"/>
            <rFont val="Tahoma"/>
            <family val="2"/>
          </rPr>
          <t>To restrict the rows to which the fill logic is applied, start and end rows can be specified in the optional 3rd parameter. If a single value is provided, the fill logic will begin at that row and be applied to every subsequent row. If a 2nd value is provided, the fill logic will stop being applied at that row. When negative numbers are provided, counting is done from the bottom row.
In this example, the fill logic starts at the 4th row and stops at the 3rd row from the bottom.</t>
        </r>
      </text>
    </comment>
    <comment ref="J48" authorId="0" shapeId="0" xr:uid="{00000000-0006-0000-1400-000004000000}">
      <text>
        <r>
          <rPr>
            <b/>
            <sz val="9"/>
            <color indexed="81"/>
            <rFont val="Tahoma"/>
            <family val="2"/>
          </rPr>
          <t>In some cases there may be gaps in the data between sections, and labels should not be copied into the gap rows. The optional 4th parameter can be used to specify a column to check -- if that column's value is blank, then labels will not be copied into that row. The column can be specified using either a column label or a column number. In this case the "key" column is checked, and labels are not copied into rows where the key column is blank.
If TRUE is passed as the value of the 4th parameter, then the entire row must be blank for the label fill to be skipped (that would not give desired results here because of the hash marks in the otherwise blank Value cells).</t>
        </r>
      </text>
    </comment>
    <comment ref="K83" authorId="0" shapeId="0" xr:uid="{00000000-0006-0000-1400-000005000000}">
      <text>
        <r>
          <rPr>
            <b/>
            <sz val="9"/>
            <color indexed="81"/>
            <rFont val="Tahoma"/>
            <family val="2"/>
          </rPr>
          <t>The 5th, 6th and 7th parameters to U.FILL_LABELS are the same as the 2nd, 3rd and 4th parameters, respectively, but apply to column labels instead of row labels. They can be set in addition to or instead of the row label parameters.
In this example, the data has both row and column labels that are sparse. The number of row labels (2) and also the number of column labels (3) is specified in the 2nd and 5th parameters. Therefore, gaps in both the row labels and the column labels are filled in.</t>
        </r>
      </text>
    </comment>
    <comment ref="J101" authorId="0" shapeId="0" xr:uid="{00000000-0006-0000-1400-000006000000}">
      <text>
        <r>
          <rPr>
            <b/>
            <sz val="9"/>
            <color indexed="81"/>
            <rFont val="Tahoma"/>
            <family val="2"/>
          </rPr>
          <t>U.FILL_LABELS can be used to "copy down" values in all columns by setting the 2nd parameter to TRUE, which is effectively the same as setting the 2nd parameter to an arbitrarily large number that indicates all columns are "label" columns.
Copying across columns can similarly be achieved by setting the 5th parameter to TRUE.</t>
        </r>
      </text>
    </comment>
    <comment ref="K117" authorId="0" shapeId="0" xr:uid="{00000000-0006-0000-1400-000007000000}">
      <text>
        <r>
          <rPr>
            <b/>
            <sz val="9"/>
            <color indexed="81"/>
            <rFont val="Tahoma"/>
            <family val="2"/>
          </rPr>
          <t>If the optional 8th parameter is set to TRUE, then the logic applied by U.FILL_LABELS is reversed: labels are removed if they are the same as the label that precedes them. The trimming of labels can act on row labels and/or column labels. In this example, both row and column labels are thinned to arrive at the same matrix that had been filled in the last example above.
Thinning labels this way would typically be done to make a table of data more suitable for display after desired sorting is applied with U.VSORT.</t>
        </r>
      </text>
    </comment>
    <comment ref="J138" authorId="0" shapeId="0" xr:uid="{3DF5B4B8-3E72-4257-BDD5-4884231E9585}">
      <text>
        <r>
          <rPr>
            <b/>
            <sz val="9"/>
            <color indexed="81"/>
            <rFont val="Tahoma"/>
            <family val="2"/>
          </rPr>
          <t>If the 9th parameter is set to TRUE then blank cells in the data range (to the right of and below any labels) will be populated with the value of the nearest data field left of or above the blank cell. Cells will only be filled with a value if all cells right or below it are blank. Other parameters are still respected, so the cells within the data range that will be populated can be restricted using those settings.
To only fill data with values that look like functions, provide a 2nd TRUE value as a 2nd column (i.e. {TRUE, TRUE}). Population of the data range first copies values down columns then across rows; to have data copied across rows first provide a 3rd TRUE value.
If the 8th parameter is blank and the 9th parameter is set, then labels will not be touched. If the 8th parameter is set to TRUE or FALSE, then labels will still be trimmed or filled, respectively, in addition to the data being filled.
The most common use case for filling data in this way is to populate cells within a cached table or grid with a function created using U.COMPILE so that, when invoked, the data will be populated with the a value returned by the user-defined function. In this example, a function called "GDP" would presumably have been compiled so that when this table is passed to U.INVOKE its values will be populated by that function.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I7" authorId="0" shapeId="0" xr:uid="{00000000-0006-0000-1500-000001000000}">
      <text>
        <r>
          <rPr>
            <b/>
            <sz val="9"/>
            <color indexed="81"/>
            <rFont val="Tahoma"/>
            <family val="2"/>
          </rPr>
          <t>Excel's native behavior for displaying values in a formula array can be undesirable. See to the left how Excel will fill scalar and vector values across an entire matrix …even impacting operations like summations done on those ranges. For matrixes, Excel will fill empty space with #N/A errors. This can be avoided by nesting calls inside of U.PAD, which by default will fill any extra cells in the calling range with blank strings.
An optional padding value can be provided as a 2nd parameter to U.PAD. If provided, that value (instead of an empty string) will be used to fill extra cells in the calling range.</t>
        </r>
      </text>
    </comment>
    <comment ref="H31" authorId="0" shapeId="0" xr:uid="{00000000-0006-0000-1500-000002000000}">
      <text>
        <r>
          <rPr>
            <b/>
            <sz val="9"/>
            <color indexed="81"/>
            <rFont val="Tahoma"/>
            <family val="2"/>
          </rPr>
          <t>In cases where the array returned by an U method is larger than the calling range, U.PAD will remove the additional data cells before returning the data to Excel. See in this example how the returned data contains only a single row even though 4 rows are passed in -- this is because the method is called from a range (a single cell) that is only 1 row tall. (The cell above shows how ROWS returns 4 when 4 rows are returned.)
Because of this behavior, U.PAD will prevent Excel #SPILL! errors by default since it will prevent data from spilling beyond the calling range (#SPILL! is a new error recently introduced in Excel that can occur when there are not enough empty cells to display an Excel "dynamic array").</t>
        </r>
      </text>
    </comment>
    <comment ref="F43" authorId="0" shapeId="0" xr:uid="{87DD790D-538D-4871-9E9E-74EE0139AC9A}">
      <text>
        <r>
          <rPr>
            <b/>
            <sz val="9"/>
            <color indexed="81"/>
            <rFont val="Tahoma"/>
            <family val="2"/>
          </rPr>
          <t>If the 2nd parameter of U.PAD is set to the special value TRUE, then a formula array will be placed in the exact range of cells needed to display the data. Try entering and removing values in the "Enter Values Here" range below and see how the array formula adjusts automatically. This makes dynamic range support available in all versions of Excel in a way that allows users on different versions to safely share workbooks need dynamic array functionality.
If there is any data in a cell that would prevent the array formula from expanding as needed, an error message is displayed by default. To instead have the data forcibly removed so that the formula can expand, explicitly set the 3rd parameter to FALSE.
The optional 2nd parameter can optionally take up to 7 columns of data that control details related to how the array formula is created. The first must be TRUE to enable dynamic arrays. By default bottom-most rows and right-most columns containing only blanks and/or errors are removed before the array formula is set -- to prevent that trimming from occurring, set any additional column value to TRUE (or "do_not_trim"). The size of the formula array can be constrained by providing up to 4 integer value. Any additional columns values that are not boolean values are interpreted in order as follows: max_columns, max_rows, min_columns, min_rows. So, for example, if the equation were this:
    =U.PAD(&lt;data&gt;, {TRUE,4,1000,4,10})
...then regardless of the size of the data the array formula would always cover 4 columns (both max_columns and min_columns are set to 4) and at least 10 rows, but would never exceed 1000 rows.
If the max_columns parameter is any negative number, the width of the array formula may expand if the data expands but will not contract to fewer columns if the data shrinks; the same holds true for rows if max_rows is any negative number. To make array formulas smaller requires that the formula be deleted then re-entered into the smaller range, which can cause a quick flash that may be visible. Preventing the formula from being resized down will prevent that flash.
If any additional value is set to "format" then when the formula array grows vertically the cell formats from the former bottommost row are copied to the new rows; similarly, when the data grows horizontally the cell formats from the formerly rightmost column are copied to new columns. Formats are never automatically cleared when data shrinks. Note that it can be advisable to set some minimum width/heights when having formats copied to prevent unintentional formats in cases where data shrinks then expands. For example, suppose a range has a different format in the first two rows that contain column labels. If a report update with no data rows ...so only label rows... but then later some data appears, the formats from the bottom label row would be copied to the data rows unless the minimum height had been set to at least 3 rows. To minimize this risk in common situations, formats are never copied down when a single row expands to more rows (and never copied right when a single column expands).
The additional values can optionally be provided as a comma delimited string (e.g. {TRUE,"4,1000,4,10,format"} ...which could either be in 2 cells or hard-coded in the formula).</t>
        </r>
      </text>
    </comment>
    <comment ref="H79" authorId="0" shapeId="0" xr:uid="{00000000-0006-0000-1500-000003000000}">
      <text>
        <r>
          <rPr>
            <b/>
            <sz val="9"/>
            <color indexed="81"/>
            <rFont val="Tahoma"/>
            <family val="2"/>
          </rPr>
          <t>If the optional 3rd parameter is set to TRUE, then instead of limiting the returned data to the calling range it will be limited to the available spill area (the empty cells below and to the right of the calling range). See in this example how all 6 rows are returned since there are no values within 6 cells below the calling range.</t>
        </r>
      </text>
    </comment>
    <comment ref="H88" authorId="0" shapeId="0" xr:uid="{00000000-0006-0000-1500-000004000000}">
      <text>
        <r>
          <rPr>
            <b/>
            <sz val="9"/>
            <color indexed="81"/>
            <rFont val="Tahoma"/>
            <family val="2"/>
          </rPr>
          <t>In this example there is a non-empty cell just 2 rows below the calling range (that has an "X" in it). For that reason, the full 6 rows of the data would not be able to spill into surrounding cells. This would cause a #SPILL! error in newer versions of Excel, but see that U.PAD detects the non-blank cell and returns only 2 rows of data. Columns are similarly checked. This will prevent the #SPILL! error in Excel, though users should ensure that is what they actually want (that is, users should be aware that data may be removed to prevent the #SPILL! error).
U.PAD cannot prevent all #SPILL! errors via this mechanism, only the most common ones that result from non-blank cells in the spill range. Merged cells in the spill range can also result in a #SPILL! error that U.PAD cannot prevent.</t>
        </r>
      </text>
    </comment>
    <comment ref="H101" authorId="0" shapeId="0" xr:uid="{00000000-0006-0000-1500-000005000000}">
      <text>
        <r>
          <rPr>
            <b/>
            <sz val="9"/>
            <color indexed="81"/>
            <rFont val="Tahoma"/>
            <family val="2"/>
          </rPr>
          <t>When fitting a spill range, U.PAD will by default seek to maximize the number of rows of data returned. In this example there is an "X" two rows below, and 1 column to the right, of the calling range. See that U.PAD returns all 6 rows of data. If the ROWS method is switched to COLUMNS, it will reveal that only a single column of data is returned because the other columns are blocked by the "X".
The blue shading indicates the detected spill range.</t>
        </r>
      </text>
    </comment>
    <comment ref="H109" authorId="0" shapeId="0" xr:uid="{00000000-0006-0000-1500-000006000000}">
      <text>
        <r>
          <rPr>
            <b/>
            <sz val="9"/>
            <color indexed="81"/>
            <rFont val="Tahoma"/>
            <family val="2"/>
          </rPr>
          <t>To have U.PAD maximize the number of columns instead when fitting data to a spill range, provide a 2nd TRUE value in the 3rd parameter. Here see that 3 columns of data are now returned. If the COLUMNS method were changed to ROWS, it would show that only 2 rows of data are returned because the others are blocked by the "X".
The blue area again indicates the detected spill range. See how the "X" now limits the number of rows returned instead of the number of columns.</t>
        </r>
      </text>
    </comment>
    <comment ref="H119" authorId="0" shapeId="0" xr:uid="{BF94F6F0-AFEE-4FF8-AEEA-E876AFA15E61}">
      <text>
        <r>
          <rPr>
            <b/>
            <sz val="9"/>
            <color indexed="81"/>
            <rFont val="Tahoma"/>
            <family val="2"/>
          </rPr>
          <t>When both the 2nd parameter and the 3rd parameter are set to TRUE, the spill range is detected and then that range is filled with an array formula.</t>
        </r>
      </text>
    </comment>
    <comment ref="C136" authorId="0" shapeId="0" xr:uid="{00000000-0006-0000-1500-000007000000}">
      <text>
        <r>
          <rPr>
            <b/>
            <sz val="9"/>
            <color indexed="81"/>
            <rFont val="Tahoma"/>
            <family val="2"/>
          </rPr>
          <t>U.PAD will recognize if a single value passed to it is an U topic for which it has cached data. If that is the case, it will return the padded cached data.
So U.PAD can optionally be used instead of U.GET in cases where the user wants to avoid Excel's native behavior  when retrieving data from the U Server.</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J4" authorId="0" shapeId="0" xr:uid="{00000000-0006-0000-1600-000001000000}">
      <text>
        <r>
          <rPr>
            <b/>
            <sz val="9"/>
            <color indexed="81"/>
            <rFont val="Tahoma"/>
            <family val="2"/>
          </rPr>
          <t>Sometimes data pasted into Excel from an external source takes an unusable shape, most commonly a single column. U.RESHAPE can be used to quickly reposition cells so that the data is suitable for further processing.
If no parameters are specified, then as seen in this example data will be reshaped to have the same number of columns as the calling range if the calling range is multiple columns wide. If the calling range is a column vector (single column multiple rows) then the data will be reshaped to have the same number of rows as the calling range. If the calling range is a single cell, then if no other parameters are set the original data is returned.
By default data is read from the input range and written to the output range the same way a Western book is read: left-to-right across rows starting from the top row.</t>
        </r>
      </text>
    </comment>
    <comment ref="K17" authorId="0" shapeId="0" xr:uid="{00000000-0006-0000-1600-000002000000}">
      <text>
        <r>
          <rPr>
            <b/>
            <sz val="9"/>
            <color indexed="81"/>
            <rFont val="Tahoma"/>
            <family val="2"/>
          </rPr>
          <t>As seen here, the default of using the shape of the calling range to determine the shape of the result may lead to an undesired result...</t>
        </r>
      </text>
    </comment>
    <comment ref="K21" authorId="0" shapeId="0" xr:uid="{00000000-0006-0000-1600-000003000000}">
      <text>
        <r>
          <rPr>
            <b/>
            <sz val="9"/>
            <color indexed="81"/>
            <rFont val="Tahoma"/>
            <family val="2"/>
          </rPr>
          <t>…which can be fixed by specifying the number of write columns explicitly in the optional 2nd parameter. Here the 3 is computed using Excel's ROWS method, but it could have been hard-coded.</t>
        </r>
      </text>
    </comment>
    <comment ref="I26" authorId="0" shapeId="0" xr:uid="{00000000-0006-0000-1600-000004000000}">
      <text>
        <r>
          <rPr>
            <b/>
            <sz val="9"/>
            <color indexed="81"/>
            <rFont val="Tahoma"/>
            <family val="2"/>
          </rPr>
          <t>To have the data written into columns from top to bottom instead of into rows from left to right, set the optional 4th parameter to TRUE. If the size of this calling range were taller, then the desired number of rows to write (3) would need to be set in the 3rd parameter to get the desired result.</t>
        </r>
      </text>
    </comment>
    <comment ref="I32" authorId="0" shapeId="0" xr:uid="{00000000-0006-0000-1600-000005000000}">
      <text>
        <r>
          <rPr>
            <b/>
            <sz val="9"/>
            <color indexed="81"/>
            <rFont val="Tahoma"/>
            <family val="2"/>
          </rPr>
          <t>In the special case of the calling range being a calling vector and either the input data range is also a column vector or has an equal or lesser number of cells than the calling range …and neither the 2nd, 3rd or 4th parameters are specified, or the 2nd is explicitly set to 1… writing will default to top-to-bottom. That is why the lookup works correctly in this example, which also illustrates that the entire reshaped range is returned even when larger than the calling range.</t>
        </r>
      </text>
    </comment>
    <comment ref="I39" authorId="0" shapeId="0" xr:uid="{00000000-0006-0000-1600-000006000000}">
      <text>
        <r>
          <rPr>
            <b/>
            <sz val="9"/>
            <color indexed="81"/>
            <rFont val="Tahoma"/>
            <family val="2"/>
          </rPr>
          <t>Complex reshaping can be achieved by specifying explicitly how the data should be read and written. When the number of columns to read is less than the width of the input data, a "block" of columns is read at a time. In this example the data is 4 columns wide but the "number of columns to read" parameter is set to 2. Therefore, only the first 2 columns of data are read ...either down to the bottom of the report, or to a specified number of rows to read... and then reading shifts to the next block of columns. If a number of rows to read is specified, then once reading has reached the far right of the report it will shift back to the first block of columns and begin reading the next block of rows...similar to how an old-fashioned typewriter returns after reaching the end of a line. Where the typewriter metaphor breaks down, though, is that the reading and/or writing can optionally be done from top to bottom (that is, by column) instead of left-to-right by row. In this example the data is written to the result in 2-by-2 blocks (the 2nd and 3rd parameters) and also from top to bottom (TRUE in the 4th parameter) in order to transpose each block as required.
The way the data is read from the input range and the way it is written to the output range can each be specified independently.</t>
        </r>
      </text>
    </comment>
    <comment ref="I56" authorId="0" shapeId="0" xr:uid="{00000000-0006-0000-1600-000007000000}">
      <text>
        <r>
          <rPr>
            <b/>
            <sz val="9"/>
            <color indexed="81"/>
            <rFont val="Tahoma"/>
            <family val="2"/>
          </rPr>
          <t>In this example the number of rows to read is set in addition to the number of columns. As a result, after the 1st 2-by-2 block is read, the reading shifts to the next batch of columns (with Tommy in the top-left) and then proceeds to the next batch of rows (with Andy in the top-left).
The direction of reading/writing (left-to-right vs top-to-bottom) is applied within each block, and as in the previous example each block here is written top-to-bottom (TRUE in 4th parameter).</t>
        </r>
      </text>
    </comment>
    <comment ref="I71" authorId="0" shapeId="0" xr:uid="{00000000-0006-0000-1600-000008000000}">
      <text>
        <r>
          <rPr>
            <b/>
            <sz val="9"/>
            <color indexed="81"/>
            <rFont val="Tahoma"/>
            <family val="2"/>
          </rPr>
          <t>When a number of columns or rows to read/write is negative, it will be read in reverse order: right-to-left instead of left-to-right by default, or bottom-to-top instead of top-to-bottom. In this example, the columns to read is set to negative 2 instead of positive 2. As a result, within each 2-by-2 block the values are read right-to-left, the net result being that the girls' names are read first and so appear above the boys' names in the result. If the rows to read were also made negative, then reading would be from bottom-to-top within each block, the impact in this case being that the order of the result columns would flip since the numbers are below the names within each block (so would be read first).</t>
        </r>
      </text>
    </comment>
    <comment ref="H88" authorId="0" shapeId="0" xr:uid="{00000000-0006-0000-1600-000009000000}">
      <text>
        <r>
          <rPr>
            <b/>
            <sz val="9"/>
            <color indexed="81"/>
            <rFont val="Tahoma"/>
            <family val="2"/>
          </rPr>
          <t>If the 2nd param has the special value "invert_lists()" then the method will treat the data as a table with a single row of labels and invert the data and labels. In this example, the unique vehicles from the table data have become the labels in the result, and under each label is a list of associated people from the original table's labels. The ordering of the result columns and data rows is based on the order of appearance in the original table. Blanks and errors on the bottom of each column are trimmed away before the inversion.
When using invert_lists(), the 3rd parameter of U.RESHAPE could optionally be set to TRUE to invert a table laid out horizontally (where single column of row labels is on the left).</t>
        </r>
      </text>
    </comment>
    <comment ref="H104" authorId="0" shapeId="0" xr:uid="{9166E05D-625B-4A91-9F8B-59193D58746E}">
      <text>
        <r>
          <rPr>
            <b/>
            <sz val="9"/>
            <color indexed="81"/>
            <rFont val="Tahoma"/>
            <family val="2"/>
          </rPr>
          <t>If the 2nd param has the special value "rotate(&lt;degrees&gt;)" then the method will rotate the data the specified number of degrees (rounded to the nearest 45 degrees). Here the number of degrees specified is -280, so the data is rotated -270 degrees.</t>
        </r>
      </text>
    </comment>
    <comment ref="G114" authorId="0" shapeId="0" xr:uid="{5A879BBD-527B-433D-9337-01EDB5E98F47}">
      <text>
        <r>
          <rPr>
            <b/>
            <sz val="9"/>
            <color indexed="81"/>
            <rFont val="Tahoma"/>
            <family val="2"/>
          </rPr>
          <t>The rotation in degrees is rounded to the nearest 45 degrees. When data is rotated a multiple of 45 degrees, the diagonals in the data are columns in the result. Here the source data is rotated 45 degrees and coloring is used to illustrate how the diagonals in the original data appear in the result.</t>
        </r>
      </text>
    </comment>
    <comment ref="I121" authorId="0" shapeId="0" xr:uid="{AF7C3837-B035-4AAE-9DE3-0E5162AACBEB}">
      <text>
        <r>
          <rPr>
            <b/>
            <sz val="9"/>
            <color indexed="81"/>
            <rFont val="Tahoma"/>
            <family val="2"/>
          </rPr>
          <t>An optional 2nd parameter can be provided to rotate() that indicates a specific diagonal to extract after performing the rotation. A value of 0 will extract the diagonal starting from the top-left corner. A positive value will extract the diagonal that many places above the zero diagonal, and a negative number will extract the diagonal that many places below it. Here the data is rotated 90 degrees, and then the diagonal 2 below the zero diagonal is returned. The data rotated 90 degrees is shown immediately to the left with the selected diagonal shaded yellow.</t>
        </r>
      </text>
    </comment>
    <comment ref="I131" authorId="0" shapeId="0" xr:uid="{17021D99-32CB-4BF9-BB22-CDBD294E6CAE}">
      <text>
        <r>
          <rPr>
            <b/>
            <sz val="9"/>
            <color indexed="81"/>
            <rFont val="Tahoma"/>
            <family val="2"/>
          </rPr>
          <t>A diagonal can be extracted even when no rotation is performed. Here the zero diagonal of the original, un-rotated data is extracted.</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5" authorId="0" shapeId="0" xr:uid="{00000000-0006-0000-1700-000001000000}">
      <text>
        <r>
          <rPr>
            <b/>
            <sz val="9"/>
            <color indexed="81"/>
            <rFont val="Tahoma"/>
            <family val="2"/>
          </rPr>
          <t>U.ADD_NEWLINES will add blank lines after and/or before values in cells. This can be helpful in creating some consistent spacing, for example in a list that is published to UWeb.
When you select one or more rows in Excel and double-click the dividing line, it will automatically resize each row to fit its content. As seen here, that can sometimes make lists hard to read due to lack of spacing between rows</t>
        </r>
      </text>
    </comment>
    <comment ref="D11" authorId="0" shapeId="0" xr:uid="{00000000-0006-0000-1700-000002000000}">
      <text>
        <r>
          <rPr>
            <b/>
            <sz val="9"/>
            <color indexed="81"/>
            <rFont val="Tahoma"/>
            <family val="2"/>
          </rPr>
          <t>By adding a blank line after the content of each cell, a list can become easier to read. Also, after editing cell contents the consistent spacing can be had by simply selecting the rows and double-clicking the divider since the blank lines will be taken into account when Excel resizes the rows. IMPORTANT: for this method to work as expected, the cells must be formatted to wrap the text in them.
By default U.ADD_NEWLINES will add a single blank row to each cell in the range that contains a string value. The optional 2nd parameter can be used to specify how many rows to append to each cell's content, and the optional 3rd parameter can be used to specify how many blank rows to PREPEND to a each cell's content (default is zero). In both the 2nd and 3rd parameters, a 2nd number could be provided to indicate how many blank spaces to add to the right and left of each line in the cell, respectively.
By default only cells containing string values are changed. By setting the optional 4th parameter to TRUE, even cells with numeric and boolean values will have newlines added</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B08A08F9-61F1-4A52-A7A2-3CA5BF811914}">
      <text>
        <r>
          <rPr>
            <b/>
            <sz val="9"/>
            <color indexed="81"/>
            <rFont val="Tahoma"/>
            <family val="2"/>
          </rPr>
          <t>U.FORMAT_RANGE applies specified formats to cells in specified ranges. The first parameter is the range(s) to which formats will be applied. The 2nd parameter is the list of settings and values, either as a 2-column array (as in this example) or as a comma-delimited string of &lt;setting&gt;=&lt;value&gt; pairs.
Try changing some of the values to the left to see how they are reflected in the "Format Me" cell.
U.FORMAT_RANGE provides a number of options not available with Excel's built-in conditional formatting (see table below for currently available settings). U.FORMAT_RANGE can also be appropriate in cases where there is a desire to avoid constant re-evaluation of conditional formats for performance reasons.</t>
        </r>
      </text>
    </comment>
    <comment ref="E18" authorId="0" shapeId="0" xr:uid="{C708DC12-9DEF-4D9D-8A26-1A0B30824CE0}">
      <text>
        <r>
          <rPr>
            <b/>
            <sz val="9"/>
            <color indexed="81"/>
            <rFont val="Tahoma"/>
            <family val="2"/>
          </rPr>
          <t>U.FORMAT_RANGE can format part of a cell's text value. This is done by including a pipe character after the setting followed by the subtext to be formatted. Multiple sub-strings can be provided by appending multiple pipe-delimited subtext values.
In some cases there may be a need to format a given bit of subtext, but not all occurrences of that subtext in the cell. That can be done by including a larger section of unique subtext, but then surrounding the portion to be highlighted with carrots (^). In the example to the left, the "^this^ red but" string indicates that the word "this" should be formatted, but only when it resides in the larger string "this red but" ...so the 2nd instance of "this" is not colored red.
Excel records subtext formats by position. Therefore, to get desired results as the cell's value changes it will generally be necessary to set the entire cell to some default format and then re-apply the subtext format. A default format can be specified by including a 2nd value in the value parameter, delimited from the primary setting by a pipe character. In this example, the text color is defaulted to black and the style to none before subtext styles are applied. If multiple format lines contain different defaults for the same setting, only the last default for that setting will be applied. Default settings can alternatively be provided by including an additional setting value that begins with default. For example, a setting "defaultTextColor" with a value of "black" could be provided instead of including "|black" as a default in the "textColor" setting. Default settings are only supported for settings that can be applied to partial cell values.
Formatting partial values is only supported by Excel in cases where the cell contains a value, not when it contains a formula. Therefore to have partial formats applied to dynamic data, the values must be pasted in as values (can be easily automated using U.PASTE).</t>
        </r>
      </text>
    </comment>
    <comment ref="E38" authorId="0" shapeId="0" xr:uid="{67D0BF56-711E-4EF8-85A9-E684CF3D1539}">
      <text>
        <r>
          <rPr>
            <b/>
            <sz val="9"/>
            <color indexed="81"/>
            <rFont val="Tahoma"/>
            <family val="2"/>
          </rPr>
          <t>Formats can be applied to individual cells in a range by including a 3rd parameter containing filter values. When the corresponding cell in the filter range is TRUE, then specified formats are applied to the corresponding cell in the range. If the filter contains a pipe character, then it is treated as a subtext filter that applies to only the corresponding cell in the data range. If the filter range is smaller than the data range, the rightmost/bottommost filter available is applied to range values. If the range is multiple pages, a filter range is only assumed to apply to subsequent pages if it is the same size as the subsequent page and no corresponding filter range is provided. Any default values are applied to all cells in the range regardless of filter settings.
In this example, the default text color of "light gray" is applied to all cells, and then the text color of purple is applied as indicated by the filter range. Two of the filter range cells are TRUE, so the corresponding cells in the range are made fully purple. One filter range value is "|x y" so the value of "x y" in the corresponding cell is colored purple. One filter value is "|bc" ...but the combination "bc" does not exist in the corresponding cell, so nothing is colored purple in that cell (the cell contains "b c" ...with a space in between... which is different).
In some cases Excel formats are different when applied cell-by-cell versus to a range of cells at once. To force cell-by-cell application of formats without filtering out any cells, simply provide the singular value TRUE as the filter.</t>
        </r>
      </text>
    </comment>
    <comment ref="E56" authorId="0" shapeId="0" xr:uid="{5EDC6092-6417-4B34-8064-186E092205B5}">
      <text>
        <r>
          <rPr>
            <b/>
            <sz val="9"/>
            <color indexed="81"/>
            <rFont val="Tahoma"/>
            <family val="2"/>
          </rPr>
          <t>To show/hide comments in the range, use the setting "commentVisible" with a value of TRUE or FALSE. Try changing the commentVisible value to in this example to FALSE to see the comment disappear.
The text value of a comments in the range can optionally be returned by specifying a "returnComment" setting with a value of TRUE. If multiple comments exist in the range, the text values are returned as a column of values.
To format the style of the comment box or its text contents, use U.UPDATE_IMAGE.</t>
        </r>
      </text>
    </comment>
    <comment ref="B59" authorId="0" shapeId="0" xr:uid="{ED650875-97BD-4C19-85C3-97B09491C9C9}">
      <text>
        <r>
          <rPr>
            <b/>
            <sz val="9"/>
            <color indexed="81"/>
            <rFont val="Tahoma"/>
            <family val="2"/>
          </rPr>
          <t>I am an example comment</t>
        </r>
      </text>
    </comment>
    <comment ref="B64" authorId="0" shapeId="0" xr:uid="{738502C1-14F8-4DD7-AF06-EA226A1FD8E1}">
      <text>
        <r>
          <rPr>
            <b/>
            <sz val="9"/>
            <color indexed="81"/>
            <rFont val="Tahoma"/>
            <family val="2"/>
          </rPr>
          <t>Most formats that take a number can be given a scale factor by preceding the value with "x". For example, to increase the font size by a factor of 1.2 provide a value of "x1.2".</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8" authorId="0" shapeId="0" xr:uid="{9DBD464F-3355-428D-95DF-D7D2E0BB9024}">
      <text>
        <r>
          <rPr>
            <b/>
            <sz val="9"/>
            <color indexed="81"/>
            <rFont val="Tahoma"/>
            <family val="2"/>
          </rPr>
          <t xml:space="preserve">U.INSERT_IMAGE will insert a specified image into the worksheet at a specified location. The 1st parameter is the image to be inserted - it can be a local file, a Web file, or a generated file. All methods for generating an image for menu buttons in U.MENU are supported here, and like in U.MENU multiple images could be specified and the first able to be retrieved will be inserted. Making the background of the image transparent as described in U.MENU is also supported, though here a transparent background is not the default so the transparency() function must be added and separated from the image path by a comma (make just "transparency()" if no special settings required).
The 2nd parameter is the range where the image should be placed. The top left corner of the image will be placed in the top left corner of the specified range. If no other settings are specified, the image will be inserted with its native size and settings.
Supported image file extensions are .jpg/.jpeg, .png, .gif and .bmp. In this example the image would be a file named "some_image.jpg" that resides on the user's desktop ("desktop" will be converted by U to the full path to the user's desktop folder).
</t>
        </r>
      </text>
    </comment>
    <comment ref="D24" authorId="0" shapeId="0" xr:uid="{A23C43EF-F1D1-4BA6-A765-E8C42F517F47}">
      <text>
        <r>
          <rPr>
            <b/>
            <sz val="9"/>
            <color indexed="81"/>
            <rFont val="Tahoma"/>
            <family val="2"/>
          </rPr>
          <t>As with U.MENU, images can be pulled from multiple sources. Here the image from the top of the sheet is retrieved, and it is inserted to fit the row height and width of the single cell that is selected by setting the 3rd parameter (height) and 4th parameter (width) to "fit" (width set to 0 is an alternate way of indicating "fit"). If one of those two parameters had been left blank, it would have been scaled to fit only one dimension of the cell but the image would have retained its original aspect ratio. The 4th and 5th parameters could also be explicitly be given sizes in pixels ...or one could be given a size in pixels and the other could be set to "fit"... and in that case the image will be sized as specified (again with its native proportions retained if only one setting is provided).
Of course as is visibly apparent here, the aspect ratio has actually been retained. That is because the source image above is a picture that is being inserted as a shape, not an actual MsoAutoShape or chart. If the source of the image were from outside the workbook ...or if an "AsPicture" setting with a value of TRUE were included... then the image would be inserted as a picture and Excel would honor the request to distort the aspect ratio. Different settings will apply to different types of images, so some experimentation may be needed for a given situation.
In this example the 5th "clear" parameter is set to TRUE. By default the insert will fail if the location already has an image in it. By setting the 5th parameter to TRUE, any images in the location will be cleared and the image will be inserted with each recalc. If the 5th parameter is explicitly set to FALSE, then the image will be inserted and overlap any existing images in the range. The 5th parameter could be given a positive number, and in that case it will be interpreted as a number of hours that must elapse before the image is refreshed; for example if it is set to 18, then the image will only be cleared and re-inserted if 18 hours have passed since the image was last retrieved. This can be particularly useful when the image is a URL to a Web location that contains an image which only refreshes once per day. When some non-zero clear value is provided, any current image in the range will always be cleared ...even before the specified number of hours has elapsed... if the name of the image being inserted changes (the name provided by the user, or if not provided then the name of the image file being inserted).
In this example a brightness setting is also provided that makes the image lighter, a rotation setting is provided that makes the image tilted, and a reflectionsize setting is provided that adds a reflected image. See the table below for a list of currently available settings.
When pulling images from elsewhere in the workbook, it is fine to reference an image that is invisible -- the inserted copy will be made visible by default.</t>
        </r>
      </text>
    </comment>
    <comment ref="B35" authorId="0" shapeId="0" xr:uid="{DC98C2D4-57A2-4302-84A9-C131D32FE5F4}">
      <text>
        <r>
          <rPr>
            <b/>
            <sz val="9"/>
            <color indexed="81"/>
            <rFont val="Tahoma"/>
            <family val="2"/>
          </rPr>
          <t>The 6th parameter to U.INSERT_IMAGE can take a 2-column array with one or more additional settings, where the setting is in the left column and its value is in the right column. The table at the bottom of this tab shows the additional settings currently available along with their supported values. Note that Excel is not an image processing application, so results of applying settings may vary. Also note that certain settings may only work on certain types of images (chart, shape or picture). Online documentation from Microsoft regarding image manipulation in Excel is the best source for definitive information. Settings can alternatively be provided as a single string of comma-delimited settings with an equal sign (i.e. "&lt;setting1&gt;=&lt;value&gt;,&lt;setting2&gt;=&lt;value&gt;").
Because width and height settings are explicit method parameters in U.INSERT_IMAGE, those are interpreted differently when included as settings in the 6th parameter. When included, they are treated as offsets to the target range width/height when an explicit width/height is not already specified (they are ignored if height/width parameters are already non-zero or set to "fit"). Similarly, if top/left settings are included in the 6th parameter they are handled as offsets to the top-left of the location cell and not as absolute coordinates.
When inserting images into locations adjacent to other locations that have images fit perfectly, Excel may think the images overlap and therefore the adjacent image could be deleted. One way to avoid this is to set the height (if images are vertically adjacent) and/or width (if images are horizontally adjacent) to a negative number when inserting images. For example, if the height is set to -1 then the image will be sized to fit the height of the location ...but then the height will be reduced by 1 pixel at the bottom of the image so that Excel does not think the image overlaps the cell below.
To avoid the deletion of adjacent images without having sizes adjusted by even one pixel, provide a "tiled" setting. If the value of the tiled setting is TRUE, then a fudge factor will be introduced both vertically and horizontally when detecting overlapping images so that images fit to adjacent cells are not deleted. If images are only vertically adjacent, the tiled value can be "vertical"; if images are only horizontally adjacent it can be "horizontal" (though in both of those cases a value of TRUE will still work fine).
An alternative way to fit images perfectly to adjacent ranges is to set the 3rd (height) and/or 4th (width) parameter to "tile". In that case the image will be fit to the location perfectly, and images fit perfectly in adjacent cells will not be deleted.</t>
        </r>
      </text>
    </comment>
    <comment ref="D68" authorId="0" shapeId="0" xr:uid="{3F5F6D3E-767E-4A84-9E2B-23D36F75D743}">
      <text>
        <r>
          <rPr>
            <b/>
            <sz val="9"/>
            <color indexed="81"/>
            <rFont val="Tahoma"/>
            <family val="2"/>
          </rPr>
          <t>U.UPDATE_IMAGE can be used to update a variety of settings on images. The 1st parameter is a reference to a range containing the image. When multiple images are found in the range, the first range fully enclosed by the specified range will be updated. If no such image is found, then the first image found that overlaps the specified range is updated. The first parameter could also be the name of a registered image instead of a reference to a range (see U.REGISTER_IMAGE below).
The 2nd parameter is a list of settings and values (can alternatively be provided as a comma-delimited list of &lt;setting&gt;=&lt;value&gt;. Try changing some of the settings in the table to see the impact. All of the settings in the table at the bottom of this tab are supported unless the notes column indicates otherwise.
When a range is passed as the 1st parameter and that range contains multiple images, a specific image can be indicated by passing a text and/or alt text filter as described in U.REGISTER_IMAGE below.
U.REGISTER_IMAGE is always calculated automatically when a workbook is opened, and in that way it will ensure images are registered as needed. If the method is deleted, the image is unregistered.
Formatting specific portions of the text (title in charts) is supported the same way as in U.FORMAT_RANGE.</t>
        </r>
      </text>
    </comment>
    <comment ref="B85" authorId="0" shapeId="0" xr:uid="{52F217FB-896F-430A-8DD0-7690B26DF47C}">
      <text>
        <r>
          <rPr>
            <b/>
            <sz val="12"/>
            <color indexed="55"/>
            <rFont val="Times New Roman"/>
            <family val="1"/>
          </rPr>
          <t xml:space="preserve">I am a comment, recently renamed to </t>
        </r>
        <r>
          <rPr>
            <b/>
            <sz val="12"/>
            <color indexed="10"/>
            <rFont val="Times New Roman"/>
            <family val="1"/>
          </rPr>
          <t>note</t>
        </r>
        <r>
          <rPr>
            <b/>
            <sz val="12"/>
            <color indexed="55"/>
            <rFont val="Times New Roman"/>
            <family val="1"/>
          </rPr>
          <t xml:space="preserve"> by Microsoft. Still getting used to that...</t>
        </r>
      </text>
    </comment>
    <comment ref="D87" authorId="0" shapeId="0" xr:uid="{DB1C9C46-EC47-4F7B-8A3C-26E1817D1CE4}">
      <text>
        <r>
          <rPr>
            <b/>
            <sz val="9"/>
            <color indexed="81"/>
            <rFont val="Tahoma"/>
            <family val="2"/>
          </rPr>
          <t>Comments can be edited, but are ignored by default. To edit a comment, include the setting "comment" with a value of TRUE amont the settings. If the name of the comment is not used to specify it, the referenced range can be either the cell containing the comment or a cell that intersects a displayed comment (referencing the cell that contains the comment is recommended).</t>
        </r>
      </text>
    </comment>
    <comment ref="D102" authorId="0" shapeId="0" xr:uid="{1AC6A7A1-9613-47F5-8EF0-C0141B9D7986}">
      <text>
        <r>
          <rPr>
            <b/>
            <sz val="9"/>
            <color indexed="81"/>
            <rFont val="Tahoma"/>
            <family val="2"/>
          </rPr>
          <t>U.REGISTER_IMAGE can be used to register an image with the U add-in by name. When an image is registered, it's name can be used instead of a range reference when calling U.UPDATE_IMAGE and also when making the image a button in U.SET_CLICKVALS.
The first 2 parameters are a range reference and name, respectively. At least one must be specified. If both are specified, then the image in the range is registered using the specified name. If only the range is specified, then the image is registered using its existing name if it has one. If only a name is specified ...or if both are specified but no image is found in the specified range... then if an image exists in the workbook with that name it will be registered. If the 2nd parameter is set to the special value "text()" then the image will be registered with its name set to its text (or title for a chart).
The optional 3rd parameter can be set to TRUE to indicate that the image should be available to be used as a button by U.SET_CLICKVALS.
When multiple images exist in the specified range, the specific image to register can be identified by specifying a filter on either the text or alternative text. Although not needed in this example since it's only a single image in the range, a filter of "AltText=cool robot" is specified ...which will match the alt text of "this is a cool robot" that is set on the image. A filter on "Text" instead of "AltText" will be applied against the text in the shape (title for charts). Both can be specified if separated by commas (e.g. "Text=projections,AltText=scenario 1")</t>
        </r>
      </text>
    </comment>
    <comment ref="F128" authorId="0" shapeId="0" xr:uid="{7C700357-084E-4EB8-8F71-9714DAEA33D7}">
      <text>
        <r>
          <rPr>
            <b/>
            <sz val="9"/>
            <color indexed="81"/>
            <rFont val="Tahoma"/>
            <family val="2"/>
          </rPr>
          <t>If no settings are provided, U.REGISTER_IMAGE returns a report of registered images.</t>
        </r>
      </text>
    </comment>
    <comment ref="B134" authorId="0" shapeId="0" xr:uid="{FA06FD89-B2F1-413C-BA06-62CFB0C7F822}">
      <text>
        <r>
          <rPr>
            <b/>
            <sz val="9"/>
            <color indexed="81"/>
            <rFont val="Tahoma"/>
            <family val="2"/>
          </rPr>
          <t>Most formats that take a number can be given a scale factor by preceding the value with "x". For example, to increase the height by a factor of 1.2 provide a value of "x1.2".</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7" authorId="0" shapeId="0" xr:uid="{00000000-0006-0000-1800-000001000000}">
      <text>
        <r>
          <rPr>
            <b/>
            <sz val="9"/>
            <color indexed="81"/>
            <rFont val="Tahoma"/>
            <family val="2"/>
          </rPr>
          <t>U.CONCAT joins the values of cells into a single string. By default no delimiter is inserted between values.</t>
        </r>
      </text>
    </comment>
    <comment ref="G11" authorId="0" shapeId="0" xr:uid="{00000000-0006-0000-1800-000002000000}">
      <text>
        <r>
          <rPr>
            <b/>
            <sz val="9"/>
            <color indexed="81"/>
            <rFont val="Tahoma"/>
            <family val="2"/>
          </rPr>
          <t xml:space="preserve">A delimiter can optionally be specified as the 2nd parameter. In this example a comma is inserted between each value. A delimiter can be multiple characters.
</t>
        </r>
      </text>
    </comment>
    <comment ref="G15" authorId="0" shapeId="0" xr:uid="{00000000-0006-0000-1800-000003000000}">
      <text>
        <r>
          <rPr>
            <b/>
            <sz val="9"/>
            <color indexed="81"/>
            <rFont val="Tahoma"/>
            <family val="2"/>
          </rPr>
          <t xml:space="preserve">By default delimiters that exist within individual cells are ignored.
</t>
        </r>
      </text>
    </comment>
    <comment ref="G17" authorId="0" shapeId="0" xr:uid="{00000000-0006-0000-1800-000004000000}">
      <text>
        <r>
          <rPr>
            <b/>
            <sz val="9"/>
            <color indexed="81"/>
            <rFont val="Tahoma"/>
            <family val="2"/>
          </rPr>
          <t>To cause delimiters within individual cells to be escaped,  set the optional 4th parameter to TRUE. In this example see that the comma in "ABC, Inc" is escaped with a backslash, which makes it possible to determine the original cell values.</t>
        </r>
      </text>
    </comment>
    <comment ref="G26" authorId="0" shapeId="0" xr:uid="{00000000-0006-0000-1800-000005000000}">
      <text>
        <r>
          <rPr>
            <b/>
            <sz val="9"/>
            <color indexed="81"/>
            <rFont val="Tahoma"/>
            <family val="2"/>
          </rPr>
          <t>By default blank cells are treated as valid values.</t>
        </r>
      </text>
    </comment>
    <comment ref="G28" authorId="0" shapeId="0" xr:uid="{00000000-0006-0000-1800-000006000000}">
      <text>
        <r>
          <rPr>
            <b/>
            <sz val="9"/>
            <color indexed="81"/>
            <rFont val="Tahoma"/>
            <family val="2"/>
          </rPr>
          <t>To have blank cells ignored, set the optional 3rd parameter to TRUE</t>
        </r>
      </text>
    </comment>
    <comment ref="G31" authorId="0" shapeId="0" xr:uid="{00000000-0006-0000-1800-000007000000}">
      <text>
        <r>
          <rPr>
            <b/>
            <sz val="9"/>
            <color indexed="81"/>
            <rFont val="Tahoma"/>
            <family val="2"/>
          </rPr>
          <t>U.CONCAT will join all cells in the provided range. Here a column vector is provided, but it could also be a matrix.
One common use case is for U.CONCAT to create lists used in other methods such as U.VSORT and U.VFILTER.</t>
        </r>
      </text>
    </comment>
    <comment ref="G38" authorId="0" shapeId="0" xr:uid="{00000000-0006-0000-1800-000008000000}">
      <text>
        <r>
          <rPr>
            <b/>
            <sz val="9"/>
            <color indexed="81"/>
            <rFont val="Tahoma"/>
            <family val="2"/>
          </rPr>
          <t>If the optional 4th parameter is set to TRUE, then rows are concatenated individually and the concatenation for each row is returned in a column vector.</t>
        </r>
      </text>
    </comment>
    <comment ref="G45" authorId="0" shapeId="0" xr:uid="{FBA27A43-3A07-4DE0-82E4-4A32465A2507}">
      <text>
        <r>
          <rPr>
            <b/>
            <sz val="9"/>
            <color indexed="81"/>
            <rFont val="Tahoma"/>
            <family val="2"/>
          </rPr>
          <t>If the delimiter is set to the special keyword "newline" then the inputs are delimited by line breaks. If set to "tab" then inputs are delimited by tabs.</t>
        </r>
      </text>
    </comment>
    <comment ref="G49" authorId="0" shapeId="0" xr:uid="{5F10FB93-05FA-40C7-B186-508C2071C205}">
      <text>
        <r>
          <rPr>
            <b/>
            <sz val="9"/>
            <color indexed="81"/>
            <rFont val="Tahoma"/>
            <family val="2"/>
          </rPr>
          <t>In the improbable event that one desires to use the word "newline" as the delimiter, that can be done by escaping it with a backslash. The same is true for "tab".</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6" authorId="0" shapeId="0" xr:uid="{00000000-0006-0000-1900-000001000000}">
      <text>
        <r>
          <rPr>
            <b/>
            <sz val="9"/>
            <color indexed="81"/>
            <rFont val="Tahoma"/>
            <family val="2"/>
          </rPr>
          <t>U.SPLIT will split the value of a single cell into a row vector. If no delimiter is provided, the characters of the cell are split across a row vector.</t>
        </r>
      </text>
    </comment>
    <comment ref="F10" authorId="0" shapeId="0" xr:uid="{00000000-0006-0000-1900-000002000000}">
      <text>
        <r>
          <rPr>
            <b/>
            <sz val="9"/>
            <color indexed="81"/>
            <rFont val="Tahoma"/>
            <family val="2"/>
          </rPr>
          <t>Usually values need to be split on one or more delimiters, which can be accomplished by passing the delimiter as the optional 2nd parameter. Here a comma is passed as the delimiter. A delimiter can be more than a single character.</t>
        </r>
      </text>
    </comment>
    <comment ref="G14" authorId="0" shapeId="0" xr:uid="{00000000-0006-0000-1900-000003000000}">
      <text>
        <r>
          <rPr>
            <b/>
            <sz val="9"/>
            <color indexed="81"/>
            <rFont val="Tahoma"/>
            <family val="2"/>
          </rPr>
          <t>By default, escaping of delimiters is not recognized.</t>
        </r>
      </text>
    </comment>
    <comment ref="F16" authorId="0" shapeId="0" xr:uid="{00000000-0006-0000-1900-000004000000}">
      <text>
        <r>
          <rPr>
            <b/>
            <sz val="9"/>
            <color indexed="81"/>
            <rFont val="Tahoma"/>
            <family val="2"/>
          </rPr>
          <t>To avoid splitting on an escaped delimiter, pass the escape character as the optional 3rd parameter. Here a backslash is provided as the escape character, so commas preceded by a backslash are not treated as delimiters. As seen here, the escape character is removed after the split is performed. Only single-character escapes are supported.</t>
        </r>
      </text>
    </comment>
    <comment ref="H24" authorId="0" shapeId="0" xr:uid="{E23C3B36-C5C0-4C52-9427-FF1ED36B0012}">
      <text>
        <r>
          <rPr>
            <b/>
            <sz val="9"/>
            <color indexed="81"/>
            <rFont val="Tahoma"/>
            <family val="2"/>
          </rPr>
          <t>By default no closures are recognized. Here "ABC, Inc" is split because the delimiter is a comma.</t>
        </r>
      </text>
    </comment>
    <comment ref="G26" authorId="0" shapeId="0" xr:uid="{B710C8CD-6DB2-4983-A8F7-A4CE2DD67A26}">
      <text>
        <r>
          <rPr>
            <b/>
            <sz val="9"/>
            <color indexed="81"/>
            <rFont val="Tahoma"/>
            <family val="2"/>
          </rPr>
          <t>Closure characters can be specified in the optional 4th parameter. If only a single character is provided, it is treated as both the start and end of the closure. Here a double quote is specified, so splits do not occur on commas between double quotes.</t>
        </r>
      </text>
    </comment>
    <comment ref="G30" authorId="0" shapeId="0" xr:uid="{A4CD1D1A-F649-4843-8956-04A88347478F}">
      <text>
        <r>
          <rPr>
            <b/>
            <sz val="9"/>
            <color indexed="81"/>
            <rFont val="Tahoma"/>
            <family val="2"/>
          </rPr>
          <t>To have the closures removed from the result, provide a 2nd cell in the 4th parameter that is TRUE. See here how now the quotes are removed from "ABC, Inc". Note that quotes still exist around Delta because there was no delimiter so the quotes are not treated as closures (that is, no closures were necessary).</t>
        </r>
      </text>
    </comment>
    <comment ref="G33" authorId="0" shapeId="0" xr:uid="{B8BD3C66-3080-43F6-8002-C53877A1493B}">
      <text>
        <r>
          <rPr>
            <b/>
            <sz val="9"/>
            <color indexed="81"/>
            <rFont val="Tahoma"/>
            <family val="2"/>
          </rPr>
          <t>To have closure characters removed even if they were not necessary (so not treated as closures) provide a 3rd value also set to TRUE.</t>
        </r>
      </text>
    </comment>
    <comment ref="G38" authorId="0" shapeId="0" xr:uid="{339A36F1-1418-4259-AB61-A9FAF19E710A}">
      <text>
        <r>
          <rPr>
            <b/>
            <sz val="9"/>
            <color indexed="81"/>
            <rFont val="Tahoma"/>
            <family val="2"/>
          </rPr>
          <t>If the start and end of the closure is different …such as parentheses as in this example… then provide both characters. The 1st is the opener and the 2nd is the closer. Only non-blank characters are considered, and additional characters provided are ignored.</t>
        </r>
      </text>
    </comment>
    <comment ref="G43" authorId="0" shapeId="0" xr:uid="{00000000-0006-0000-1900-000005000000}">
      <text>
        <r>
          <rPr>
            <b/>
            <sz val="9"/>
            <color indexed="81"/>
            <rFont val="Tahoma"/>
            <family val="2"/>
          </rPr>
          <t>Any number of delimiters can be specified, and any or all of the delimiters can be multiple characters as needed. Here two delimiters are hard-coded into the equation, but they could alternatively be in a range of cells that is referenced by the equation.</t>
        </r>
      </text>
    </comment>
    <comment ref="E46" authorId="0" shapeId="0" xr:uid="{00000000-0006-0000-1900-000006000000}">
      <text>
        <r>
          <rPr>
            <b/>
            <sz val="9"/>
            <color indexed="81"/>
            <rFont val="Tahoma"/>
            <family val="2"/>
          </rPr>
          <t>Delimiters can be as elaborate as required. Here the entire identifier for each value is listed as a delimiter, along with a comma. The method is then nested inside an U.HFILTER call without any filter params specified, which causes blank columns to be removed. The result is that only the desired values are rendered in the cells.</t>
        </r>
      </text>
    </comment>
    <comment ref="F52" authorId="0" shapeId="0" xr:uid="{00000000-0006-0000-1900-000007000000}">
      <text>
        <r>
          <rPr>
            <b/>
            <sz val="9"/>
            <color indexed="81"/>
            <rFont val="Tahoma"/>
            <family val="2"/>
          </rPr>
          <t>If a column vector is selected, then each cell in the column will be split individually. Multiple columns can be provided, but then each value in a row will be processed independently and all resulting splits for the row joined horizontally.</t>
        </r>
      </text>
    </comment>
    <comment ref="G59" authorId="0" shapeId="0" xr:uid="{B79FD544-65E6-4B84-844C-0A8C134C5EAB}">
      <text>
        <r>
          <rPr>
            <b/>
            <sz val="9"/>
            <color indexed="81"/>
            <rFont val="Tahoma"/>
            <family val="2"/>
          </rPr>
          <t>If the delimiter is placed in a special "skip()" method that contains the delimiter, a comma, and a number of delimiters to skip, then the specified number of delimiters will be skipped before the splitting is applied. A negative number indicates to skip the specified number of delimiters from the end of the input.</t>
        </r>
      </text>
    </comment>
    <comment ref="G62" authorId="0" shapeId="0" xr:uid="{B4DFDCDE-60DD-412C-AC85-4CD3797974B4}">
      <text>
        <r>
          <rPr>
            <b/>
            <sz val="9"/>
            <color indexed="81"/>
            <rFont val="Tahoma"/>
            <family val="2"/>
          </rPr>
          <t>A third parameter can optionally be provided to the skip() method to specify the maximum number of splits to perform (after any skips, if the 2nd parameter is non-zero). Starting from the right is again supported by providing a negative skip number in the 2nd parameter. The sign of the 3rd parameter is ignored unless the 2nd parameter is zero, in which case a negative max splits will cause splits to start from the right. As done here, if the delimiter inside the skip() function is a comma, it must be escaped with a backslash to it is interpreted properly.</t>
        </r>
      </text>
    </comment>
    <comment ref="G67" authorId="0" shapeId="0" xr:uid="{00000000-0006-0000-1900-000009000000}">
      <text>
        <r>
          <rPr>
            <b/>
            <sz val="9"/>
            <color indexed="81"/>
            <rFont val="Tahoma"/>
            <family val="2"/>
          </rPr>
          <t>When multiple delimiters are specified, the longest are always processed first regardless of the order presented. When a larger delimiter is skipped, the values in that larger delimiter are treated as valid candidates for smaller delimiters. In this example, the first "xx" delimiter is skipped, so its values are candidates for the smaller "x" delimiter ...which skips the first x as directed and splits on the 2nd</t>
        </r>
      </text>
    </comment>
    <comment ref="G74" authorId="0" shapeId="0" xr:uid="{64D5536D-B474-4335-849E-EA9D72F87A85}">
      <text>
        <r>
          <rPr>
            <b/>
            <sz val="9"/>
            <color indexed="81"/>
            <rFont val="Tahoma"/>
            <family val="2"/>
          </rPr>
          <t>By default, splits are not case-sensitive. See in this example how the split occurs on either upper-case or lower-case "x"</t>
        </r>
      </text>
    </comment>
    <comment ref="G76" authorId="0" shapeId="0" xr:uid="{64B41F6C-DE26-4868-B062-92E1F8D792A6}">
      <text>
        <r>
          <rPr>
            <b/>
            <sz val="9"/>
            <color indexed="81"/>
            <rFont val="Tahoma"/>
            <family val="2"/>
          </rPr>
          <t>For a case-sensitive split, wrap the delimiter in a match_case(&lt;delimiter&gt;) method. Here the splits only occur on the capital Xs. Case-sensitive splits can still be skipped by using skip(match_case(&lt;delimiter&gt;))</t>
        </r>
      </text>
    </comment>
    <comment ref="G81" authorId="0" shapeId="0" xr:uid="{C8E03ED8-0B94-4ED4-9E87-719F06BBFE49}">
      <text>
        <r>
          <rPr>
            <b/>
            <sz val="9"/>
            <color indexed="81"/>
            <rFont val="Tahoma"/>
            <family val="2"/>
          </rPr>
          <t>Sometimes a user may wish to split a string every fixed number of characters. That can be done by wrapping the delimiter in len(&lt;size&gt;). Here the split is every 4 characters; the stub is in the last cell.</t>
        </r>
      </text>
    </comment>
    <comment ref="G83" authorId="0" shapeId="0" xr:uid="{D8BB71CC-7114-42CA-9AB2-D7BBE29A06D1}">
      <text>
        <r>
          <rPr>
            <b/>
            <sz val="9"/>
            <color indexed="81"/>
            <rFont val="Tahoma"/>
            <family val="2"/>
          </rPr>
          <t>To have the length-based split performed from the end of the string, provide a negative parameter to the len(&lt;size&gt;) function. See how now the stub is in the first cell.</t>
        </r>
      </text>
    </comment>
    <comment ref="G87" authorId="0" shapeId="0" xr:uid="{ED14CAAD-2ECB-47AF-A39B-59B8C0A37576}">
      <text>
        <r>
          <rPr>
            <b/>
            <sz val="9"/>
            <color indexed="81"/>
            <rFont val="Tahoma"/>
            <family val="2"/>
          </rPr>
          <t>To limit the number of length-based splits, provide a 2nd param in the length function that specifies the number of splits. Here the split every 2 characters is only performed twice, and the remainder of the string is returned as the stub.
Multiple length-based splits can be provided, but they will only be applied until the entirety of the original string has been impacted by them.</t>
        </r>
      </text>
    </comment>
    <comment ref="J95" authorId="0" shapeId="0" xr:uid="{09B0282F-8FAC-4E2D-8A27-31A80C79F3BD}">
      <text>
        <r>
          <rPr>
            <b/>
            <sz val="9"/>
            <color indexed="81"/>
            <rFont val="Tahoma"/>
            <family val="2"/>
          </rPr>
          <t>When length-based splits are included along with other splits, the length-based splits are performed on each value that results from splitting based on other split params. Here the split on the lower-case 'x' is performed first, then the splitting every 3 characters is done on each substring. This example also shows how multiple columns of data are joined horizontally.</t>
        </r>
      </text>
    </comment>
    <comment ref="K102" authorId="0" shapeId="0" xr:uid="{332D635E-8251-40C8-A52B-66CC0D61095D}">
      <text>
        <r>
          <rPr>
            <b/>
            <sz val="9"/>
            <color indexed="81"/>
            <rFont val="Tahoma"/>
            <family val="2"/>
          </rPr>
          <t>Multiple length parameters can be provided, and they will be applied in the order provided until they have covered the entire input string. As always, any non-len() splits are performed first and then the len() splits are performed on each resulting string.
In this example, the splits on a blank (" ") and the colon are performed first. Then on each resulting substring the length-based splits are applied. The result is just a row of values, but U.RESHAPE is used here to make the layout more readable.</t>
        </r>
      </text>
    </comment>
    <comment ref="I118" authorId="0" shapeId="0" xr:uid="{16287FE8-257F-42FB-86AC-CCC33D8D247E}">
      <text>
        <r>
          <rPr>
            <b/>
            <sz val="9"/>
            <color indexed="81"/>
            <rFont val="Tahoma"/>
            <family val="2"/>
          </rPr>
          <t>If the words "newline" or "tab" are specified as delimiters, then the line is split by the newline and tab characters, respectively. If the desire is to literally split on the actual words "newline" or "tab" then escape them with a backslash when specifying them as delimiters (e.g. "\newline")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10" authorId="0" shapeId="0" xr:uid="{00000000-0006-0000-0200-000001000000}">
      <text>
        <r>
          <rPr>
            <b/>
            <sz val="9"/>
            <color indexed="81"/>
            <rFont val="Tahoma"/>
            <family val="2"/>
          </rPr>
          <t>Subscribe to real-time data updates by calling U.SUBSCRIBE with the desired report group and report name. U.SUBSCRIBE uses Excel's RTD functionality to calculate this cell when a new version of the specified report is published to the U Server.
The value returned by U.SUBSCRIBE is the fully qualified topic for the report in the form of &lt;entity&gt;/&lt;report_group&gt;/&lt;report_name&gt;. A local timestamp indicating when the report was published is appended, separated from the topic by a single pipe character.
If only the first parameter is provided and it does not look like a valid topic, the suscription will be for updates to values cached by that key.
U.SUBSCRIBE can also be used to configure auto-subscribe of topics that contain functions. See description of auto_subscribe parameter to the right and also documentation of U.DISTRIBUTE_FUNCTIONS method for details.</t>
        </r>
      </text>
    </comment>
    <comment ref="C15" authorId="0" shapeId="0" xr:uid="{00000000-0006-0000-0200-000002000000}">
      <text>
        <r>
          <rPr>
            <b/>
            <sz val="9"/>
            <color indexed="81"/>
            <rFont val="Tahoma"/>
            <family val="2"/>
          </rPr>
          <t>Use U.GET to display the contents of U reports. Note how U.GET references the cell containing U.SUBSCRIBE - this ensures that it recalculates and displays current content whenever a new version of the report is available (i.e., after U.SUBSCRIBE recalculates).
Excel's RTD functionality only supports single cells, but most U reports will contain a matrix of cells. This is why the 2-method approach is used: a single-cell RTD call (U.SUBSCRIBE) indicates the availability of an update, and a multi-cell non-RTD call (U.GET) displays the updated report.
Note that U.GET is entered as an Excel array formula, as indicated by the curly braces around the formula in the Excel formula bar. To enter an array formula, select the range where you want the values displayed and enter the desired formula (U.GET in this case) then press Control-Shift-Enter (instead of just Enter). Beginning with Excel 2019 (and updates to Excel 2016), use of an array formula is no longer required since the report values will automatically be spread out over a sufficiently large range of cells (or the Excel #SPILL! error will be returned if the cells needed to display the report are not empty).</t>
        </r>
      </text>
    </comment>
    <comment ref="C25" authorId="0" shapeId="0" xr:uid="{00000000-0006-0000-0200-000003000000}">
      <text>
        <r>
          <rPr>
            <b/>
            <sz val="9"/>
            <color indexed="81"/>
            <rFont val="Tahoma"/>
            <family val="2"/>
          </rPr>
          <t>It is not necessary to display a report in order to consume its content. Here the call to U.GET is nested inside a native VLOOKUP call.
IMPORTANT CAVEAT: In this example the U.SUBSCRIBE call is nested inside of the U.GET call. However, this should only be done in the relatively rare case where the U.GET call is confined to a single cell. Because U.SUBSCRIBE is an RTD method, Excel will re-evaluate the equation once for each cell in the matrix if nested in an U.GET that spans many cells. That is naturally very bad for spreadsheet performance. In nearly all common cases U.SUBSCRIBE should be placed into its own cell and that cell should be referenced by other methods.</t>
        </r>
      </text>
    </comment>
    <comment ref="C34" authorId="0" shapeId="0" xr:uid="{94F0D7B2-D13D-4CB1-A0DE-A3535528492A}">
      <text>
        <r>
          <rPr>
            <b/>
            <sz val="9"/>
            <color indexed="81"/>
            <rFont val="Tahoma"/>
            <family val="2"/>
          </rPr>
          <t>U.GET_LIVE subscribes to report updates and displays the updated data in real-time with a single call, and so can be simpler than using U.SUBSCRIBE + U.GET in many scenarios. This is a special wrapper function around Excel's native RTD functionality, and so works around the limitation that RTD only supports single values. If doing heavy processing on data, it can be more efficient to have an U.SUBSCRIBE call in a single cell and then reference that by other methods that are doing the processing.
If using a recent version of Excel that supports dynamic arrays, U.GET_LIVE can be entered as a standard formula in a single cell and the data will automatically populate the correct number of surrounding cells (true for all methods that return more than a single value).</t>
        </r>
      </text>
    </comment>
    <comment ref="C47" authorId="0" shapeId="0" xr:uid="{00000000-0006-0000-0200-000004000000}">
      <text>
        <r>
          <rPr>
            <b/>
            <sz val="9"/>
            <color indexed="81"/>
            <rFont val="Tahoma"/>
            <family val="2"/>
          </rPr>
          <t>It is also possible to call U.GET by passing the desired report group and report name directly. When called this way, the report will be retrieved from the U server the first time it is called and then cached in the U Add-In. Subsequent calls to U.GET will retrieve the cached report, which will not be current if newer data had been published to the U Server. This way of calling U.GET is used when a user explicitly does not want to receive live data updates.</t>
        </r>
      </text>
    </comment>
    <comment ref="C56" authorId="0" shapeId="0" xr:uid="{00000000-0006-0000-0200-000005000000}">
      <text>
        <r>
          <rPr>
            <b/>
            <sz val="9"/>
            <color indexed="81"/>
            <rFont val="Tahoma"/>
            <family val="2"/>
          </rPr>
          <t>In some cases the user may not want to receive live updates, but still wants to occasionally force a refresh of the report that is returned by U.GET. This can be done by passing the report group and report name into U.REFRESH. The U.REFRESH method will return a value consistent with what U.SUBSCRIBE returns, but will not update automatically when new data is available in the server. An U.GET call can reference a cell with U.REFRESH in just the same way that it would reference a cell with U.SUBSCRIBE, but users can use custom logic to define when that U.REFRESH cell recalculates and therefore updates the report to latest version. In this example, the U.REFRESH call is nested in an U.DO whose trigger is an U.NOW that ticks every 60 seconds -- so the report's data will be refreshed from the server every 60 seconds (unless the sheet is also calling U.SUBSCRIBE for the report somewhere, in which case it will still update whenever new data is available).
If a report is protected by a report secret, the correct secret will need to be provided in the metadata of the U.REFRESH call in order for the data to be refreshed (see info about report secrets on the SECURITY tab).
U.REFRESH is an RTD method just like U.SUBSCRIBE, so the same caveat applies: it should be placed in its own cell and referenced, not nested in a multi-cell array formula.
If a special metadata key of U.NEW_SESSION is included then a distinct session with the server will be formed to submit the refresh request. This is intended for use only as a very temporary stop-gap in cases where latencies are induced by extreme load and/or sub-optimal sheet design.
By default, U.REFRESH will not update a report more frequently than once every 3 seconds even if it is recalculated more frequently than that. A custom metadata entry with key "U.MIN_REFRESH_DELAY_SECONDS" can be passed as a custom metadata entry to change that 3 second threshold: either the number of seconds to use, or zero (or blank) to refresh with every recalc.</t>
        </r>
      </text>
    </comment>
    <comment ref="C77" authorId="0" shapeId="0" xr:uid="{00000000-0006-0000-0200-000006000000}">
      <text>
        <r>
          <rPr>
            <b/>
            <sz val="9"/>
            <color indexed="81"/>
            <rFont val="Tahoma"/>
            <family val="2"/>
          </rPr>
          <t>The third parameter in U.GET indicates the page number to be retrieved. The first page is always returned when no page number is specified. A user is free to set the third parameter to 1 explicitly in order to retrieve the first page of a multi-page report, but doing so is not required.
An alternate way to get another page is to append a pipe character surrounded by spaces followed by a page indicator, either a page name or a page number (e.g. " | 2"), to the result of the U.SUBSCRIBE call. That is the way to feed pages other than the first page into other utility methods. If done for U.GET, the indicated page number will only be used if no explicit page number is provided. (If there is a desire to have the character pattern of a pipe character surrounded by spaces as part of a topic name, then precede the pattern with a backslash to escape it.)</t>
        </r>
      </text>
    </comment>
    <comment ref="C82" authorId="0" shapeId="0" xr:uid="{00000000-0006-0000-0200-000007000000}">
      <text>
        <r>
          <rPr>
            <b/>
            <sz val="9"/>
            <color indexed="81"/>
            <rFont val="Tahoma"/>
            <family val="2"/>
          </rPr>
          <t>In this example the 3rd parameter is set to 2, so the second page of the multi-page report is returned.</t>
        </r>
      </text>
    </comment>
    <comment ref="C93" authorId="0" shapeId="0" xr:uid="{00000000-0006-0000-0200-000008000000}">
      <text>
        <r>
          <rPr>
            <b/>
            <sz val="9"/>
            <color indexed="81"/>
            <rFont val="Tahoma"/>
            <family val="2"/>
          </rPr>
          <t>If the pages are named, then page names can be used to get individual pages instead of column numbers. Here the page named "MarketPrices" is retrieved, which as shown above is the 2nd page in the report.</t>
        </r>
      </text>
    </comment>
    <comment ref="C98" authorId="0" shapeId="0" xr:uid="{00000000-0006-0000-0200-000009000000}">
      <text>
        <r>
          <rPr>
            <b/>
            <sz val="9"/>
            <color indexed="81"/>
            <rFont val="Tahoma"/>
            <family val="2"/>
          </rPr>
          <t>U.GET will do its best to resolve an input to a valid page name. Here all that is specified is "iskm" and U.GET returns the RiskMetrics page ("RiskMetrics" contains "iskm" in it), which is the first page of the report. See here that page names are not case sensitive, as the match occurs even though the "m" is capitalized in the actual report name.
If a page existed that were literally called "iskm" it would have been returned instead of the RiskMetrics page. Also a page whose name only started with "iskm" would have been given priority. If a specified name cannot be resolved, the first page of the report is returned.
If a page is given a name that is also a valid page number, its value as a page number will be given priority. For example, if the first page of this report had been given the name "2" then getting "2" would return the 2nd page (ie, the 2 would be treated as a page number instead of a page name). This is necessary because otherwise there would be no way to retrieve the 2nd page of the report if it were unnamed. For this reason, using integers for page names is not recommended.
Names containing double quotes ("), square brackets ([ ]) or commas (,) are not allowed (as with all metadata values). These characters will be stripped from any names that include them.</t>
        </r>
      </text>
    </comment>
    <comment ref="D115" authorId="0" shapeId="0" xr:uid="{00000000-0006-0000-0200-00000A000000}">
      <text>
        <r>
          <rPr>
            <b/>
            <sz val="9"/>
            <color indexed="81"/>
            <rFont val="Tahoma"/>
            <family val="2"/>
          </rPr>
          <t>U.GET_METADATA can be called in the same ways as U.GET: either by referencing a cell with an U.SUBSCRIBE call, or by passing a report group and report name. Instead of returning report content, U.GET_METADATA returns the report's metadata. Page numbers are not relevant for U.GET_METADATA, as there is a single set of metadata for an entire report.
The metadata is returned in three columns: key, value and data type. All metadata values are passed as strings (the type parameter exists so that apps can more easily parse values for display as needed).</t>
        </r>
      </text>
    </comment>
    <comment ref="C136" authorId="0" shapeId="0" xr:uid="{00000000-0006-0000-0200-00000B000000}">
      <text>
        <r>
          <rPr>
            <b/>
            <sz val="9"/>
            <color indexed="81"/>
            <rFont val="Tahoma"/>
            <family val="2"/>
          </rPr>
          <t>U.GET_METADATA optionally takes a metadata key "clue" as a 3rd parameter. When a clue is provided, the method will return the value for that key instead of the entire set of metadata. It first searches for a metadata key that exactly matches the clue, then a metadata key that starts with the clue, and finally a metadata key that includes the clue. If the specified metadata cannot be found an error is returned.</t>
        </r>
      </text>
    </comment>
    <comment ref="C139" authorId="0" shapeId="0" xr:uid="{00000000-0006-0000-0200-00000C000000}">
      <text>
        <r>
          <rPr>
            <b/>
            <sz val="9"/>
            <color indexed="81"/>
            <rFont val="Tahoma"/>
            <family val="2"/>
          </rPr>
          <t>Whether displaying the full metadata or a single field, if the optional 4th parameter is set to TRUE then values will be converted from strings to their non-string types where meaningful.</t>
        </r>
      </text>
    </comment>
    <comment ref="D141" authorId="0" shapeId="0" xr:uid="{8AC2D31F-4E31-4BF2-A750-99EED1394B5B}">
      <text>
        <r>
          <rPr>
            <b/>
            <sz val="9"/>
            <color indexed="81"/>
            <rFont val="Tahoma"/>
            <family val="2"/>
          </rPr>
          <t>If the 4th parameter is 2-columns wide and the 2nd column contains the boolean value TRUE, then the returned result will include an indicator of the metadata type.</t>
        </r>
      </text>
    </comment>
    <comment ref="D147" authorId="0" shapeId="0" xr:uid="{00000000-0006-0000-0200-00000D000000}">
      <text>
        <r>
          <rPr>
            <b/>
            <sz val="9"/>
            <color indexed="81"/>
            <rFont val="Tahoma"/>
            <family val="2"/>
          </rPr>
          <t>If the 3rd parameter is set to "TOC" then U.GET_METADATA returns a "table of contents" array containing the following info about pages in the report: page number, page name (or blank if not named), and page size (displays "null" if report page is null).</t>
        </r>
      </text>
    </comment>
    <comment ref="H155" authorId="0" shapeId="0" xr:uid="{C99D8647-E67E-4CE1-B436-8590E6ED4056}">
      <text>
        <r>
          <rPr>
            <b/>
            <sz val="9"/>
            <color indexed="81"/>
            <rFont val="Tahoma"/>
            <family val="2"/>
          </rPr>
          <t>U.TOPICS_REPORT returns a report of uptick topics used in the current instance of Excel per Excel workbook that used them (so a topic may appear more than once if used by multiple Excel workbooks in the current instance of Excel). The report also contains the most recent timestamp on the data, and an indication of whether the workbook has published and/or subscribed to the topic.
For performance reasons, data on gets and subscribes is not collected until U.TOPICS_REPORT is called at least once ...since wasteful to collect data that is not used. Therefore to see complete data the report should be called, and then the workbook should be fully recalculated.
The report is not live, but rather is constructed from current data whenever the method is calculated. If the desire is to have this recompute regularly to support automatic monitoring of stale reports, you can nest inside of U.DO with an appropriate trigger parameter. For example...
  =U.DO(U.TOPICS_REPORT(),U.NOW(10))
...will cause the report to automatically update every 10 seconds, since the trigger parameter of U.NOW(10) will recalculate every 10 seconds.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6" authorId="0" shapeId="0" xr:uid="{C0CBDF32-96BD-420E-8E27-D4A84575A3B8}">
      <text>
        <r>
          <rPr>
            <b/>
            <sz val="9"/>
            <color indexed="81"/>
            <rFont val="Tahoma"/>
            <family val="2"/>
          </rPr>
          <t>U.FIND returns the location of specified substrings within text, or a #VALUE! Error if the substring is not found. It is a more functional version of Excel's native FIND / SEARCH functions.
The 1st parameter is one or more substrings to find within the specified text. The 2nd parameter is the text. Here the substring "dom" is found at the 9th character of the text.</t>
        </r>
      </text>
    </comment>
    <comment ref="F11" authorId="0" shapeId="0" xr:uid="{149CB5EB-B2DD-458A-8A86-F6A72AED4707}">
      <text>
        <r>
          <rPr>
            <b/>
            <sz val="9"/>
            <color indexed="81"/>
            <rFont val="Tahoma"/>
            <family val="2"/>
          </rPr>
          <t>Multiple substrings can be provided and the index of the leftmost substring will be returned. In this example "RAN" is found before "dom" so its index is returned. Note that by default the match is not case-sensitive so "RAN" matches even though the casing does not match.</t>
        </r>
      </text>
    </comment>
    <comment ref="F16" authorId="0" shapeId="0" xr:uid="{CC07E132-0C8C-476E-B5F0-97D667F7AA92}">
      <text>
        <r>
          <rPr>
            <b/>
            <sz val="9"/>
            <color indexed="81"/>
            <rFont val="Tahoma"/>
            <family val="2"/>
          </rPr>
          <t>The start of the search can be specified in the optional 3rd parameter. Here the 3rd parameter is set to 7, which is after the occurrence of "RAN" …so only "dom" is found and its index is returned.</t>
        </r>
      </text>
    </comment>
    <comment ref="F20" authorId="0" shapeId="0" xr:uid="{930C062E-1A21-4850-A30B-1E1293254FD5}">
      <text>
        <r>
          <rPr>
            <b/>
            <sz val="9"/>
            <color indexed="81"/>
            <rFont val="Tahoma"/>
            <family val="2"/>
          </rPr>
          <t>The search can be made case-sensitive by setting the optional 4th parameter to TRUE. In this case the start index is not set, but the search is case-sensitive …so again "RAN" is not matched and the index of "dom" is returned.</t>
        </r>
      </text>
    </comment>
    <comment ref="F25" authorId="0" shapeId="0" xr:uid="{D15E68E9-4413-4902-ACB8-696F704BBB6B}">
      <text>
        <r>
          <rPr>
            <b/>
            <sz val="9"/>
            <color indexed="81"/>
            <rFont val="Tahoma"/>
            <family val="2"/>
          </rPr>
          <t>The search can be performed from right to left by setting the optional 5th parameter to TRUE. In this example there is no start position or case-sensitivity set …but the index of "dom" is returned because the search is right-to-left and that is the right-most substring.</t>
        </r>
      </text>
    </comment>
    <comment ref="F29" authorId="0" shapeId="0" xr:uid="{DE3EBC18-6DCF-441E-834D-2369FEA68D15}">
      <text>
        <r>
          <rPr>
            <b/>
            <sz val="9"/>
            <color indexed="81"/>
            <rFont val="Tahoma"/>
            <family val="2"/>
          </rPr>
          <t>If the 3rd parameter is negative, the start of the search will be that many characters from the end of the text. Here the start position is -16, which is the 7th character from the left (the "a" in "random"). So the search begins at that point, and since it is a right-to-left search the "RAN" is the only substring found so its index is returned.</t>
        </r>
      </text>
    </comment>
    <comment ref="I34" authorId="0" shapeId="0" xr:uid="{BF4CB67D-4620-4825-9D50-46B92676FBBA}">
      <text>
        <r>
          <rPr>
            <b/>
            <sz val="9"/>
            <color indexed="81"/>
            <rFont val="Tahoma"/>
            <family val="2"/>
          </rPr>
          <t>Multiple text inputs can be provided, and the search for substrings will be performed against each independently.</t>
        </r>
      </text>
    </comment>
    <comment ref="I40" authorId="0" shapeId="0" xr:uid="{8E37953A-F409-4D2D-8D3C-234A457CAC20}">
      <text>
        <r>
          <rPr>
            <b/>
            <sz val="9"/>
            <color indexed="81"/>
            <rFont val="Tahoma"/>
            <family val="2"/>
          </rPr>
          <t>If the optional 6th parameter is set to TRUE, the index of every occurrence found will be returned as comma-delimited values.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H5" authorId="0" shapeId="0" xr:uid="{00000000-0006-0000-1A00-000001000000}">
      <text>
        <r>
          <rPr>
            <b/>
            <sz val="9"/>
            <color indexed="81"/>
            <rFont val="Tahoma"/>
            <family val="2"/>
          </rPr>
          <t>U.FORMAT_STRING will insert substrings into another string at specified locations using C# string formatting syntax. In this example there are 2 locations specified in the Format string: {0} and {1} (the {0} is repeated). Each string in the row of substrings provided as the 2nd argument are inserted into the Format string location associated with its position in the row.
If more substrings are provided than there are placeholders specified in the format string, excess substrings will be ignored. If there are too few placeholders specified, the original format string will be returned.</t>
        </r>
      </text>
    </comment>
    <comment ref="H17" authorId="0" shapeId="0" xr:uid="{00000000-0006-0000-1A00-000002000000}">
      <text>
        <r>
          <rPr>
            <b/>
            <sz val="9"/>
            <color indexed="81"/>
            <rFont val="Tahoma"/>
            <family val="2"/>
          </rPr>
          <t>An array of format strings can be provided, and each will be filled with substrings from the corresponding row of substrings, or the bottommost row of substrings if there are more rows of format strings than there are rows of substrings.</t>
        </r>
      </text>
    </comment>
    <comment ref="H28" authorId="0" shapeId="0" xr:uid="{00000000-0006-0000-1A00-000003000000}">
      <text>
        <r>
          <rPr>
            <b/>
            <sz val="9"/>
            <color indexed="81"/>
            <rFont val="Tahoma"/>
            <family val="2"/>
          </rPr>
          <t>If multiple insertion ranges are provided, they will be joined horizontally and treated as though they were passed in that way. If the ranges are different lengths, then the final value of each will be copied down to the bottom of the resulting matrix of insertions.</t>
        </r>
      </text>
    </comment>
    <comment ref="H39" authorId="0" shapeId="0" xr:uid="{00000000-0006-0000-1A00-000004000000}">
      <text>
        <r>
          <rPr>
            <b/>
            <sz val="9"/>
            <color indexed="81"/>
            <rFont val="Tahoma"/>
            <family val="2"/>
          </rPr>
          <t>If the optional 3rd parameter is set to TRUE, then the insertions are done by named variables. In this case the source text would have keys surrounded by curly braces that will be replaced by the values indicated in the insertions array.
To prevent a key in the source text from being treated as a key, escape the opening curly brace with a backspace ('\').
When the 3rd parameter is TRUE, ClickVal names are also used for insertion but will be overridden if the same name exists in the 2nd parameter. To prevent use of ClickVals send 2 values to 3rd param with 2nd value false (i.e. {TRUE,FALSE})
The following keys are automatically recognized and replaced even if corresponding named variables are not provided:
  {username} (or just {user})
  {machinename} (or just {machine})
  {entity}
These keys are recognized and replaced even when the 3rd parameter is not set to TRUE, so can be used in combination with numbered insertions. The default value for these keys will be overridden by an explicitly provided named insertion or a clickval of the same name if either exists.</t>
        </r>
      </text>
    </comment>
    <comment ref="H63" authorId="0" shapeId="0" xr:uid="{00000000-0006-0000-1A00-000005000000}">
      <text>
        <r>
          <rPr>
            <b/>
            <sz val="9"/>
            <color indexed="81"/>
            <rFont val="Tahoma"/>
            <family val="2"/>
          </rPr>
          <t>If multiple insertion ranges are provided but only a single format string and the optional 4th "reuse_format" parameter is set to TRUE, then the insertions will each be applied against the format</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5" authorId="0" shapeId="0" xr:uid="{00000000-0006-0000-1B00-000001000000}">
      <text>
        <r>
          <rPr>
            <b/>
            <sz val="9"/>
            <color indexed="81"/>
            <rFont val="Tahoma"/>
            <family val="2"/>
          </rPr>
          <t>As seen here, U.PARSE_NUMBERS will do its best to identify a number within an input string and parse out that numeric value. If a numeric cell is passed explicitly, that will be returned. If no number can be found, a #VALUE! Error is returned.
The parsing is "greedy" in that it will find the largest adjacent set of characters that can be parsed into a number (so 105 would be parsed as 105, not the smaller numbers 1, 0 and 5 ...or 10 and 5 ...or 1 and 05).</t>
        </r>
      </text>
    </comment>
    <comment ref="E13" authorId="0" shapeId="0" xr:uid="{00000000-0006-0000-1B00-000002000000}">
      <text>
        <r>
          <rPr>
            <b/>
            <sz val="9"/>
            <color indexed="81"/>
            <rFont val="Tahoma"/>
            <family val="2"/>
          </rPr>
          <t>Be default U.PARSE_NUMBERS will only locate a single number in a string. But if the input is only 1 column wide and the 2nd optional "find all" parameter is set to TRUE, then arbitrarily many numbers will be parsed out of the string with each placed in its own column.</t>
        </r>
      </text>
    </comment>
    <comment ref="E18" authorId="0" shapeId="0" xr:uid="{00000000-0006-0000-1B00-000003000000}">
      <text>
        <r>
          <rPr>
            <b/>
            <sz val="9"/>
            <color indexed="81"/>
            <rFont val="Tahoma"/>
            <family val="2"/>
          </rPr>
          <t>By default numbers in scientific notation will be found. In some cases this could result in numbers that substrings are incorrectly parsed as numbers because they look like scientific notation. Recognition of scientific notation can be prevented by setting the optional 3rd parameter to TRUE.</t>
        </r>
      </text>
    </comment>
    <comment ref="E26" authorId="0" shapeId="0" xr:uid="{00000000-0006-0000-1B00-000004000000}">
      <text>
        <r>
          <rPr>
            <b/>
            <sz val="9"/>
            <color indexed="81"/>
            <rFont val="Tahoma"/>
            <family val="2"/>
          </rPr>
          <t>Min and Max values to be found can be set using the optional 4th and 5th parameters, respectively. In this example the intent is to extract the price whose rough range is known, so a min of 1 and max of 10 is set. Notice that the entire quantity of 1000 is disregarded, even though sub-portions of it (the first character of 1 or first two of 10) would satisfy the min/max constraint.</t>
        </r>
      </text>
    </comment>
    <comment ref="D33" authorId="0" shapeId="0" xr:uid="{71B11795-9165-45C5-A8A5-1B59F859E2AF}">
      <text>
        <r>
          <rPr>
            <b/>
            <sz val="9"/>
            <color indexed="81"/>
            <rFont val="Tahoma"/>
            <family val="2"/>
          </rPr>
          <t>Min and Max values are applied to cells that are already numbers by default. Here the max is 3, so neither cell passes.</t>
        </r>
      </text>
    </comment>
    <comment ref="D36" authorId="0" shapeId="0" xr:uid="{7FC56580-8B49-476B-99B6-EE3D40B56BBB}">
      <text>
        <r>
          <rPr>
            <b/>
            <sz val="9"/>
            <color indexed="81"/>
            <rFont val="Tahoma"/>
            <family val="2"/>
          </rPr>
          <t>To avoid applying Min and Max values to cells that are already numeric, provide a 2nd column and set its value to TRUE. This can be done independently for Min and Max.</t>
        </r>
      </text>
    </comment>
    <comment ref="E40" authorId="0" shapeId="0" xr:uid="{00000000-0006-0000-1B00-000005000000}">
      <text>
        <r>
          <rPr>
            <b/>
            <sz val="9"/>
            <color indexed="81"/>
            <rFont val="Tahoma"/>
            <family val="2"/>
          </rPr>
          <t>To have characters in a number split to satisfy min and max constraints, set the optional 6th parameter to TRUE. Here the 10 (first two characters of 1000) satisfies the constraint in addition to the 4.35.</t>
        </r>
      </text>
    </comment>
    <comment ref="D45" authorId="0" shapeId="0" xr:uid="{20C3267B-A049-444B-8DE8-0D02658F2F2F}">
      <text>
        <r>
          <rPr>
            <b/>
            <sz val="9"/>
            <color indexed="81"/>
            <rFont val="Tahoma"/>
            <family val="2"/>
          </rPr>
          <t>A hyphen is treated as a dash by default, so can be split away from subsequent digits to find a number that satisfies min and max constraints. Here the 12 is found. To force hyphens to be treated as negative signs, set the 6th parameter explicitly to FALSE. See how below no match is found because -12 fails the constraints.</t>
        </r>
      </text>
    </comment>
    <comment ref="D49" authorId="0" shapeId="0" xr:uid="{00000000-0006-0000-1B00-000006000000}">
      <text>
        <r>
          <rPr>
            <b/>
            <sz val="9"/>
            <color indexed="81"/>
            <rFont val="Tahoma"/>
            <family val="2"/>
          </rPr>
          <t>By default a #VALUE! error is returned for any input that cannot be parsed. To instead have inputs that cannot be parsed returned as is, set the optional 7th parameter to TRUE. Here the input in the 3rd row is returned as is instead of a #VALUE! error.</t>
        </r>
      </text>
    </comment>
    <comment ref="D54" authorId="0" shapeId="0" xr:uid="{1F8DC214-BE5D-4BF7-BABD-088520242831}">
      <text>
        <r>
          <rPr>
            <b/>
            <sz val="9"/>
            <color indexed="81"/>
            <rFont val="Tahoma"/>
            <family val="2"/>
          </rPr>
          <t>If the 7th parameter is set to something other than TRUE or FALSE, then that value will be returned when an input cannot be parsed.</t>
        </r>
      </text>
    </comment>
    <comment ref="D61" authorId="0" shapeId="0" xr:uid="{00000000-0006-0000-1B00-000007000000}">
      <text>
        <r>
          <rPr>
            <b/>
            <sz val="9"/>
            <color indexed="81"/>
            <rFont val="Tahoma"/>
            <family val="2"/>
          </rPr>
          <t>U.PARSE provides general parsing of string values in a range. Any values that can be converted from string representations of numbers, boolean values, dates and Excel errors will be converted. Cells that cannot be converted will be returned as is. Values are also parsed out of Web control indicator strings.
To skip date parsing, set the optional 2nd parameter to TRUE, or pass "UK" as the 2nd parameter to parse dates as UK format. To skip parsing numbers in scientific notation, set the optional 3rd parameter to TRUE. The optional 4th parameter can be used to indicate a string that should be replaced with blanks (for example, "null").
U.PARSE attempts to parse only the entire string; it does not look for values embedded in a longer string. If the format of values to be parsed is complex, use of U.PARSE_NUMBERS and/or U.PARSE_DATETIME may be required.</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I5" authorId="0" shapeId="0" xr:uid="{00000000-0006-0000-1C00-000001000000}">
      <text>
        <r>
          <rPr>
            <b/>
            <sz val="9"/>
            <color indexed="81"/>
            <rFont val="Tahoma"/>
            <family val="2"/>
          </rPr>
          <t>U.REGEX will apply specified regular expression patterns to input strings. The 1st parameter is one or more strings to which the regular expressions will be applied. The 2nd parameter is one or more regular expressions. By default, the matching portion of the input is returned; if the input does not match the regular expression, a blank is returned by default.
In this example, the regular expression searches for one of 3 words in the input strings. When found (as in an the first 2 inputs) the match is returned. A blank is returned for the 3rd input since it does not contain any of the words specified in the regular expression.</t>
        </r>
      </text>
    </comment>
    <comment ref="I14" authorId="0" shapeId="0" xr:uid="{00000000-0006-0000-1C00-000002000000}">
      <text>
        <r>
          <rPr>
            <b/>
            <sz val="9"/>
            <color indexed="81"/>
            <rFont val="Tahoma"/>
            <family val="2"/>
          </rPr>
          <t>If multiple regex patterns are provided, each will be tested against each input until either a match is found or all of the provided patterns have been tested.
Note that it is the match portion "burg" that is returned by default since that is the condition in the regex pattern that was matched. There is loads of information available online about how to construct regular expression patterns to extract whatever portion of an input string is needed.
Here the optional 3rd parameter is set to #N/A so that an error is returned for inputs that are not matched. Any "no match" return value can be provided. If the parameter is set to an asterisk ("*") then the full input string is returned when no match is found.</t>
        </r>
      </text>
    </comment>
    <comment ref="I22" authorId="0" shapeId="0" xr:uid="{00000000-0006-0000-1C00-000003000000}">
      <text>
        <r>
          <rPr>
            <b/>
            <sz val="9"/>
            <color indexed="81"/>
            <rFont val="Tahoma"/>
            <family val="2"/>
          </rPr>
          <t>If a 2nd column is provided in the 2nd parameter, it will be used as the format for creating the returned value. It is using U.FORMAT_STRING under the hood to create these output formats (see examples of that method for more info). If no capture groups (sub-patterns in parentheses) are specified in the regex expression, then only the entire match is available for insertion (2nd line in this example). If capture groups are specified, then only those and not the entire match are available for insertion into the format (2nd line in this example; note that group numbers start from zero to be consistent with U.FORMAT_STRING requirements, even though .NET Regex capture groups are numbered starting from 1).
If one or more named capture groups are specified, then the insertion is done based on the group names (3rd line in this example). Mixing named and unnamed capture groups is not recommended, as it can lead to confusing results since the un-named groups will be given integer names starting with 1 ("1", "2", etc) even if they appear after the named capture groups in the input (when named capture groups are used, any unnamed groups retain the number originally assigned which is why they start from "1" and not "0").
As shown in the 3rd line here, names of capture groups can be surrounded by either single quotes ('...') or angle brackets (&lt;...&gt;). The .NET framework's Regex libraries are used, so when unsure about the required syntax consult documentation related to that online.</t>
        </r>
      </text>
    </comment>
    <comment ref="I30" authorId="0" shapeId="0" xr:uid="{00000000-0006-0000-1C00-000004000000}">
      <text>
        <r>
          <rPr>
            <b/>
            <sz val="9"/>
            <color indexed="81"/>
            <rFont val="Tahoma"/>
            <family val="2"/>
          </rPr>
          <t>An output format can be anything -- it does not have to receive inserted values. As shown here, it could be set to TRUE so that TRUE is returned if a match is found. In that case it may be useful to set the non-match return value to FALSE so that FALSE is returned when no match is found. As shown below, though, another way to have TRUE/FALSE returned to indicate whether a match is found is to set the return override (4th parameter) to true_false.</t>
        </r>
      </text>
    </comment>
    <comment ref="I39" authorId="0" shapeId="0" xr:uid="{00000000-0006-0000-1C00-000005000000}">
      <text>
        <r>
          <rPr>
            <b/>
            <sz val="9"/>
            <color indexed="81"/>
            <rFont val="Tahoma"/>
            <family val="2"/>
          </rPr>
          <t>If a 3rd column is provided in the 2nd parameter and its value is set to TRUE, then the interpretation of the 2nd column changes. In this case, the 2nd column is treated as the value that should be substituted into the input to replace the portion matched by the regex (see online documentation for the .NET Regex.Replace() method). The replacement can be anything. If capture groups are specified in the regex, then those can be referenced in the replacement whether they are named (as in the 2nd line of this example) or not. If not named the required format is a dollar sign followed by the number of the desired capture group (e.g. $1) ...but be sure to make the $1 a text value by preceding it with a single apostrophe, otherwise Excel's currency parsing will turn it into a number and it will not be sent to the regex engine properly.
When .NET substitutions are used, an optional 4th column could be provided in the 2nd parameter. If a 4th column is provided and contains a positive integer, that number will specify the maximum number of replacements to be made. By default every occurrence of the match string in the input is substituted.</t>
        </r>
      </text>
    </comment>
    <comment ref="I50" authorId="0" shapeId="0" xr:uid="{00000000-0006-0000-1C00-000006000000}">
      <text>
        <r>
          <rPr>
            <b/>
            <sz val="9"/>
            <color indexed="81"/>
            <rFont val="Tahoma"/>
            <family val="2"/>
          </rPr>
          <t>To be consistent with Excel's native lack of case sensitivity, U.REGEX matches are by default *not* case sensitive. See in this example how the word "BIG" is found in the input (the matched value "big" is returned) even though the casing differs. To make the regex case-sensitive, enclose it in "match_case(...)" as shown in the 2nd line here. Now a match is only found if the all caps BIG is found ...which it isn't, so the match fails and the default blank for a failure is returned.</t>
        </r>
      </text>
    </comment>
    <comment ref="I55" authorId="0" shapeId="0" xr:uid="{4127CD0C-842F-432F-9E8F-0E00DCA41C17}">
      <text>
        <r>
          <rPr>
            <b/>
            <sz val="9"/>
            <color indexed="81"/>
            <rFont val="Tahoma"/>
            <family val="2"/>
          </rPr>
          <t>By default match results are returned as strings. See how this result is not a number.</t>
        </r>
      </text>
    </comment>
    <comment ref="I57" authorId="0" shapeId="0" xr:uid="{8196C139-1419-4A9B-AD68-531A7D405580}">
      <text>
        <r>
          <rPr>
            <b/>
            <sz val="9"/>
            <color indexed="81"/>
            <rFont val="Tahoma"/>
            <family val="2"/>
          </rPr>
          <t>To have U.REGEX attempt to parse match results into non-string values (numbers, boolean values and datetimes) set the optional 5th parameter to TRUE. The match is still returned as a string if it cannot be parsed.</t>
        </r>
      </text>
    </comment>
    <comment ref="F59" authorId="0" shapeId="0" xr:uid="{00000000-0006-0000-1C00-000007000000}">
      <text>
        <r>
          <rPr>
            <b/>
            <sz val="9"/>
            <color indexed="81"/>
            <rFont val="Tahoma"/>
            <family val="2"/>
          </rPr>
          <t>If the optional 4th "return override" parameter is set to a valid value, it will dictate how values are returned and any extra columns in the 2nd parameter will be ignored (except when the 4th parameter is set to -3, in which case every specified regex substitution is applied to each input value).
As seen here, if U.REGEX is called with only the 4th parameter set to TRUE, a table of available return overrides is provided. U.REGEX will recognize either the name (e.g. "match_index") or the value as valid in its 4th parameter.
Several of the overrides are illustrated below, and any not illustrated explicitly are described in comments or in the descriptions in the table to the left.</t>
        </r>
      </text>
    </comment>
    <comment ref="I85" authorId="0" shapeId="0" xr:uid="{00000000-0006-0000-1C00-000008000000}">
      <text>
        <r>
          <rPr>
            <b/>
            <sz val="9"/>
            <color indexed="81"/>
            <rFont val="Tahoma"/>
            <family val="2"/>
          </rPr>
          <t>In this example the return override (4th parameter) is set to "match_index" (the number 3 would have the same effect). The result is that the starting index (1-based) of the match is returned instead of the match itself.
This example also sets an asterisk for the non-match return val, which is why the full input for the 3rd line is returned instead of a blank. In the unlikely case that the desired non-match return value is itself an asterisk, escape the asterisk with a backslash ("\*") in the 3rd parameter.</t>
        </r>
      </text>
    </comment>
    <comment ref="I91" authorId="0" shapeId="0" xr:uid="{00000000-0006-0000-1C00-000009000000}">
      <text>
        <r>
          <rPr>
            <b/>
            <sz val="9"/>
            <color indexed="81"/>
            <rFont val="Tahoma"/>
            <family val="2"/>
          </rPr>
          <t>Setting the return override to 1 (true_false) is another way to accomplish a TRUE/FALSE output. Here it is testing for the existence of an "x" with a numeric value immediately on either side.</t>
        </r>
      </text>
    </comment>
    <comment ref="K96" authorId="0" shapeId="0" xr:uid="{00000000-0006-0000-1C00-00000A000000}">
      <text>
        <r>
          <rPr>
            <b/>
            <sz val="9"/>
            <color indexed="81"/>
            <rFont val="Tahoma"/>
            <family val="2"/>
          </rPr>
          <t>As noted in the descriptions above, several return overrides will cause a row vector of values to be returned (or a single cell if the row only contains one value). In this case the "all_matches" return override is specified, so a row vector containing the value of every match found in the input is returned.
Immediately below the same result is returned but "all_match_indexes" is the return override so the starting index of each match is returned. Below that a return override of "num_matches" is specified, so 3 is returned.</t>
        </r>
      </text>
    </comment>
    <comment ref="K105" authorId="0" shapeId="0" xr:uid="{00000000-0006-0000-1C00-00000B000000}">
      <text>
        <r>
          <rPr>
            <b/>
            <sz val="9"/>
            <color indexed="81"/>
            <rFont val="Tahoma"/>
            <family val="2"/>
          </rPr>
          <t>If capture groups are used, their values can be returned either with or without the entire match. Here 4 ("matches_and_groups") is specified, so the full first match value as well as the capture group values from the first match are included in the vector. Immediately below it, just "groups" is specified so the full match value is dropped.</t>
        </r>
      </text>
    </comment>
    <comment ref="K109" authorId="0" shapeId="0" xr:uid="{B95EAB3E-ED24-4171-8D2B-42F655DF94C6}">
      <text>
        <r>
          <rPr>
            <b/>
            <sz val="9"/>
            <color indexed="81"/>
            <rFont val="Tahoma"/>
            <family val="2"/>
          </rPr>
          <t>When the need is to return only the capture group values from all matches, set the override to 15 ("all_groups"). Here only numbers preceded by "age:" are parsed and returned.</t>
        </r>
      </text>
    </comment>
    <comment ref="K114" authorId="0" shapeId="0" xr:uid="{00000000-0006-0000-1C00-00000C000000}">
      <text>
        <r>
          <rPr>
            <b/>
            <sz val="9"/>
            <color indexed="81"/>
            <rFont val="Tahoma"/>
            <family val="2"/>
          </rPr>
          <t>If the inputs are a column vector, then row-vector results for multiple inputs can be returned in a single call as shown here.</t>
        </r>
      </text>
    </comment>
    <comment ref="K118" authorId="0" shapeId="0" xr:uid="{00000000-0006-0000-1C00-00000D000000}">
      <text>
        <r>
          <rPr>
            <b/>
            <sz val="9"/>
            <color indexed="81"/>
            <rFont val="Tahoma"/>
            <family val="2"/>
          </rPr>
          <t>However, if the input range is multiple columns then only the first match will be returned since the row vector does not have room to be spread across columns.</t>
        </r>
      </text>
    </comment>
    <comment ref="K123" authorId="0" shapeId="0" xr:uid="{00000000-0006-0000-1C00-00000E000000}">
      <text>
        <r>
          <rPr>
            <b/>
            <sz val="9"/>
            <color indexed="81"/>
            <rFont val="Tahoma"/>
            <family val="2"/>
          </rPr>
          <t>When a "table" return override is used, detail about the match / group, its value, and its starting index will be returned in table form. The content of the table will vary slightly depending on which return override was specified.
When a table type return override is specified and there are multiple input cells, only the table for the first input matched is returned.</t>
        </r>
      </text>
    </comment>
    <comment ref="L129" authorId="0" shapeId="0" xr:uid="{00000000-0006-0000-1C00-00000F000000}">
      <text>
        <r>
          <rPr>
            <b/>
            <sz val="9"/>
            <color indexed="81"/>
            <rFont val="Tahoma"/>
            <family val="2"/>
          </rPr>
          <t>This is an example of the table returned when the return override is set to "all_matches_and_groups_table" (14). Because info from all matches and their groups is returned, the table includes a MatchNum column to delineate matches.
Having this info in table form creates some powerful processing options when combined with other U features, in particular those related to manipulating tabular data and for reading files.
As seen in this table and the one above, when the full match is included in the result it is given a match group number of zero. The specified counting for groups within a match starts at 1 for groups that are not named.</t>
        </r>
      </text>
    </comment>
    <comment ref="J145" authorId="0" shapeId="0" xr:uid="{00000000-0006-0000-1C00-000010000000}">
      <text>
        <r>
          <rPr>
            <b/>
            <sz val="9"/>
            <color indexed="81"/>
            <rFont val="Tahoma"/>
            <family val="2"/>
          </rPr>
          <t>The array of input values can be multiple columns wide. Results are returned for each individual cell in the input range with the location preserved.</t>
        </r>
      </text>
    </comment>
    <comment ref="J151" authorId="0" shapeId="0" xr:uid="{00000000-0006-0000-1C00-000011000000}">
      <text>
        <r>
          <rPr>
            <b/>
            <sz val="9"/>
            <color indexed="81"/>
            <rFont val="Tahoma"/>
            <family val="2"/>
          </rPr>
          <t>If a return override of "matched_inputs_in_place" (-2) is specified, then the original input is returned when a match is found instead of just the matched portion.</t>
        </r>
      </text>
    </comment>
    <comment ref="I158" authorId="0" shapeId="0" xr:uid="{00000000-0006-0000-1C00-000012000000}">
      <text>
        <r>
          <rPr>
            <b/>
            <sz val="9"/>
            <color indexed="81"/>
            <rFont val="Tahoma"/>
            <family val="2"/>
          </rPr>
          <t>If the override is set to "matched_inputs" (or -1), then a list of inputs that were matched is returned with duplicates removed.</t>
        </r>
      </text>
    </comment>
    <comment ref="L158" authorId="0" shapeId="0" xr:uid="{00000000-0006-0000-1C00-000013000000}">
      <text>
        <r>
          <rPr>
            <b/>
            <sz val="9"/>
            <color indexed="81"/>
            <rFont val="Tahoma"/>
            <family val="2"/>
          </rPr>
          <t>If there is a need to get the list of matched inputs inclusive of duplicates, the result from returning inputs in place can be reshaped and filtered.</t>
        </r>
      </text>
    </comment>
    <comment ref="I167" authorId="0" shapeId="0" xr:uid="{00000000-0006-0000-1C00-000014000000}">
      <text>
        <r>
          <rPr>
            <b/>
            <sz val="9"/>
            <color indexed="81"/>
            <rFont val="Tahoma"/>
            <family val="2"/>
          </rPr>
          <t>If the return override is set to "inputs_all_substitutions_applied" (-3) then each regex is applied in order to each input and any/all substitutions are applied. In this example the order of the regex expressions does not matter, but beware that in practice a value inserted from one regex could itself become a candidate to be matched and substituted by a subsequent regex.</t>
        </r>
      </text>
    </comment>
    <comment ref="I180" authorId="0" shapeId="0" xr:uid="{00000000-0006-0000-1C00-000015000000}">
      <text>
        <r>
          <rPr>
            <b/>
            <sz val="9"/>
            <color indexed="81"/>
            <rFont val="Tahoma"/>
            <family val="2"/>
          </rPr>
          <t>U.FORMULA returns the formula entered into a cell instead of its value. If a multi-cell array is referenced, by default the formula from only the top-left cell in the range is returned.</t>
        </r>
      </text>
    </comment>
    <comment ref="I183" authorId="0" shapeId="0" xr:uid="{00000000-0006-0000-1C00-000016000000}">
      <text>
        <r>
          <rPr>
            <b/>
            <sz val="9"/>
            <color indexed="81"/>
            <rFont val="Tahoma"/>
            <family val="2"/>
          </rPr>
          <t>To return the formula for every cell in a multi-cell array, set the optional 2nd parameter to TRUE. As seen here, cells that do not contain formulas will have their values returned.</t>
        </r>
      </text>
    </comment>
    <comment ref="I189" authorId="0" shapeId="0" xr:uid="{00000000-0006-0000-1C00-000017000000}">
      <text>
        <r>
          <rPr>
            <b/>
            <sz val="9"/>
            <color indexed="81"/>
            <rFont val="Tahoma"/>
            <family val="2"/>
          </rPr>
          <t>By default, U.FORMULA returns formulas in Excel's A1 notation. To instead have them returned using Excel's R1C1 notation, set the optional 3rd parameter to TRUE.
Some Excel functions display their names differently depending on the region where workbook is viewed. By default U.FORMULA will return the formula as originally entered in the workbook, which may not be exactly how it is displayed in a given region. To have the localized version returned, set the optional 4th parameter to TRUE.</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6" authorId="0" shapeId="0" xr:uid="{00000000-0006-0000-1D00-000001000000}">
      <text>
        <r>
          <rPr>
            <b/>
            <sz val="9"/>
            <color indexed="81"/>
            <rFont val="Tahoma"/>
            <family val="2"/>
          </rPr>
          <t>When data is copied in from other sources, sometimes it contains Unicode control characters that are hard to remove. Often these characters are not even visible in Excel, but still Excel's native TRIM method will not remove them.
U.REMOVE_NON_ASCII can be used to remove unwanted Unicode characters from data. In this example all of the characters are visible for illustration, but invisible Unicode characters are also removed. By default all non-ASCII characters except tab, newline and carriage returned are replaced with a blank.</t>
        </r>
      </text>
    </comment>
    <comment ref="E12" authorId="0" shapeId="0" xr:uid="{00000000-0006-0000-1D00-000002000000}">
      <text>
        <r>
          <rPr>
            <b/>
            <sz val="9"/>
            <color indexed="81"/>
            <rFont val="Tahoma"/>
            <family val="2"/>
          </rPr>
          <t>No further trimming is done on the returned data by default. To have an Excel-style TRIM applied after the non-ASCII characters are removed, set the optional 2nd parameter to TRUE. Two values could be provided (e.g. {TRUE, FALSE}) to indicate whether to trim only the start and/or end of the value, respectively.</t>
        </r>
      </text>
    </comment>
    <comment ref="E17" authorId="0" shapeId="0" xr:uid="{00000000-0006-0000-1D00-000003000000}">
      <text>
        <r>
          <rPr>
            <b/>
            <sz val="9"/>
            <color indexed="81"/>
            <rFont val="Tahoma"/>
            <family val="2"/>
          </rPr>
          <t>By default non-ASCII characters are removed from the entire value. To instead only have them removed from before the first ASCII character and after the last ASCII character, set the optional 3rd parameter to TRUE. This will retain any non-ASCII characters that occur mid-string. When trimming is applied via the 2nd parameter, then a blank space is not treated as a valid ASCII character in determining the start and end of the middle portion.</t>
        </r>
      </text>
    </comment>
    <comment ref="E23" authorId="0" shapeId="0" xr:uid="{00000000-0006-0000-1D00-000004000000}">
      <text>
        <r>
          <rPr>
            <b/>
            <sz val="9"/>
            <color indexed="81"/>
            <rFont val="Tahoma"/>
            <family val="2"/>
          </rPr>
          <t>Up to 3 values can be provided in the optional 3rd parameter. When 2 values are provided the first applies to the middle of the string and the 2nd applies to its start and end sections. When 3 values are provided the first applies to the middle of the string, the second applies to its start section, and the third applies to its end section. In this example non-ASCII characters are ignored (so allowed to remain) everywhere except at the start of the value.</t>
        </r>
      </text>
    </comment>
    <comment ref="E29" authorId="0" shapeId="0" xr:uid="{00000000-0006-0000-1D00-000005000000}">
      <text>
        <r>
          <rPr>
            <b/>
            <sz val="9"/>
            <color indexed="81"/>
            <rFont val="Tahoma"/>
            <family val="2"/>
          </rPr>
          <t>To have non-ASCII characters replaced with something other than an empty space, provide the replacement in the optional 4th parameter.</t>
        </r>
      </text>
    </comment>
    <comment ref="E34" authorId="0" shapeId="0" xr:uid="{00000000-0006-0000-1D00-000006000000}">
      <text>
        <r>
          <rPr>
            <b/>
            <sz val="9"/>
            <color indexed="81"/>
            <rFont val="Tahoma"/>
            <family val="2"/>
          </rPr>
          <t>As with the 3rd parameter, replacements can be specified independently for the middle of the string and the sections before the first ASCII character and after the last ASCII character. The values are applied to section the same way as described for the optional 3rd parameter above.
Note that values for different parts could optionally be in cells and referenced instead of hard-coded into the equation using Excel's array syntax.</t>
        </r>
      </text>
    </comment>
    <comment ref="E39" authorId="0" shapeId="0" xr:uid="{00000000-0006-0000-1D00-000007000000}">
      <text>
        <r>
          <rPr>
            <b/>
            <sz val="9"/>
            <color indexed="81"/>
            <rFont val="Tahoma"/>
            <family val="2"/>
          </rPr>
          <t>By default tab, newline and carriage return characters are not removed even though they are not ASCII characters.</t>
        </r>
      </text>
    </comment>
    <comment ref="E41" authorId="0" shapeId="0" xr:uid="{00000000-0006-0000-1D00-000008000000}">
      <text>
        <r>
          <rPr>
            <b/>
            <sz val="9"/>
            <color indexed="81"/>
            <rFont val="Tahoma"/>
            <family val="2"/>
          </rPr>
          <t>To have tab, newline and carriage return treated like any other non-ASCII character, set the optional 5th parameter to TRUE.</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5" authorId="0" shapeId="0" xr:uid="{00000000-0006-0000-1F00-000001000000}">
      <text>
        <r>
          <rPr>
            <b/>
            <sz val="9"/>
            <color indexed="81"/>
            <rFont val="Tahoma"/>
            <family val="2"/>
          </rPr>
          <t>U.URL_ENCODE will apply URL encoding to values that need to be inserted into a URL, or returns the cell's original value if its value is not changed by URL encoding.
This method functions the same as Excel's ENCODEURL method introduced in Excel 2013 and is provided to enable support for this functionality in older versions of Excel.</t>
        </r>
      </text>
    </comment>
    <comment ref="D12" authorId="0" shapeId="0" xr:uid="{00000000-0006-0000-1F00-000002000000}">
      <text>
        <r>
          <rPr>
            <b/>
            <sz val="9"/>
            <color indexed="81"/>
            <rFont val="Tahoma"/>
            <family val="2"/>
          </rPr>
          <t>The method can decode rather than encode by setting the optional 2nd parameter to TRUE.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5" authorId="0" shapeId="0" xr:uid="{8192FFCA-2310-440D-B763-280AD08762B4}">
      <text>
        <r>
          <rPr>
            <b/>
            <sz val="9"/>
            <color indexed="81"/>
            <rFont val="Tahoma"/>
            <family val="2"/>
          </rPr>
          <t>U.COMPARE performs a comparison between pairs of values using a specified algorithm and returns the result. The 1st parameter are the input subjects to be compared with the comparand specified in the 2nd parameter.
If no algorithm is specified in the optional 3rd parameter, then by default a sort order comparison is performed. Where both values are numbers ...or can be converted to numbers... then a numeric sort comparison is performed, otherwise an alphanumeric sort comparison is performed. The return value is 1 if the subject is greater than the comparand, -1 if it is lesser and 0 if the values are equal.
In this example, the subject 98 is compared with 123. The method returns -1 because 98 is less than 123.</t>
        </r>
      </text>
    </comment>
    <comment ref="D16" authorId="0" shapeId="0" xr:uid="{36E19239-F2B6-461C-B60D-DCD2502BD214}">
      <text>
        <r>
          <rPr>
            <b/>
            <sz val="9"/>
            <color indexed="81"/>
            <rFont val="Tahoma"/>
            <family val="2"/>
          </rPr>
          <t>When a sort order comparison is performed, it can be forced to use an alphanumeric sort by setting the 4th parameter to TRUE. In an alphanumeric sort, 98 is greater than (comes after) 123 so that comparison now returns 1 instead of -1. This example also illustrates how multiple subjects can be provided and each will be compared with the comparand.</t>
        </r>
      </text>
    </comment>
    <comment ref="D23" authorId="0" shapeId="0" xr:uid="{D34F0BD3-B4D2-4D9F-8AB0-B07F08D13FB6}">
      <text>
        <r>
          <rPr>
            <b/>
            <sz val="9"/>
            <color indexed="81"/>
            <rFont val="Tahoma"/>
            <family val="2"/>
          </rPr>
          <t>U.COMPARE will ignore casing by default. When doing a sort order comparison, casing can be included by setting the 5th parameter to TRUE. In this example "Yellow" comes after "yellow" (the comparison returns 1) because capital letters have higher ASCII values than lower-case letters.
As seen here, if a subject contains an error it will still be compared with the comparand. Here the value is -1 because the '#' from #N/A has a lower ASCII value than the 'y' in yellow.</t>
        </r>
      </text>
    </comment>
    <comment ref="D36" authorId="0" shapeId="0" xr:uid="{7FA676A3-47CB-48C5-9789-9283349F622D}">
      <text>
        <r>
          <rPr>
            <b/>
            <sz val="9"/>
            <color indexed="81"/>
            <rFont val="Tahoma"/>
            <family val="2"/>
          </rPr>
          <t>When "edit_distance" is the specified algorithm, U.COMPARE returns the edit distance (Levenshtein distance) between the subject and the comparand. The edit distance indicates how many character inserts, deletions and changes are required to convert one string to another and is useful in identifying strings that are close to an expected string (so may have been input with a typo). In this example, it would take 2 edits to make "hullo!" equal "Hello" ...changing the 'u' to 'e' and removing the '!'... so the edit distance is 2. Note that case is ignored by default, so the "H" versus "h" is not counted.</t>
        </r>
      </text>
    </comment>
    <comment ref="D47" authorId="0" shapeId="0" xr:uid="{7E8E9B5B-81FC-4304-882D-B1B403D4602A}">
      <text>
        <r>
          <rPr>
            <b/>
            <sz val="9"/>
            <color indexed="81"/>
            <rFont val="Tahoma"/>
            <family val="2"/>
          </rPr>
          <t>To consider casing when calculating the edit distance, set the 4th parameter to TRUE. Here the calculation is case-sensitive, so the edit distance between "hullo!" and "Hello" is 3 instead of 2.
As seen here, if an input is an Excel error then the error will be returned.</t>
        </r>
      </text>
    </comment>
    <comment ref="D55" authorId="0" shapeId="0" xr:uid="{9E7295D6-F002-4178-93DD-1EE177FFE79F}">
      <text>
        <r>
          <rPr>
            <b/>
            <sz val="9"/>
            <color indexed="81"/>
            <rFont val="Tahoma"/>
            <family val="2"/>
          </rPr>
          <t>When searching for the best match based on a substring, edit distance can give misleading results because longer options will have a higher edit distance even though they may be a better match. In this example, the 2nd string appears to be "closer" to the input "hullo!" even though the 1st string contains the very close "hello!" within it.</t>
        </r>
      </text>
    </comment>
    <comment ref="D61" authorId="0" shapeId="0" xr:uid="{47BA5DF6-CB8E-490D-BCEC-5B14B13968A2}">
      <text>
        <r>
          <rPr>
            <b/>
            <sz val="9"/>
            <color indexed="81"/>
            <rFont val="Tahoma"/>
            <family val="2"/>
          </rPr>
          <t>In cases like the above, it is better to use a normalized edit distance by setting the optional 5th parameter to TRUE. Now the first string does appear to be the better match.
U provides a practical but simplified normalization that simply divides the edit distance by the max length of the two strings so returns a value between 0 and 1 and may violate triangle inequality.</t>
        </r>
      </text>
    </comment>
    <comment ref="F74" authorId="0" shapeId="0" xr:uid="{4989DF9B-3D32-4344-8DB0-98A51A4C3B5D}">
      <text>
        <r>
          <rPr>
            <b/>
            <sz val="9"/>
            <color indexed="81"/>
            <rFont val="Tahoma"/>
            <family val="2"/>
          </rPr>
          <t>Ranges can be compared to determine whether they are equal, enclosing or intersecting using the algorithms xlrange_equals, xlrange_encloses and xlrange_intersects, respectively.
As seen in these examples, when a parameter refers to a single cell containing a RANGE_REF ID the range referred to by that ID is the parameter.</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D55242FE-9221-42ED-A003-59B85CC4778E}">
      <text>
        <r>
          <rPr>
            <b/>
            <sz val="9"/>
            <color indexed="81"/>
            <rFont val="Tahoma"/>
            <family val="2"/>
          </rPr>
          <t>U.GZIP will compress or decompress a specified input using the gzip algorithm (example for illustration, as it would not make sense to gzip an input this small in practice). A Base64-encoded string of the compressed UTF-8 bytes is returned. If the input is already gzipped, then it is returned unchanged. If the input is an error, that error will be returned unless the optional 3rd parameter is set to TRUE in which case errors are ignored (replaced with empty strings before gzipping).</t>
        </r>
      </text>
    </comment>
    <comment ref="E12" authorId="0" shapeId="0" xr:uid="{A6147653-6596-4CCB-9754-8058D049676D}">
      <text>
        <r>
          <rPr>
            <b/>
            <sz val="9"/>
            <color indexed="81"/>
            <rFont val="Tahoma"/>
            <family val="2"/>
          </rPr>
          <t>To unzip a gzipped string, set the optional 2nd parameter to TRUE. If the input cannot be unzipped a #VALUE! error is returned …unless the optional 3rd parameter is set to TRUE, in which case the input is returned unchanged.</t>
        </r>
      </text>
    </comment>
    <comment ref="E18" authorId="0" shapeId="0" xr:uid="{774869C7-0FB0-4E5E-83DD-474BEE1E72CA}">
      <text>
        <r>
          <rPr>
            <b/>
            <sz val="9"/>
            <color indexed="81"/>
            <rFont val="Tahoma"/>
            <family val="2"/>
          </rPr>
          <t>See how any error in a cell results an error. The first error seen is what will be returned.</t>
        </r>
      </text>
    </comment>
    <comment ref="E21" authorId="0" shapeId="0" xr:uid="{53C3FC21-1EB7-42B8-A537-9183D31CA3C8}">
      <text>
        <r>
          <rPr>
            <b/>
            <sz val="9"/>
            <color indexed="81"/>
            <rFont val="Tahoma"/>
            <family val="2"/>
          </rPr>
          <t>The error is treated as a blank string if the 3rd parameter is set to TRUE.</t>
        </r>
      </text>
    </comment>
    <comment ref="E24" authorId="0" shapeId="0" xr:uid="{8A4E1EDC-6EBC-46D2-AA47-BF70E6DF79C4}">
      <text>
        <r>
          <rPr>
            <b/>
            <sz val="9"/>
            <color indexed="81"/>
            <rFont val="Tahoma"/>
            <family val="2"/>
          </rPr>
          <t>As seen here, the string that was compressed when many cells were selected was a simple concatenation of them. Concatenation is done across columns first, then down rows. Where delimiters are needed, use U.CONCAT and gzip its result.</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4" authorId="0" shapeId="0" xr:uid="{00000000-0006-0000-2000-000001000000}">
      <text>
        <r>
          <rPr>
            <b/>
            <sz val="9"/>
            <color indexed="81"/>
            <rFont val="Tahoma"/>
            <family val="2"/>
          </rPr>
          <t>One of the biggest sources of poor spreadsheet performance is the use of "volatile" methods in Excel, most commonly TODAY() and NOW(). Many people don't realize that these methods recalculate whenever *anything* changes *anywhere* in the workbook, even in a totally unrelated cell on another sheet. Since heavy time-sensitive analytics often reference these cells (for example, to get time-to-expiry for options models) this can cripple performance.
To alleviate this situation, U exposes non-volatile versions of these methods. Here U.TODAY() is returning the current date in a non-volatile way. Although not volatile, it will still automatically change to the next date after midnight unless the optional single parameter is set to FALSE.</t>
        </r>
      </text>
    </comment>
    <comment ref="C18" authorId="0" shapeId="0" xr:uid="{00000000-0006-0000-2000-000002000000}">
      <text>
        <r>
          <rPr>
            <b/>
            <sz val="9"/>
            <color indexed="81"/>
            <rFont val="Tahoma"/>
            <family val="2"/>
          </rPr>
          <t>U.NOW is a non-volatile version of Excel's native NOW() method.</t>
        </r>
      </text>
    </comment>
    <comment ref="C22" authorId="0" shapeId="0" xr:uid="{00000000-0006-0000-2000-000003000000}">
      <text>
        <r>
          <rPr>
            <b/>
            <sz val="9"/>
            <color indexed="81"/>
            <rFont val="Tahoma"/>
            <family val="2"/>
          </rPr>
          <t>Often users do need a current time, but they do not want to incur the performance penalty of using Excel's native NOW() method. An optional parameter can be passed to U.NOW that indicates an interval in seconds at which the method should update to the current time. In this example, the method is set to update every 5 seconds.
The value entered will round to the nearest 0.25 seconds, with a min value of 0.25 being enforced. The maximum value that will be applied is 3600 (update once per hour). Intervals are from the start of the last whole hour, not from when the cell is calculated. So if 1800 is input the time will update at 8:00, 8:30, 9:00, 9:30...etc regardless of what the time was when the formula was created.
The parameter can optionally be set to FALSE to have U.NOW return a current time not rounded to the nearest 0.25 seconds. Or the parameter can be a negative number -- in that case, the time returned will be the most recently passed time that is a multiple of that interval from the start of the day. When the parameter is FALSE or a negative number, U.NOW is not an RTD method so will not update automatically when the workbook is opened.</t>
        </r>
      </text>
    </comment>
    <comment ref="B25" authorId="0" shapeId="0" xr:uid="{00000000-0006-0000-2000-000004000000}">
      <text>
        <r>
          <rPr>
            <b/>
            <sz val="9"/>
            <color indexed="81"/>
            <rFont val="Tahoma"/>
            <family val="2"/>
          </rPr>
          <t>U.TODAY, U.NOW and U.TIME will automatically recalculate whenever the workbook containing them is opened. If a workbook is opened in manual recalc mode, they will recalculate when the workbook first recalculates.
U.TODAY, U.NOW and U.TIME ...like all other RTD methods... should never be nested inside of array formulas that span multiple cells, as doing so will cause the formula to be re-evaluated for each cell in the array. They should always be placed in their own cells and other methods should reference that cell.</t>
        </r>
      </text>
    </comment>
    <comment ref="C38" authorId="0" shapeId="0" xr:uid="{00000000-0006-0000-2000-000005000000}">
      <text>
        <r>
          <rPr>
            <b/>
            <sz val="9"/>
            <color indexed="81"/>
            <rFont val="Tahoma"/>
            <family val="2"/>
          </rPr>
          <t>U.TIME works exactly like U.NOW but does not contain a date component so is just a time of day. Like U.NOW the optional parameter could alternatively be FALSE or a negative number, and the impact of each is the same as with U.NOW.</t>
        </r>
      </text>
    </comment>
    <comment ref="D44" authorId="0" shapeId="0" xr:uid="{00000000-0006-0000-2000-000006000000}">
      <text>
        <r>
          <rPr>
            <b/>
            <sz val="9"/>
            <color indexed="81"/>
            <rFont val="Tahoma"/>
            <family val="2"/>
          </rPr>
          <t>As seen here, U.PARSE_DATETIME will do its best to identify a date and time within an input string and parse out an Excel datetime value. If only a time is found, then it will be applied to the current date.</t>
        </r>
      </text>
    </comment>
    <comment ref="D53" authorId="0" shapeId="0" xr:uid="{00000000-0006-0000-2000-000007000000}">
      <text>
        <r>
          <rPr>
            <b/>
            <sz val="9"/>
            <color indexed="81"/>
            <rFont val="Tahoma"/>
            <family val="2"/>
          </rPr>
          <t>Very large numbers that fall within certain ranges, whether in numeric or text form, are assumed to be Unix epoch times. Epoch times in both seconds and milliseconds are recognized.</t>
        </r>
      </text>
    </comment>
    <comment ref="D56" authorId="0" shapeId="0" xr:uid="{00000000-0006-0000-2000-000008000000}">
      <text>
        <r>
          <rPr>
            <b/>
            <sz val="9"/>
            <color indexed="81"/>
            <rFont val="Tahoma"/>
            <family val="2"/>
          </rPr>
          <t>If the method cannot find a datetime it recognizes, a #VALUE error is returned.</t>
        </r>
      </text>
    </comment>
    <comment ref="D57" authorId="0" shapeId="0" xr:uid="{00000000-0006-0000-2000-000009000000}">
      <text>
        <r>
          <rPr>
            <b/>
            <sz val="9"/>
            <color indexed="81"/>
            <rFont val="Tahoma"/>
            <family val="2"/>
          </rPr>
          <t>A format can optionally be provided as a 2nd parameter. The format is a .NET datetime format string and must conform to the .NET specification. When a .NET format string is provided, it will match the substring that starts as near to the front of the input string as possible and is as long as possible. If a range containing multiple .NET format strings is provided, they will be tried in the order provided until either one succeeds or all fail.
Finding a substring that matches a .NET datetime format can be an expensive operation. To have the parse applied to only the entire value of the cell (and fail if that doesn't match) provide a 2nd column in the 2nd parameter and set its value to TRUE.</t>
        </r>
      </text>
    </comment>
    <comment ref="D67" authorId="0" shapeId="0" xr:uid="{00000000-0006-0000-2000-00000A000000}">
      <text>
        <r>
          <rPr>
            <b/>
            <sz val="9"/>
            <color indexed="81"/>
            <rFont val="Tahoma"/>
            <family val="2"/>
          </rPr>
          <t>If the special format code "UK" is used …which is not a .NET compliant format... then dates will be interpreted as being in the UK style (i.e. the day coming before the month).</t>
        </r>
      </text>
    </comment>
    <comment ref="D72" authorId="0" shapeId="0" xr:uid="{00000000-0006-0000-2000-00000B000000}">
      <text>
        <r>
          <rPr>
            <b/>
            <sz val="9"/>
            <color indexed="81"/>
            <rFont val="Tahoma"/>
            <family val="2"/>
          </rPr>
          <t>By default, any timezone indicators will be used to convert the time to a local time.</t>
        </r>
      </text>
    </comment>
    <comment ref="D75" authorId="0" shapeId="0" xr:uid="{00000000-0006-0000-2000-00000C000000}">
      <text>
        <r>
          <rPr>
            <b/>
            <sz val="9"/>
            <color indexed="81"/>
            <rFont val="Tahoma"/>
            <family val="2"/>
          </rPr>
          <t>If the optional 3rd "ignore timezone" parameter is set to TRUE, then timezone indicators will be ignored and the time will be returned unconverted.</t>
        </r>
      </text>
    </comment>
    <comment ref="D81" authorId="0" shapeId="0" xr:uid="{00000000-0006-0000-2000-00000D000000}">
      <text>
        <r>
          <rPr>
            <b/>
            <sz val="9"/>
            <color indexed="81"/>
            <rFont val="Tahoma"/>
            <family val="2"/>
          </rPr>
          <t>By default a #VALUE! error is returned for any input that cannot be parsed. To instead have inputs that cannot be parsed returned as is, set the optional 5th parameter to TRUE. Here the input in the 3rd row is returned as is instead of a #VALUE! error.</t>
        </r>
      </text>
    </comment>
    <comment ref="D88" authorId="0" shapeId="0" xr:uid="{00000000-0006-0000-2000-00000E000000}">
      <text>
        <r>
          <rPr>
            <b/>
            <sz val="9"/>
            <color indexed="81"/>
            <rFont val="Tahoma"/>
            <family val="2"/>
          </rPr>
          <t>As with most U utility methods, U.PARSE_DATETIME will operate on the report data when provided with a topic as an input.</t>
        </r>
      </text>
    </comment>
    <comment ref="D89" authorId="0" shapeId="0" xr:uid="{00000000-0006-0000-2000-00000F000000}">
      <text>
        <r>
          <rPr>
            <b/>
            <sz val="9"/>
            <color indexed="81"/>
            <rFont val="Tahoma"/>
            <family val="2"/>
          </rPr>
          <t>To instead have an input that looks like a topic parsed directly, rather than the underlying report data, set the optional 4th parameter to TRUE</t>
        </r>
      </text>
    </comment>
    <comment ref="D92" authorId="0" shapeId="0" xr:uid="{13BA2035-2E65-49C7-A767-FC4E0ED3857B}">
      <text>
        <r>
          <rPr>
            <b/>
            <sz val="9"/>
            <color indexed="81"/>
            <rFont val="Tahoma"/>
            <family val="2"/>
          </rPr>
          <t>If a format is provided along with a 2nd column that is explicitly set to FALSE, then if multiple matching datetimes are found in the string they will be returned as a row vector of values. Here 2 dates matching the pattern are found (the resulting row vector is being transposed into a column vector).</t>
        </r>
      </text>
    </comment>
    <comment ref="C100" authorId="0" shapeId="0" xr:uid="{00000000-0006-0000-2000-000010000000}">
      <text>
        <r>
          <rPr>
            <b/>
            <sz val="9"/>
            <color indexed="81"/>
            <rFont val="Tahoma"/>
            <family val="2"/>
          </rPr>
          <t>U.CONVERT_DATETIME will convert from any timezone to any other. Timezones are provided as Windows Timezone IDs or a known location name ("UTC" supported to indicate UTC, and "Local" supported to indicate the local timezone).
If the "To" timezone is not provided, it is assumed to be the machine's local timezone. if the "From" timezone is not provided it is similarly assumed to be the local timezone ...unless "To" is already the local timezone, in which case the "From" timezone is assumed to be UTC (so if neither is provided, the conversion is from UTC to local).
Call =U.TIMEZONE(TRUE) to get a report of all Windows Timezone IDs (see below).</t>
        </r>
      </text>
    </comment>
    <comment ref="C109" authorId="0" shapeId="0" xr:uid="{00000000-0006-0000-2000-000011000000}">
      <text>
        <r>
          <rPr>
            <b/>
            <sz val="9"/>
            <color indexed="81"/>
            <rFont val="Tahoma"/>
            <family val="2"/>
          </rPr>
          <t>As seen here, known locations can also be used to do time conversions. Available known locations can be found in the "Locations" column of the full TimeZones report (see below).
Neither locations nor Windows TimeZone IDs are case sensitive.</t>
        </r>
      </text>
    </comment>
    <comment ref="C118" authorId="0" shapeId="0" xr:uid="{00000000-0006-0000-2000-000012000000}">
      <text>
        <r>
          <rPr>
            <b/>
            <sz val="9"/>
            <color indexed="81"/>
            <rFont val="Tahoma"/>
            <family val="2"/>
          </rPr>
          <t>Datetimes can be returned in the ISO 8601 time format by using the iso_8601() function in the "To" parameter. If the iso_8601() function does not have any parameters (or the to value is just "iso_8601") then the "to" timezone is assumed to be the machine's local timezone.
The iso_8601() function can optionally take a timezone indicator and/or a boolean value. If the boolean is provided and set to TRUE, then the returned ISO 8601 string will contain milliseconds. As seen here, the time is converted from NY to Osaka and then output as ISO 8601 with milliseconds included. An optional 3rd parameter could be provided in the iso_8601 function which, if set to TRUE, will cause the UTC offset at the end of the result to be dropped.</t>
        </r>
      </text>
    </comment>
    <comment ref="C127" authorId="0" shapeId="0" xr:uid="{7229F275-1FD8-45E4-8729-B6E2CD3F6FF0}">
      <text>
        <r>
          <rPr>
            <b/>
            <sz val="9"/>
            <color indexed="81"/>
            <rFont val="Tahoma"/>
            <family val="2"/>
          </rPr>
          <t>Datetimes can be returned in Unix epoch time by using the unix() function in the "To" parameter (or just setting the "To" parameter to "unix"). The unix() function can optionally take a boolean value. If the boolean is provided and set to TRUE (i.e. "unix(true)"), then the returned Unix epoch time will contain milliseconds. Unix epoch times are always UTC, so no "To" timezone is accepted. "Epoch" can alternatively be used and is identical to using "unix." Unix (or epoch) can also be used in the "From" parameter.</t>
        </r>
      </text>
    </comment>
    <comment ref="C136" authorId="0" shapeId="0" xr:uid="{820BB476-7590-4D40-98F3-3D7B9FE05388}">
      <text>
        <r>
          <rPr>
            <b/>
            <sz val="9"/>
            <color indexed="81"/>
            <rFont val="Tahoma"/>
            <family val="2"/>
          </rPr>
          <t>Datetimes can be provided as strings, and an attempt will be made to parse them. If the string is an ISO8601 string that contains a timezone indicator as a suffix, the "From" timezone will be based on that suffix provided no "From" is explicitly provided in the 3rd parameter.</t>
        </r>
      </text>
    </comment>
    <comment ref="C141" authorId="0" shapeId="0" xr:uid="{A37EE091-D98B-4678-9E3A-A1A99AF43CB5}">
      <text>
        <r>
          <rPr>
            <b/>
            <sz val="9"/>
            <color indexed="81"/>
            <rFont val="Tahoma"/>
            <family val="2"/>
          </rPr>
          <t>If a "From" parameter is explicitly provided, then any timezone indicators in a datetime string are ignored and the time is treated as though it applies to the specified "From" timezone.</t>
        </r>
      </text>
    </comment>
    <comment ref="C145" authorId="0" shapeId="0" xr:uid="{8B021989-7379-4153-A825-1013352F1EF2}">
      <text>
        <r>
          <rPr>
            <b/>
            <sz val="9"/>
            <color indexed="81"/>
            <rFont val="Tahoma"/>
            <family val="2"/>
          </rPr>
          <t>To use a timezone indicator in a datetime string if present, but otherwise a provided "From" parameter when no timezone indicator is present, provide a 2nd column in the "From" parameter with the value TRUE.</t>
        </r>
      </text>
    </comment>
    <comment ref="C152" authorId="0" shapeId="0" xr:uid="{00000000-0006-0000-2000-000013000000}">
      <text>
        <r>
          <rPr>
            <b/>
            <sz val="9"/>
            <color indexed="81"/>
            <rFont val="Tahoma"/>
            <family val="2"/>
          </rPr>
          <t>U.TIMEZONE returns the Windows Timezone ID setting for the machine.</t>
        </r>
      </text>
    </comment>
    <comment ref="F157" authorId="0" shapeId="0" xr:uid="{00000000-0006-0000-2000-000014000000}">
      <text>
        <r>
          <rPr>
            <b/>
            <sz val="9"/>
            <color indexed="81"/>
            <rFont val="Tahoma"/>
            <family val="2"/>
          </rPr>
          <t>If U.TIMEZONE is called with a single parameter that is the boolean value TRUE, then it will return a report of all Windows timezones. This report (only shown partially here) can be used to discover the correct IDs for TimeZones passed to U.CONVERT_DATETIME. The final column lists all supported location names associated with each Windows TimeZone ID.
Normally U.TIMEZONE is an RTD method and therefore should not be used in a multi-cell array formula. However, when TRUE is passed the report is not returned as RTD so it is okay to display across many cells</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6" authorId="0" shapeId="0" xr:uid="{00000000-0006-0000-2100-000001000000}">
      <text>
        <r>
          <rPr>
            <b/>
            <sz val="9"/>
            <color indexed="81"/>
            <rFont val="Tahoma"/>
            <family val="2"/>
          </rPr>
          <t>U.SEQUENCE takes a starting value, an interval, and a length and produces a sequence of values. Because dates in Excel are just numbers, U.SEQUENCE can be used to generate a series of dates.
If the start value provided is missing or an error, it will be treated as zero.</t>
        </r>
      </text>
    </comment>
    <comment ref="F14" authorId="0" shapeId="0" xr:uid="{00000000-0006-0000-2100-000002000000}">
      <text>
        <r>
          <rPr>
            <b/>
            <sz val="9"/>
            <color indexed="81"/>
            <rFont val="Tahoma"/>
            <family val="2"/>
          </rPr>
          <t>If an optional 4th parameter is set to TRUE, any numbers that look like weekend days will be dropped from the result. As seen here, the length parameter indicates the number of values returned after any numbers are dropped.</t>
        </r>
      </text>
    </comment>
    <comment ref="F23" authorId="0" shapeId="0" xr:uid="{00000000-0006-0000-2100-000003000000}">
      <text>
        <r>
          <rPr>
            <b/>
            <sz val="9"/>
            <color indexed="81"/>
            <rFont val="Tahoma"/>
            <family val="2"/>
          </rPr>
          <t>U.SEQUENCE can be used for arbitrary number sequences, not just dates. If the optional 4th parameter contains a number (or range of numbers) instead of TRUE, then those numbers will be excluded from results. When creating a sequence of dates, this might be a list of holidays.</t>
        </r>
      </text>
    </comment>
    <comment ref="F34" authorId="0" shapeId="0" xr:uid="{00000000-0006-0000-2100-000004000000}">
      <text>
        <r>
          <rPr>
            <b/>
            <sz val="9"/>
            <color indexed="81"/>
            <rFont val="Tahoma"/>
            <family val="2"/>
          </rPr>
          <t>When working with dates one may want to drop both weekends and a list of holidays. This can be done by including multiple ranges in the optional 4th parameter, surrounded by parentheses, where one is just the boolean TRUE and another (or others) contain the holidays to be skipped.</t>
        </r>
      </text>
    </comment>
    <comment ref="F44" authorId="0" shapeId="0" xr:uid="{E5760F7E-B2EA-4B8D-BB52-D8EC5E8FC051}">
      <text>
        <r>
          <rPr>
            <b/>
            <sz val="9"/>
            <color indexed="81"/>
            <rFont val="Tahoma"/>
            <family val="2"/>
          </rPr>
          <t>To create a geometric sequence, precede the interval with an "x" (or "X" or "*"). Here each value is 1.25 times larger than the immediately preceding number in the sequence.</t>
        </r>
      </text>
    </comment>
    <comment ref="F57" authorId="0" shapeId="0" xr:uid="{00000000-0006-0000-2100-000005000000}">
      <text>
        <r>
          <rPr>
            <b/>
            <sz val="9"/>
            <color indexed="81"/>
            <rFont val="Tahoma"/>
            <family val="2"/>
          </rPr>
          <t>If an alphanumeric start value is provided, U.SEQUENCE will produce an ascending Base 36 sequence. A starting value that is not a valid Base 36 value will be interpreted as zero.
Lowercase letters will be used in the Base36 value returned unless the starting string contains letters and all are uppercase, in which case all letters in the returned result will be uppercase.</t>
        </r>
      </text>
    </comment>
    <comment ref="F68" authorId="0" shapeId="0" xr:uid="{FC0064F4-3FF3-42FF-99B1-10C4832016D9}">
      <text>
        <r>
          <rPr>
            <b/>
            <sz val="9"/>
            <color indexed="81"/>
            <rFont val="Tahoma"/>
            <family val="2"/>
          </rPr>
          <t>Other types of sequences are supported:
  -Precede the interval with "^" for an exponential sequence.
  -Set the interval to "ln" for a natural logarithmic sequence
  -Set the interval to "log&lt;base&gt;" for a logarithmic sequence ("log" alone is equivalent to "log10" and "loge" is equivalent to "ln")
  -Set the interval to "fib" (or just "f") for a Fibonacci sequence. The difference between the first 2 values defaults to 1 (or -1 if the starting value is negative), but can be customized by appending a number (e.g. "fib5" or just "f5" to make the 2nd number the starting value + 5)
  -Precede the interval with "h" for a harmonic sequence, where the interval is added to the reciprocal of the prior value
If numbers become too large or small to be represented or otherwise cannot be generated, a #NUM! error is returned.</t>
        </r>
      </text>
    </comment>
    <comment ref="F90" authorId="0" shapeId="0" xr:uid="{06544EF4-A7FB-4FB8-9C8E-B5508946F6EA}">
      <text>
        <r>
          <rPr>
            <b/>
            <sz val="9"/>
            <color indexed="81"/>
            <rFont val="Tahoma"/>
            <family val="2"/>
          </rPr>
          <t>A matrix of values can be generated by providing an additional value for the interval and length parameters. If one parameter has 2 values but the other only has 1, the single value is applied to both dimensions. As in this example, the type of sequence can be different for columns and rows.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I6" authorId="0" shapeId="0" xr:uid="{00000000-0006-0000-0300-000001000000}">
      <text>
        <r>
          <rPr>
            <b/>
            <sz val="9"/>
            <color indexed="81"/>
            <rFont val="Tahoma"/>
            <family val="2"/>
          </rPr>
          <t>U.EVENT allows path-dependent scenarios to be defined. The method watches one or more values, and if any satisfies the trigger condition then the method returns TRUE. By default the method will return FALSE again on the next calculation, even if the condition is still met. In this way it can be used to trigger actions once upon certain conditions being met.
The 1st parameter contains the values to be watched. It can be a single cell or range of cells, and if it refers to a valid topic or cache key then the cached data is what will be watched (multiple ranges can be watched using U.RANGE_REF). In this simplest example a single cell is watched, and the method will return TRUE if it crosses the level of 1000. It will return FALSE on the next recalculation while the Delta is above 1000. By default the levels are bi-directional, so it will return TRUE again for 1 calculation cycle if the Delta again dips below 1000.
The method actually returns a row of results whose first cell is the triggered status. It is recommended to always display the results across 2 columns or more so that the event ID (the 2nd column in results) is displayed. The Event ID is a unique random code assigned to the event; it is necessary so that the U add-in can properly identify the correct event even after cut/paste and column insert operations on the worksheet containing the event. There actually several columns of results returned, but only the first 2 columns are important to display in the sheet (the optional 6th parameter "show labels" can be set to TRUE, and if so then the returned result will contain column labels for each output. If the returned array contains only TRUE or FALSE values, ensure there is not an RTD method nested within the array U.EVENT array formula (RTD methods should always be placed in their own cells and referenced by an array formula, never nested within them).
If no method params at all are provided when calling U.EVENT, then a report containing the status of all known events is returned.
Because U.EVENT uses an event-specific ID or the location of the method to identify a specific event, multiple events should never be nested within a single equation. When multiple events are needed, they should be placed into their own cells and referenced.</t>
        </r>
      </text>
    </comment>
    <comment ref="I24" authorId="0" shapeId="0" xr:uid="{00000000-0006-0000-0300-000002000000}">
      <text>
        <r>
          <rPr>
            <b/>
            <sz val="9"/>
            <color indexed="81"/>
            <rFont val="Tahoma"/>
            <family val="2"/>
          </rPr>
          <t>U.EVENT has many optional parameters that can be used to drive how the event will trigger and revert from a triggered state.
The direction that causes the trigger to breach can be specified as an optional 2nd column when specifying a trigger threshold. A positive number indicates that the threshold can only be breached from below (as the value is increasing); a negative number indicates the threshold can only be breached from above (as the value is decreasing). If no trigger threshold is specified at all, then a trigger event will result from any change in the watched values.
A "set" threshold can be defined in the optional 3rd parameter. If defined, crossing the trigger threshold will not cause a trigger event unless the set threshold has already been crossed. Like with the trigger threshold, by default a set threshold can be breached from either direction. Include the optional 2nd column to specify a specific direction. The set threshold can also be given an optional 3rd column which, if set to TRUE, will initialize the event in a "set and ready to be triggered" state.
The optional 4th parameter specifies how long the TRUE value persists (i.e., when the reversion to FALSE occurs) after a triggering. See the table to the left for a description of allowable values. If set to 3 ("new") then reversion to FALSE ("untriggered") will occur whenever a value changes ...OR when a "reversion" threshold has been breached. The optional reversion threshold level can be different from the trigger and set threshold levels, and can be specified by providing an optional 2nd column (a new reversion threshold value) and optionally also a 3rd column (the direction associated with the new reversion level) in the 4th parameter.
The 2nd parameter that takes trigger levels can optionally be provided multiple rows, where each row indicates a distinct trigger level that will result in a trigger event when breached. Each trigger level can have its own settings in additional columns on the row. When multiple trigger levels are provided, the 3rd and 4th parameters can correspondingly be given multiple rows. When the 3rd and 4th parameters are given multiple rows, the set/reversion level will be associated with a given trigger level based on index (i.e. the 1st set/reversion level will correspond with the 1st trigger level, the 2nd with the 2nd, etc). If multiple trigger levels are provided in the 2nd parameter and only a single row is provided for the 3rd or 4th parameter, it will be assumed that the single set/reversion setting is intended to apply to all triggers and not only the 1st.
An optional 5th parameter can be used to specify a max number of trigger events. If specified and greater than zero, then crossing the trigger threshold will no longer cause the event to trigger once the max number of trigger events has occurred. This optional parameter can span 3 columns -- if it does, the value in the 2nd column will indicate the number of events to skip before they cause the event to trigger; and the value in the 3rd column will indicate the number of checks to ignore after opening the workbook (useful for preventing unintended triggering when values initialize). Counting toward the max number of trigger events will occur only after the specified number of "events to skip," if any, has elapsed.
An optional 6th parameter can be set to TRUE to have column labels included in the result.
The optional 7th parameter can be used to reset the event to its original state -- set it to TRUE to reset the event, then back to FALSE so that the event is not continually reset with each recalc. Complex "reset" scenarios can be achieved by having the reset parameter refer to a cell with arbitrarily complex reset logic.
The 8th parameter can be used to simplify many cases where actions should occur exactly once and only when the event first triggers. If it contains a range reference (or a multi-range reference) then the referenced range(s) will be calculated once immediately after the event flips from not triggered to triggered. Because those ranges are referenced by the equation and calculated, this will cause the EVENT itself to recalculate (so set it back to FALSE immediately, depending on other settings). To have the EVENT recalculate only itself after it triggers ...so that it is only TRUE for a single calc cycle... hard-code the 8th value to the boolean value TRUE (or the word "self"). There is logic to prevent churning from a recalc that causes a new trigger event that results in another recalc, etc. To disable this protection, provide the value "churn_ok" as one of the values in the 8th parameter.
It is possible to specify a delay in seconds before the referenced ranges are recalculated, but to do that the range references must be passed as a comma-delimited list of range reference IDs as returned from U.RANGE_REF ...and/or TRUE/self to refer to the calling range, with a number (the seconds to delay) included in the list. For example a value of "self,2.5,"&amp;U.RANGE_REF(A1) would cause the event ...after triggering... to recalculate itself and cell A1 after a 2.5 second delay. Any number of range references can be included. If the 8th parameter is hard-coded to be just a number and no range reference is specified, then the calling cell will recalculate itself after the specified number of seconds (the "self" is implied). A max calc delay of 60 seconds is enforced.
U.EVENT is also capable of watching non-numeric values, in which case the thresholds are string values. When this is the case, thresholds support wildcards. For example, if a list of values is watched with a threshold of "*SMITH" then the event will trigger whenever any value in the list ends in "SMITH." Other parameters also function as expected when watching non-numeric values, though direction settings on thresholds are not meaningful and therefore are ignored. String events are be default not case-sensitive. To make string events case-sensitive, surround the trigger string with "match_case(&lt;trigger&gt;)". To make a simple "values changed" event case-sensitive, provide only the string "match_case()" in the 2nd parameter.</t>
        </r>
      </text>
    </comment>
    <comment ref="G61" authorId="0" shapeId="0" xr:uid="{FA56B4DA-B605-4902-9680-6FFFFB0F9170}">
      <text>
        <r>
          <rPr>
            <b/>
            <sz val="9"/>
            <color indexed="81"/>
            <rFont val="Tahoma"/>
            <family val="2"/>
          </rPr>
          <t>There can be times where it's convenient to have a trigger level that adjusts dynamically. The problem is that if the specified triggers are always automatically adjusted to be beyond the watched value, then no trigger threshold would ever be breached and the event would never trigger. This can be resolved by including "dynamic()" in a row along with the trigger threshold(s). In this example there are multiple thresholds that are always above the watched value. If the watched value gaps above at least one of the trigger levels, the event will trigger even though the watched value is below all new thresholds -- that is because the "dynamic()" setting tells the event to check the trigger thresholds from the last calc cycle in addition to the current thresholds. Change the watched value a little so it remains below the lowest trigger threshold -- see that the Trigger Time to the left is not recalculated. Now change it to gap through a threshold and see that it changes.</t>
        </r>
      </text>
    </comment>
    <comment ref="I76" authorId="0" shapeId="0" xr:uid="{ACB52292-B3F6-4B1D-9DB9-CEACDA98AC6F}">
      <text>
        <r>
          <rPr>
            <b/>
            <sz val="9"/>
            <color indexed="81"/>
            <rFont val="Tahoma"/>
            <family val="2"/>
          </rPr>
          <t>Having multiple trigger thresholds in the example to the left is just for illustration (typically a user would either have multiple trigger levels or a single dynamic trigger, but not both). The one implication of having the multiple levels is that if the watched value gaps through multiple levels it will be counted as multiple trigger events, so will be meaningful if a number events to skip or a max number of trigger events is defined. Here is the report of events filtered for the event defined to the left -- if the watched value is changed to gap through multiple trigger thresholds, see that the TimesTriggered reported increases correspondingly.</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F6" authorId="0" shapeId="0" xr:uid="{00000000-0006-0000-2200-000001000000}">
      <text>
        <r>
          <rPr>
            <b/>
            <sz val="9"/>
            <color indexed="81"/>
            <rFont val="Tahoma"/>
            <family val="2"/>
          </rPr>
          <t>U.RAND returns a random number greater than or equal to zero and less than 1.0.
As in the examples below, U.RAND can also return a random value within a specified range.
U.RAND is a non-volatile alternative to Excel's native RAND and RANDBETWEEN functions.</t>
        </r>
      </text>
    </comment>
    <comment ref="F13" authorId="0" shapeId="0" xr:uid="{00000000-0006-0000-2200-000002000000}">
      <text>
        <r>
          <rPr>
            <b/>
            <sz val="9"/>
            <color indexed="81"/>
            <rFont val="Tahoma"/>
            <family val="2"/>
          </rPr>
          <t>If a low value (1st parameter) and/or high value (2nd parameter) is provided, then the random number returned will be bounded by the specified values.</t>
        </r>
      </text>
    </comment>
    <comment ref="F20" authorId="0" shapeId="0" xr:uid="{00000000-0006-0000-2200-000003000000}">
      <text>
        <r>
          <rPr>
            <b/>
            <sz val="9"/>
            <color indexed="81"/>
            <rFont val="Tahoma"/>
            <family val="2"/>
          </rPr>
          <t>If the low and high values are integers, the returned random value will also be an integer.</t>
        </r>
      </text>
    </comment>
    <comment ref="F27" authorId="0" shapeId="0" xr:uid="{00000000-0006-0000-2200-000004000000}">
      <text>
        <r>
          <rPr>
            <b/>
            <sz val="9"/>
            <color indexed="81"/>
            <rFont val="Tahoma"/>
            <family val="2"/>
          </rPr>
          <t>If only a low or high value is provided, the random value will be unbounded on the side that is not specified. The returned value will be an integer if the single value provided is an integer.</t>
        </r>
      </text>
    </comment>
    <comment ref="G35" authorId="0" shapeId="0" xr:uid="{00000000-0006-0000-2200-000005000000}">
      <text>
        <r>
          <rPr>
            <b/>
            <sz val="9"/>
            <color indexed="81"/>
            <rFont val="Tahoma"/>
            <family val="2"/>
          </rPr>
          <t>If the 3rd parameter to U.RAND is set to TRUE, then a random value will be returned for each cell in the calling range.
Any high/low settings are applied to every random number generated.</t>
        </r>
      </text>
    </comment>
    <comment ref="G45" authorId="0" shapeId="0" xr:uid="{00000000-0006-0000-2200-000006000000}">
      <text>
        <r>
          <rPr>
            <b/>
            <sz val="9"/>
            <color indexed="81"/>
            <rFont val="Tahoma"/>
            <family val="2"/>
          </rPr>
          <t>If a row of 1 or 2 integers is passed as the 3rd parameter, the 1st will specify the number of rows in the result and the 2nd (if provided) will specify the number of columns. A single column is returned if only a single number is provided.</t>
        </r>
      </text>
    </comment>
    <comment ref="G55" authorId="0" shapeId="0" xr:uid="{00000000-0006-0000-2200-000007000000}">
      <text>
        <r>
          <rPr>
            <b/>
            <sz val="9"/>
            <color indexed="81"/>
            <rFont val="Tahoma"/>
            <family val="2"/>
          </rPr>
          <t>If the 3rd parameter is a reference to a range that does not appear to contain specifically row and column size settings, the result will be the size of the referenced range. If the parameter contains a valid Runline topic or cache key, the result will be the size of the first page of that report or cached data, respectively.</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00000000-0006-0000-2300-000001000000}">
      <text>
        <r>
          <rPr>
            <b/>
            <sz val="9"/>
            <color indexed="81"/>
            <rFont val="Tahoma"/>
            <family val="2"/>
          </rPr>
          <t>U.WRITE_FILE writes the specified data to a specified output file.
The 1st parameter is the file to which the data should be written. If only a filename is provided instead of a full path, then the file with the specified name will be written into the same directory as the current workbook. Writing to FTP servers is supported by providing an FTP URL as the filepath. The type of file written will be determined by the extension of the provided filename -- see the table to the left for supported file extensions. If the path contains a directory and that directory does not exist, the method will attempt to create it. To instead abort the write when the directory does not exist, precede the path with "[require_dir]" (e.g. "[require_dir]C:\MyFiles\blah.txt")
The 2nd parameter is the data to be written. When a range of data is provided, by default it is written as comma-delimited values. If multiple ranges are selected, the values from those ranges are appended vertically by default (if writing Excel file each range is a tab).
The optional 3rd parameter can be used to specify the handling of quotes around fields when the filetype is csv. By default, double quotes are only added if the field contains a delimiter (by default a comma), a double quote or newline. Supported values for the 3rd parameter are as follows:
    As Needed: same as default
    Strings: double quotes are put around all string values
    All: double quotes are put around every field
    None: double quotes are never added
The optional 4th parameter can be used to specify the field delimiter within a row for csv file types. By default, fields are separated by commas. A delimiter containing a double quote is not allowed. For tab delimited set to "tab" ...or just use a file extension of .txt.
By default the specified file will be overwritten if it already exists. The optional 5th parameter can be used to alter this behavior. Supported values are as follows:
    TRUE: file will not be overwritten if it already exists
    Delete: the file will be deleted if it exists and nothing new will be written*
    Append(&lt;num label rows&gt;): the provided data will be appended to the file if it exists
*When Delete is specified, the 1st parameter can contain many files and directories and each will be deleted. Caution is warranted, as when a directory is included in the list both it and all subdirectories will be deleted.
**If "append" (or "append()") is specified, all data is appended to the file if it exists. If append is parameterized with an integer ...for example "append(1)"... then the specified number of rows at the top will only be written if the file is empty or does not exist. In this way a user can append a range with labels whose values are changing, and the labels will not be repeatedly re-inserted. To prevent unintended appends during recalcs, by default values are not appended unless they have changed since the last append. To force the append even when values are unchanged, include a TRUE in the append method (e.g.: append(TRUE) or append(1,TRUE) ...the order of the parameters does not matter if num labels is also included).
By default raw values are written to the file. To instead have values written as they are displayed in Excel, set the optional 6th parameter to TRUE. To have dates and times written as displayed but retain full raw precision for numbers, pass 2 cells to 6th parameter with the 1st set to TRUE and 2nd set to FALSE. If the output file is an image and the 6th parameter is set to TRUE, then the file saved will be the first Excel chart or shape in the range. If the 6th parameter is set to "binary()" or "directory()" then the data cells are assumed to contain a base64-encoded file or directory, respectively, and so will be concatenated and decompressed to the specified output path. If directory itself has a parameter, then that will filter which of embedded directory files are output (e.g. if parameter is "directory(abc)" then only files in the embedded directory whose paths contain "abc" will be output). If writing an Excel file and the 6th parameter is set to "range()" then the 2nd parameter is processed as a list of ranges to be written to individual tabs. To write whole worksheets just provide the tab name, optionally from another workbook in the instance (e.g. "[myWb.xlsx]Sheet1"). To have formulas always replaced with values use "range(true)". File type .xlsb is supported in this case.</t>
        </r>
      </text>
    </comment>
    <comment ref="E40" authorId="0" shapeId="0" xr:uid="{00000000-0006-0000-2300-000002000000}">
      <text>
        <r>
          <rPr>
            <b/>
            <sz val="9"/>
            <color indexed="81"/>
            <rFont val="Tahoma"/>
            <family val="2"/>
          </rPr>
          <t>When writing to Excel files, the 3rd parameter is used to pass custom tab names. Tab names can be passed in separate cells or as a comma-delimited list of names. When not provided, standard default tab names are applied (e.g. "Sheet1"). When appending data and tab names are included, the append will be done to the existing tab of the same name; if no matching tab is found, a new tab will be created.
This example appends to a multi-tab Excel file (.xlsx) with tabs named "Sales" and "Returns". Because append is parameterized with the number of labels = 1, the labels row will only be written at the top of the file. The append is not forced ...since there is no TRUE withing the append() function... so for each tab a new line will only be appended if the value has actually changed since the last append from the current Excel instance.
Multiple ranges are also supported when writing files as csv, txt, html and pdf. In the first three cases, the output of the ranges is just stacked vertically in the generated file. For PDF files, each range will be a page in the resulting PDF file.
If the data being written is spread across multiple tabs in the source workbook, U.RANGE_REF can be used to refer to those ranges in the 2nd parameter.</t>
        </r>
      </text>
    </comment>
    <comment ref="E61" authorId="0" shapeId="0" xr:uid="{00000000-0006-0000-2300-000003000000}">
      <text>
        <r>
          <rPr>
            <b/>
            <sz val="9"/>
            <color indexed="81"/>
            <rFont val="Tahoma"/>
            <family val="2"/>
          </rPr>
          <t>U.READ_FILE will read the contents of the specified file into Excel. The first parameter is the path of the file to read. If only a filename is provided, it will search for that file in the same directory as the current workbook. If the file cannot be read because another process has it open, by default a temporary copy of the file will be made and that will be read then deleted. To have the read fail instead of creating and reading from a temp copy, include a 2nd column in the 1st parameter and set the left cell to the file and the right cell to FALSE. The path can optionally be a URL to a Web site or an FTP server, in which case the file will automatically be downloaded to a temp file and read.
If the specified file is an Excel workbook, then by default the contents of the first worksheet in the specified workbook are returned. A different worksheet can be specified by appending a pipe character ('|') followed by a worksheet indicator to the filepath. The worksheet indicator can either be the number of the worksheet or the name of the worksheet. If a negative number is provided, the index counting starts at the last worksheet. If no matching worksheet is found, data from the first worksheet is returned.
When the file is not an Excel workbook, the content is assumed to be comma-delimited unless otherwise specified. If the optional 2nd parameter is set to "lines" then the file is returned as a single column with each line in a cell. If it is set to binary() then the file bytes are gzipped and converted to a base64-encoded string; if it is set to directory() and the path is a directory instead of a file, the entire directory is gzipped and the compressed file bytes are returned as a base64-encoded string. If either binary() or directory() has a TRUE param (e.g. binary(true)) then the base64-encoded string will be broken across cells in a row such that the entire string can be placed on a spreadsheet. If directory() itself contains a 2nd parameter, then only files whose paths contain that string (wildcards supported) will be included (e.g. directory(,*.txt) would cause only text files in the directory to captured). If the optional 2nd parameter is otherwise set to anything other than "csv" then file contents will be read into a single cell. To return a hexadecimal-encoded MD5 hash of the file bytes, set the 2nd parameter to "hash".
If the file type contains fields and a special value is used to indicate empty fields (for example, "null") that value can be passed in the optional 3rd parameter and those fields will be replaced with blanks.
By default U.READ_FILE will attempt to parse fields into numeric, boolean and datetime values using the default logic of U.PARSE. To prevent the method from parsing values, set the optional 4th parameter to TRUE.
By default contents of the file are returned directly to the calling range. To instead have the contents placed in a local cache, provide a cache key in the optional 5th parameter. To have values placed in a read-once cache, set the 5th parameter to the boolean value TRUE. If the filepath had been retrieved from a read-once cache and the desire is to have the contents of the file returned directly to the calling cell, set the 5th parameter to FALSE. In this example, the contents of the my_input_data.csv file would be placed into a cache with the key "my_cache".
If the 1st parameter is set to "log" then the log file of the current Excel process will be read with file type set to "lines".
When U.READ_FILE is blocked because the 6th parameter is set to TRUE, then if a cache key is provided and the cache exists the cache key will be returned instead of the block message. To instead have the block message returned in this case, provide 2 columns in the block parameter with both values set to TRUE.</t>
        </r>
      </text>
    </comment>
    <comment ref="B64" authorId="0" shapeId="0" xr:uid="{00000000-0006-0000-2300-000004000000}">
      <text>
        <r>
          <rPr>
            <b/>
            <u/>
            <sz val="9"/>
            <color indexed="81"/>
            <rFont val="Tahoma"/>
            <family val="2"/>
          </rPr>
          <t xml:space="preserve">Files on the Web
</t>
        </r>
        <r>
          <rPr>
            <b/>
            <sz val="9"/>
            <color indexed="81"/>
            <rFont val="Tahoma"/>
            <family val="2"/>
          </rPr>
          <t xml:space="preserve">Most of the file-related methods support working with files on the Web (HTTP, HTTPS, FTP, FTPS, SFTP). When a path provided to a method starts with some Web protocol (e.g.: https://somepage.com) the U Add-In will automatically detect that and interact with the site correctly. When attempting to access a secured Web file, the user must have performed the 1-time action of calling =U.SAVE_CREDENTIALS(&lt;domain&gt;, &lt;username&gt;, &lt;password&gt;, [&lt;private key&gt;]) on the machine so that U is able to provide the required credentials to the Web resource.
</t>
        </r>
        <r>
          <rPr>
            <b/>
            <u/>
            <sz val="9"/>
            <color indexed="81"/>
            <rFont val="Tahoma"/>
            <family val="2"/>
          </rPr>
          <t xml:space="preserve">
Special Handling for SFTP</t>
        </r>
        <r>
          <rPr>
            <b/>
            <sz val="9"/>
            <color indexed="81"/>
            <rFont val="Tahoma"/>
            <family val="2"/>
          </rPr>
          <t xml:space="preserve">
In order to interact with SFTP, prefix the domain with sftp:// (e.g. sftp://somesecureftp.com). This prefixing is an U convention that tells it the protocol. The sftp:// prefix should be applied both when setting credentials in U.SAVE_CREDENTIALS(...) and when providing paths in U file methods.
If the credentials used for the SFTP site contain a password, by default the password will be used both to encrypt the private key and for user authentication. To prevent it from being used on the private key, insert the special [PWD_FOR_USER_ONLY] indicator after the protocol in the path passed to a file method. For example:
    =U.COPY_FILE("sftp://[PWD_FOR_USER_ONLY]somesecureftp.com/some_file.txt", "C:/MyDownloads")
To prevent the password from being used to perform user authentication, insert [PWD_FOR_KEY_ONLY] instead. If the intent is to only provide the raw private key and to not perform user authentication, then no password should be provided when setting the SFTP credentials.
The default SFTP port of 22 is assumed unless otherwise specified in the path (e.g. if the SFTP server is on port 900, that can be included in the path in the usual way: sftp://somesecureftp.com:900/some_file.txt).
To specify use of keyboard-interactive authentication, insert the indicator [KEYBOARD_INTERACTIVE_AUTHN]. To ONLY use keyboard-interactive authentication, use the indicator [KEYBOARD_INTERACTIVE_AUTHN_ONLY].</t>
        </r>
      </text>
    </comment>
    <comment ref="C86" authorId="0" shapeId="0" xr:uid="{00000000-0006-0000-2300-000005000000}">
      <text>
        <r>
          <rPr>
            <b/>
            <sz val="9"/>
            <color indexed="81"/>
            <rFont val="Tahoma"/>
            <family val="2"/>
          </rPr>
          <t>U.FIND_FILE searches for the specified file in the specified directory, or in the directory where the current workbook resides if no directory is specified. The 1st parameter is the file to find, which can contain wildcards (* and/or ?), and the 2nd parameter is the top directory in which to begin the search. Subdirectories are searched by default; set the optional 4th parameter to TRUE to search only the specified top directory. To ignore specific subdirectories (and their subdirectories) send a list of directories to ignore in the optional 3rd parameter. Directories for which user lacks permission are automatically ignored. When wildcard characters are used all matching files are returned. If the optional 5th parameter is set to a datetime, only files written on or after that time will be returned and the results will contain a 2nd column showing the write time of each file returned (set 5th parameter to 0 to include the column of write times without filtering out any results). The optional 6th parameter can be set to specify the max number of results to return (default is unlimited); if a negative number is provided, the results returned are the last matches found. For FTP searches a 2nd number can be provided that indicates the number of seconds before the search times out; default is 90 seconds if not set; set to -1 for no timeout. When a search times out, any partial results are returned with first row set to "TIMEOUT!".
If the filename is passed in the dir function such as "dir(my_folder)" then the search is for matching directories ("my_folder") instead of files. Wildcards are still supported.
If the 2nd parameter is an FTP URL, the files and directories in the specified FTP folder will be returned. If the 2nd parameter ends with &gt;, then the path delimiter immediately after the top directory will be replaced with &gt; in the paths of any files found (note that this makes it an invalid path, but suitable to indicate inclusion of subdirectory structure in U.COMPILE).
Multiple distinct filenames/patterns can be provided in the 1st parameter by delimiting them with a pipe character (|), and individual patterns can be exclusion patterns by surrounding them in not(). For example to find all files that do not start with "a" the 1st parameter would be "*|not(a*)" (the * finds all, but then the "not(a*)" excludes files starting with 'a').</t>
        </r>
      </text>
    </comment>
    <comment ref="C99" authorId="0" shapeId="0" xr:uid="{00000000-0006-0000-2300-000006000000}">
      <text>
        <r>
          <rPr>
            <b/>
            <sz val="9"/>
            <color indexed="81"/>
            <rFont val="Tahoma"/>
            <family val="2"/>
          </rPr>
          <t>Watches specified directory for any changes to files that match specified pattern and updates to the current time when a change is seen. If no directory is provided then the directory of the current workbook is watched. If no pattern is provided then all files are watched. By default subdirectories are also watched -- set the 3rd parameter to TRUE to watch only the top directory for changes. Multiple distinct patterns can be provided by delimiting them with a pipe character (|), and individual patterns can be exclusion patterns by surrounding them in not() (e.g. "not(&lt;pattern&gt;)").
By default, a backup file check is performed periodically as a precaution in case Windows does not notify of a file change. The backup check interval default is 60 seconds if the filename has wildcards and 15 seconds if watching a specific file. The interval can be changed by setting the optional 4th parameter to an integer; a max of 86400 (1 day) is enforced. The backup check can be removed by setting the 4th parameter to zero or FALSE. If the 4th parameter is set to TRUE then *only* the backup check is performed, which may be desired in cases where the Windows file events are unreliable (for example, if they fire before the file is not done being updated). If the 4th parameter is a negative number, the absolute value of that number will be the interval in seconds of the backup check and again only the backup check will be performed.
If the desire is to watch a specific file, set the 1st parameter to its directory path, the 2nd parameter to the filename, and set the 3rd parameter to TRUE. Alternatively, a single file can be watched by providing 2 columns in the 1st parameter: the 1st column being the full path to the file and the 2nd column being set to TRUE. If the 1st column is blank and the 2nd column is set to TRUE then the current workbook is watched.</t>
        </r>
      </text>
    </comment>
    <comment ref="C112" authorId="0" shapeId="0" xr:uid="{00000000-0006-0000-2300-000007000000}">
      <text>
        <r>
          <rPr>
            <b/>
            <sz val="9"/>
            <color indexed="81"/>
            <rFont val="Tahoma"/>
            <family val="2"/>
          </rPr>
          <t>U.COPY_FILE can be used to copy, rename and zip/unzip files and directories. In the simplest use case illustrated here, a specific source file specified in the 1st parameter is copied with the same filename to a target directory specified in the 2nd parameter. If the target directory does not exist, the method will attempt to create it. To instead abort the copy when the target directory does not exist, precede the target with "[require_dir]" (e.g. "[require_dir]C:\MyFiles")
If only a filename is given as the source, the method will attempt to locate the file in the same directory (or a subdirectory) of the current workbook. If the source contains a directory name instead of a filename, then the entire directory will be copied.
If the filename in the source contains a wildcard character (* or ?) then all files matching the pattern in the top directory (here C:\Users\bsmith\Downloads) would be copied to the target directory. To search for all files matching a pattern in the source directory and its subdirectories, pass the source directory as a 2-column wide range with just the top directory in the left cell and the filename (or pattern if it has wildcards) to find in the right cell; multiple patterns can be passed in the right cell by delimiting them with a pipe character (|), and exclusion patterns can be specified by surrounding the pattern in "not(&lt;pattern&gt;)". All files found will be copied to the target directory with their relative paths intact. You can choose to have all files copied to just the top level of the target directory ...regardless of how deeply in the source directory structure they were found... by passing the target directory as a 2-column wide range and setting the right cell to TRUE (for "ignore directory structure"). To limit the number of files found and copied, include a "max(&lt;num&gt;)" parameter among the pipe-delimited filenames; for example, to copy only the first file found include "max(1)" as a pipe-delimited value in the 2nd column. Appending pipe-delimited "max(...)" and "not(...)" to a single column source path will also work, in which case the restrictions will be applied but subdirectories will not be searched.
To rename a file, set the optional 3rd parameter to the new name of the file. If the 3rd parameter is a range of names that is exactly the same size as a range of sources AND sources refer to a single file only, then each source will be copied to the target directory with a changed name if the corresponding cell in the 3rd parameter has a non-blank value. In this way, many files can be copied at once with only a few renamed. If there is a single source that is a directory and a single target filename that does not end in ".zip" is given in the 3rd parameter, then the directory will be renamed to the specified directory name.
If the 3rd parameter is a full path and the 2nd parameter is blank, the directory from the 3rd parameter will be used as the target directory. If the 2nd parameter is blank and the 3rd parameter does not contain a full path, then the target directory will be set to the same as the source directory if the source is not just a directory and the filename is being changed, otherwise the target directory will be set to the directory of the current workbook.
By default, U.COPY_FILE will not overwrite target files that already exist. To have the copy overwrite any target files that already exist, set the optional 4th parameter to TRUE. If the source is a directory and a directory of the same name already exists in the target directory and the desire is to completely replace the existing directory with the source, include 2 columns in the 4th parameter and set both to TRUE. Any deleted files/directories are sent to the recycle bin by default - to instead have them deleted permanently, include a 3rd column in the 4th parameter and set it to TRUE.
U.COPY_FILE can zip and unzip files and directories by setting the optional 5th parameter ("flip zip") to TRUE. If set to TRUE, zipped files will be extracted and unzipped files will be zipped. If the source refers to multiple files that are unzipped, by default each will be placed in its own zip file. To have all placed into a single zip file, either provide a target name in the 3rd parameter that has a ".zip" extension and also set the 5th parameter to TRUE ...OR set the 5th parameter to "zip" to indicate that all files should be zipped together. To zip files using gzip instead of Windows zip, either provide a filename that has a ".gz" extension (while setting the 5th parameter to TRUE) or set the 5th parameter to "gzip".
When the source file is a .zip, .tar.gz or .tar file and the 5th "flip zip" parameter is set to TRUE, all of the files in the archive will be extracted to the target directory. By default a new subdirectory is created in the target directory whose name matches that of the archive being extracted (less its extension) and files are extracted into that subdirectory. To instead have files extracted directly into the target directory, pass the 5th parameter in as a 2-column wide range with the left cell set to TRUE (to set "flip zip" to TRUE) and the right cell set to FALSE.
U.COPY_FILE will not delete the files copied by default. To have the source files deleted after a successful copy, set the optional 6th parameter to TRUE. If the 6th parameter is TRUE and the copy is a search for all files in a directory and its subdirectories (source has a 2nd value of "*"), then the source directory structure will also be deleted by default. To prevent deletion of the source directory structure, pass 2 values to the 6th parameter as a row vector and set the 2nd value explicitly to FALSE. Any deleted source files/directories are sent to the recycle bin by default - to instead have them deleted permanently, include a 3rd column in the 6th parameter and set it to TRUE.</t>
        </r>
      </text>
    </comment>
    <comment ref="C122" authorId="0" shapeId="0" xr:uid="{A25D9A43-C36D-4F4C-9C64-43BF7F2B9395}">
      <text>
        <r>
          <rPr>
            <b/>
            <sz val="9"/>
            <color indexed="81"/>
            <rFont val="Tahoma"/>
            <family val="2"/>
          </rPr>
          <t>This example uses additional features of U.COPY_FILE. From the directory C:\Research\SourceFiles it finds all files with a the extension ".txt" …excluding those whose filenames begin with "a" or "b"… and zips them into a single text_files.zip file in located in C:\Users\jsmith\Desktop, with the original directory structure retained in the zip file.
Filters are applied against only the filename by default. To have a filter applied against the entire filepath, include a forward slash (\) or backslash (/) somewhere in the filter. For example, a filter of not(/a*/) would exclude files where any directory in the path starts with an 'a'.</t>
        </r>
      </text>
    </comment>
    <comment ref="C152" authorId="0" shapeId="0" xr:uid="{00000000-0006-0000-2300-000008000000}">
      <text>
        <r>
          <rPr>
            <b/>
            <sz val="9"/>
            <color indexed="81"/>
            <rFont val="Tahoma"/>
            <family val="2"/>
          </rPr>
          <t xml:space="preserve">Opens Windows Explorer to the specified directory, the directory of the specified file, or directory of the current workbook if no directory or file provided. To begin search for specified directory or file in a different top directory, pass that top directory as the optional second parameter. Wildcards (* and ?) are supported.
</t>
        </r>
      </text>
    </comment>
    <comment ref="C155" authorId="0" shapeId="0" xr:uid="{4EAA9B1B-88C7-4B90-B36B-65670916720C}">
      <text>
        <r>
          <rPr>
            <b/>
            <sz val="9"/>
            <color indexed="81"/>
            <rFont val="Tahoma"/>
            <family val="2"/>
          </rPr>
          <t>All U file methods will recognize the directory keywords listed to the left and replace them with the corresponding file paths. If a provided path starts with a directory keyword and contains subdirectory info (e.g. "mydocuments\pictures") then the path will be to the subdirectory as would be expected.</t>
        </r>
      </text>
    </comment>
    <comment ref="C182" authorId="0" shapeId="0" xr:uid="{D52DBCAB-CAD0-4876-8B1A-936CC8AC8650}">
      <text>
        <r>
          <rPr>
            <b/>
            <sz val="9"/>
            <color indexed="81"/>
            <rFont val="Tahoma"/>
            <family val="2"/>
          </rPr>
          <t>U.MAKE_LINK will create a symbolic link directory that automatically redirects to a specified target directory. An optional 3rd parameter can be set to TRUE to prevent updating a symbolic link path that already exists.</t>
        </r>
      </text>
    </comment>
    <comment ref="B190" authorId="0" shapeId="0" xr:uid="{00000000-0006-0000-2300-000009000000}">
      <text>
        <r>
          <rPr>
            <b/>
            <sz val="9"/>
            <color indexed="81"/>
            <rFont val="Tahoma"/>
            <family val="2"/>
          </rPr>
          <t>U.RECENT will return the list of recently used workbooks as maintained by Excel, in the order provided by Excel.
Excel's recent file list will contain files even if they have been moved or deleted. By default, U.RECENT will remove files from the returned list if they cannot be found. To have the full list returned regardless of whether the file can be found or not, set the optional parameter to TRUE.
In this example U.DO is used with an U.NOW trigger only so the method recalculates when the workbook is opened. The U.NOW is in its own cell and referenced there because it is an RTD method, and RTD methods should never be nested in multi-cell array formulas.</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00000000-0006-0000-2400-000001000000}">
      <text>
        <r>
          <rPr>
            <b/>
            <sz val="9"/>
            <color indexed="81"/>
            <rFont val="Tahoma"/>
            <family val="2"/>
          </rPr>
          <t>U.LAUNCH_EXCEL will launch the specified Excel workbooks if they are not already open. A current time will be returned for each spreadsheet launched, and for those not launched the reason why will be returned. If only a workbook name is given instead of a full path, the directory of the current workbook will be searched (including subdirectories) and the first workbook found with that name will be launched. If the path to a workbook is an FTP or HTTP address, a local copy of the workbook will be downloaded automatically and launched. If the first parameter has the special value "new" then a new, blank workbook is opened.
Workbooks launched using U.LAUNCH_EXCEL are able to be controlled by other workbooks using U.CONTROL_EXCEL (except when the 1st parameter is set to "new", the 5th param set to "safe" or a 2nd column value of the 4th param set to TRUE). Any saved settings are applied when the workbooks open, such as the window size and placement on the screen.
By default an attempt is made to open each workbook in regular mode. To open workbooks in read-only mode set the optional 2nd parameter to TRUE.
By default any dialogs Excel attempts to display when launching are suppressed; to show them set the optional 3rd parameter to TRUE.
By default each workbook is opened in its own, new Excel process (to avoid issues deriving from Excel 2013 and later behavior of launching all workbooks in a single process by default). If the desire is to open workbooks in the current Excel process, then set the optional 4th parameter to TRUE. By default the intellisense display that shows parameter descriptions as U methods are entered is not enabled for workbooks launched in a new process; to enable it, explicitly set the 4th parameter to FALSE instead of just leaving it blank. If a 2nd column value of TRUE is provided in the 4th parameter, then launched workbooks will not automatically be placed into a control-enabled state.
By default any links are refreshed when workbooks are opened. To prevent links from being refreshed, set the optional 5th parameter to TRUE. If the 5th parameter is set to "safe" then Excel is launched in Safe Mode.
The optional 6th parameter can be used to delay calculation of a workbook after launching, which can be helpful in distributing the load of recalculation when launching multiple workbooks at the same time. If set to a positive number, the Excel instance in which the workbook is launched will be set to manual calc mode for that number of seconds then changed to automatic calc mode. If multiple workbooks are specified, then the delay is increased linearly with each workbook; for example, if the delay is 10 seconds then the 1st workbook will be in manual calc mode for 10 seconds, the 2nd for 20 seconds, etc. A max of 3600 seconds (1 hour) is enforced. Note that use of the setting this way will always cause the workbook to be flipped to automatic calc mode, even if it had previously been saved in manual calc mode. A negative number can be provided, in which case after that number of seconds the workbook will be calculated but not changed to auto calc mode. A negative number can be provided, in which case after that number of seconds the workbook will be calculated but not changed to auto calc mode. If a 2nd number is provided to this param, the launches of the Excel instances will themselves be staggered by that number of seconds. A max of 60 seconds enforced, since the current sheet remains frozen as workbooks are launched. In this case, a calc delay specified in the 1st number provided is not increased with each launch. Set the 2nd number to -1 to eliminate the increasing calc delay without introducing any staggered launch.
Sometimes Excel's calc tree becomes corrupted in a way results in an Excel workbook freezing or crashing when it is opened. The solution is often to open the workbook in manual calculation mode and perform a full recalc that rebuilds the calc tree (Control-Alt-Shift-F9). If the optional 7th parameter is set to TRUE, this type of full recalc will be performed when the workbook is launched. This can often prevent launch issues in workbooks that otherwise tend to freeze.
It can take a few seconds after a workbook is closed before U.LAUNCH_EXCEL is able to detect the workbook is no longer open. So a "workbook already open" message may appear if you attempt to launch a workbook immediately after it was closed.
U.LAUNCH_EXCEL will work with paths containing a mapped drive letter that points to a share drive, but note that such mappings are user-specific so may not apply to other users of the sheet. It is better to use the full network path (UNC) to sheets on a share drive. The U.NETWORK_PATH method can be used to discover the full network path of a drive.</t>
        </r>
      </text>
    </comment>
    <comment ref="E31" authorId="0" shapeId="0" xr:uid="{00000000-0006-0000-2400-000002000000}">
      <text>
        <r>
          <rPr>
            <b/>
            <sz val="9"/>
            <color indexed="81"/>
            <rFont val="Tahoma"/>
            <family val="2"/>
          </rPr>
          <t>U.SAVE_WORKBOOK_PASSWORD can be used to record a workbook password into an encrypted, user-specific file so that it can be launched by U.LAUNCH_EXCEL without requiring the user to manually enter the password upon launching. If the method is called with a blank password, then a dialog will be presented to securely enter one. If the 2nd parameter is set to "delete" then any presently saved password for the specified workbook will be removed. When launching a password-protected workbook, users will still be prompted to enter a correct password if the saved password is not correct.</t>
        </r>
      </text>
    </comment>
    <comment ref="E40" authorId="0" shapeId="0" xr:uid="{00000000-0006-0000-2400-000003000000}">
      <text>
        <r>
          <rPr>
            <b/>
            <sz val="9"/>
            <color indexed="81"/>
            <rFont val="Tahoma"/>
            <family val="2"/>
          </rPr>
          <t>U.CONTROL_EXCEL is used to specify control parameters for controllable workbooks. If the specified workbook is open and control is enabled, the specified settings will be applied. Even if the specified workbook is not open or control is not enabled, the specified settings are saved and will be applied the next time the workbook is open and in a control-enabled state. If the WorkbookName setting is not specified, settings are assumed to be for the current workbook and the settings will be applied even if the workbook is not in a control-enabled state (unless control is explicitly disabled).
The full list of available control settings is given below. Users can specify only those that they need in a given context, and the most recent value of a given setting is persisted across calls. Some control settings are 1-time actions (items in red below) whose value is not retained after being applied and which are never applied when a workbook is first opened.
In this first example, the workbook blah2.xlsx (launched above, so control is enabled) is set to be 500 pixels x 500 pixels and located in the top-left corner of the computer screen; also, a "clean" look is applied to maximize the viewing area for data.
If U.CONTROL_EXCEL is called with a single parameter that is the boolean value of TRUE, then common settings for the current workbook will be reverted to their default state. This can be a way to make view elements appear, to re-enable Excel alerts, etc quickly from within the current workbook.
Note: Excel is notorious for not always re-rendering view elements consistently when they are changed programmatically. In some cases it may be necessary to toggle any random control (e.g. toggle FromTop from 0 to 5, then back to 0) or to move the mouse over ...or in the worst case even click on... an Excel screen to force it to repaint. Several precautions have been taken to try and ensure Excel does repaint itself, but it is doubtful Excel will ever perform perfectly in this regard. If this does occur it is most likely to only be a practical issue as workspace layouts are first being designed, since that is when Excel control settings are most likely to be changed regularly.
If you pass just the special string "unhide all" (i.e. =U.CONTROL_EXCEL("unhide all")) then any invisible Excel instances that are in a control-enabled state on the machine will be unhidden.</t>
        </r>
      </text>
    </comment>
    <comment ref="E57" authorId="0" shapeId="0" xr:uid="{00000000-0006-0000-2400-000004000000}">
      <text>
        <r>
          <rPr>
            <b/>
            <sz val="9"/>
            <color indexed="81"/>
            <rFont val="Tahoma"/>
            <family val="2"/>
          </rPr>
          <t>Here the same blah2.xlsx workbook is ready to be made invisible by toggling the value of the Visible control parameter to TRUE. The user has a cluttered desktop and is concerned that when he toggles blah2.xlsx back to being visible it could remain hidden behind other apps open on his computer, so he includes the BringToFront control with a value of TRUE to ensure the window will be brought in front of all other apps when he makes it visible.</t>
        </r>
      </text>
    </comment>
    <comment ref="E64" authorId="0" shapeId="0" xr:uid="{00000000-0006-0000-2400-000005000000}">
      <text>
        <r>
          <rPr>
            <b/>
            <sz val="9"/>
            <color indexed="81"/>
            <rFont val="Tahoma"/>
            <family val="2"/>
          </rPr>
          <t>Here the blah2.xlsx workbook, if control-enabled, will be saved and closed when this call to U.CONTROL_EXCEL recalculates.
CAUTION: alerts are always suppressed when closing a workbook using U.CONTROL_EXCEL. If the Close or Quit control is set to TRUE without a Save control whose value is TRUE, then any unsaved changes will be lost when the workbook is closed.</t>
        </r>
      </text>
    </comment>
    <comment ref="B71" authorId="0" shapeId="0" xr:uid="{00000000-0006-0000-2400-000006000000}">
      <text>
        <r>
          <rPr>
            <b/>
            <sz val="9"/>
            <color indexed="81"/>
            <rFont val="Tahoma"/>
            <family val="2"/>
          </rPr>
          <t>U.GET_CONTROL_SETTINGS lists all available control settings. Items in red at the bottom are 1-time action settings that are reverted to their default values (of false = "no action") after being applied. Items in blue are always applied when the workbook is opened. Items in green are application-wide Excel options.
An optional parameter of a workbook name filter can be provided to U.GET_CONTROL_SETTINGS. If provided then a fuller report showing the settings for all known workbooks whose names contain the specified filter is returned. The name filter supports standard wildcard characters (* and ?). If the value TRUE is provided as the optional parameter, the returned report will be slimmer and contain only the settings of the calling workbook.</t>
        </r>
      </text>
    </comment>
    <comment ref="E133" authorId="0" shapeId="0" xr:uid="{00000000-0006-0000-2400-000007000000}">
      <text>
        <r>
          <rPr>
            <b/>
            <sz val="9"/>
            <color indexed="81"/>
            <rFont val="Tahoma"/>
            <family val="2"/>
          </rPr>
          <t>When a workbook is opened by some means other than by U.LAUNCH_EXCEL, by default it is not able to be controlled by other workbooks. To make such a workbook controllable, use the method U.ENABLE_CONTROL(). This will enable control for every workbook running in the instance of Excel where the equation was entered.
By default, U.ENABLE_CONTROL will immediately apply any saved settings that may exist for the workbook. To enable the control feature but have current workbook settings override any saved settings, pass TRUE as the optional parameter when entering.
U.ENABLE_CONTROL will always calculate at least once when a sheet is opened if the sheet was saved with the equation in a cell ...unless the sheet is opened in manual recalc mode, in which case it will calculate upon the first recalculation.
When control is enabled by using U.ENABLE_CONTROL, it can be revoked simply by deleting the method from all cells where it was entered. The presence or absence of this method has no impact for sheets launched using U.LAUNCH_EXCEL, as control is always enabled for those (unless disabled using the DisableControl control setting, which itself can be reverted by another workbook).</t>
        </r>
      </text>
    </comment>
    <comment ref="E145" authorId="0" shapeId="0" xr:uid="{00000000-0006-0000-2400-000008000000}">
      <text>
        <r>
          <rPr>
            <b/>
            <sz val="9"/>
            <color indexed="81"/>
            <rFont val="Tahoma"/>
            <family val="2"/>
          </rPr>
          <t>U.IS_CONTROL_ENABLED returns TRUE or FALSE to indicate whether the workbook is currently in a control-enabled state. Its value will update automatically as the state changes, though if the workbook is saved with a different name then the cell must be recalculated to continue to update correctly. Logic can be conditioned off of the control-enabled state so that the sheet behaves differently, for example, when it is launched using U.LAUNCH_EXCEL versus when it is opened manually for editing.</t>
        </r>
      </text>
    </comment>
    <comment ref="E150" authorId="0" shapeId="0" xr:uid="{00000000-0006-0000-2400-000009000000}">
      <text>
        <r>
          <rPr>
            <b/>
            <sz val="9"/>
            <color indexed="81"/>
            <rFont val="Tahoma"/>
            <family val="2"/>
          </rPr>
          <t>Any control settings saved for a given workbook can be cleared by calling U.CONTROL_EXCEL and including a control name of "ClearSettings" with a value of TRUE. When a ClearSettings line is included all other lines except for WorkbookName are ignored.</t>
        </r>
      </text>
    </comment>
    <comment ref="H158" authorId="0" shapeId="0" xr:uid="{6029C3CD-A14E-4000-A4A8-ED81B336E6B9}">
      <text>
        <r>
          <rPr>
            <b/>
            <sz val="9"/>
            <color indexed="81"/>
            <rFont val="Tahoma"/>
            <family val="2"/>
          </rPr>
          <t>U.GET_EXCEL_PROCESSES can be used to view basic information about Excel processes running on the current machine. The report is refreshed each time it is recalculated.
The list of workbooks running in a given process only updates frequently for workbooks that were launched using U.LAUNCH_EXCEL.</t>
        </r>
      </text>
    </comment>
    <comment ref="E168" authorId="0" shapeId="0" xr:uid="{00000000-0006-0000-2400-00000B000000}">
      <text>
        <r>
          <rPr>
            <b/>
            <sz val="9"/>
            <color indexed="81"/>
            <rFont val="Tahoma"/>
            <family val="2"/>
          </rPr>
          <t>Calling U.LAUNCH_EXCEL with "CLEAR" in the 2nd parameter will remove the record of prior launches for the specified workbooks. By clearing the record of prior launches, a workbook can be re-launched within 2 minutes of the prior launch.
Caveat: U.LAUNCH_EXCEL delays in attempting to relaunch a workbook in order to minimize the odds of inadvertently launching multiple copies of workbooks in a way that could lead to unexpected results. Only clear the launch record for a specific workbook when certain the workbook is not running invisibly.</t>
        </r>
      </text>
    </comment>
    <comment ref="E178" authorId="0" shapeId="0" xr:uid="{00000000-0006-0000-2400-00000C000000}">
      <text>
        <r>
          <rPr>
            <b/>
            <sz val="9"/>
            <color indexed="81"/>
            <rFont val="Tahoma"/>
            <family val="2"/>
          </rPr>
          <t>U.KILL_EXCEL_PROCESSES will kill processes specified by ID if they are Excel instances. If the current process is in the list of Excel processes to be killed, it will be killed last.
If the special parameter of TRUE is passed instead of a list of process IDs, then all Excel processes except for the current process will be killed.
The U Add-In will automatically detect and kill "ghost" instances of Excel running in the background. These are Excel processes that are running but are invisible and cannot be made visible again (versus an instance that is deliberately invisible). Such instances are common when Excel is launched automatically in an incorrect way, which is common when users launch Excel via a custom script. The automatic detection and killing of ghost instances occurs whether or not U.KILL_OR_PROCESSES is ever called, though if desired it can be disabled by configuration.</t>
        </r>
      </text>
    </comment>
    <comment ref="E188" authorId="0" shapeId="0" xr:uid="{00000000-0006-0000-2400-00000D000000}">
      <text>
        <r>
          <rPr>
            <b/>
            <sz val="9"/>
            <color indexed="81"/>
            <rFont val="Tahoma"/>
            <family val="2"/>
          </rPr>
          <t>If U.RECALC is present in any cell, the workbook will be fully recalculated when it is opened provided the workbook is not in manual recalc mode. An optional interval in seconds can be provided, and if it is then the workbook will be recalculated on that interval (a min of 0.25 seconds and a max of 3600 seconds is enforced). If the interval is a negative number, then  the recalculation still occurs on that interval but the initial full recalculation when the workbook is opened will be skipped.
A range to be forcibly recalculated on the specified interval can be provided in the optional 2nd parameter. Multiple distinct ranges are supported by separating them with commas and surrounding in parentheses (or by using U.RANGE_REF), and any methods in the range(s) will be recalculated even if they have a "block" parameter set to TRUE. If the optional 2nd parameter is set to TRUE, then a full recalc is done on the specified interval; if it is a 2-column wide input with the 2nd column set to TRUE, then Excel's calc dependency tree is rebuilt and a full recalc is performed. If the interval is omitted or explicitly set to zero AND ranges are specified AND the method is itself blocked, then when allowed to calc it will do a one-time unblock and recalc of the specified ranges.</t>
        </r>
      </text>
    </comment>
    <comment ref="E194" authorId="0" shapeId="0" xr:uid="{00000000-0006-0000-2400-00000E000000}">
      <text>
        <r>
          <rPr>
            <b/>
            <sz val="9"/>
            <color indexed="81"/>
            <rFont val="Tahoma"/>
            <family val="2"/>
          </rPr>
          <t>U.WORKBOOK_NAME returns the name of the current workbook.
If the optional parameter is provided and set to TRUE then the extension will be dropped. If the optional parameter is provided and set to FALSE then the full path to the workbook will be returned. If the optional parameter contains an asterisk (*) then the names of all workbooks open in the current Excel instance are returned (TRUE and FALSE still supported by separating with a comma, e.g. "*,TRUE").</t>
        </r>
      </text>
    </comment>
    <comment ref="E200" authorId="0" shapeId="0" xr:uid="{00000000-0006-0000-2400-00000F000000}">
      <text>
        <r>
          <rPr>
            <b/>
            <sz val="9"/>
            <color indexed="81"/>
            <rFont val="Tahoma"/>
            <family val="2"/>
          </rPr>
          <t xml:space="preserve">U.WORKSHEET_NAME returns the name of the current worksheet.
</t>
        </r>
      </text>
    </comment>
    <comment ref="E205" authorId="0" shapeId="0" xr:uid="{00000000-0006-0000-2400-000010000000}">
      <text>
        <r>
          <rPr>
            <b/>
            <sz val="9"/>
            <color indexed="81"/>
            <rFont val="Tahoma"/>
            <family val="2"/>
          </rPr>
          <t>If the first parameter of WORKSHEET_NAME is set, then the current worksheet will be renamed to the name provided.
The current name of some other sheet in the workbook can be provided as an optional 2nd parameter. If provided, that is the sheet that will be renamed to the value of the 1st parameter. A worksheet in another workbook open in the Excel instance can be renamed by prefixing the worksheet name with the workbook name in square brackets (e.g. "[myWb.xlsx]Sheet1").
If the 1st parameter contains an asterisk ("*") then a list of all worksheets in the current workbook will be returned as a column vector. Prefix the asterisk with the workbook name in square brackets to return all worksheets from another workbook open in the Excel instance (e.g. [myWb.xlsx]*).</t>
        </r>
      </text>
    </comment>
    <comment ref="E210" authorId="0" shapeId="0" xr:uid="{00000000-0006-0000-2400-000011000000}">
      <text>
        <r>
          <rPr>
            <b/>
            <sz val="9"/>
            <color indexed="81"/>
            <rFont val="Tahoma"/>
            <family val="2"/>
          </rPr>
          <t>U.WORKSHEET_NAME can also be used to change a worksheet tab's color by passing a color prefixed with "color:" (or just c:) instead of a new name for the worksheet. Supported color names are black, white, red, green, blue, yellow, pink, brown, purple, gray and orange. The values auto and none are also supported to indicate the color should be set by the theme or there should be no tab color, respectively. Any integer value between 1 and 56 can also be passed (eg: color:27) and it will set the tab to that Excel colorindex value (an online search will show what each index value means). As when changing a worksheet name, the name of a different sheet to change can be given in the 2nd parameter...which can again have a workbook prefix in square brackets to specify a worksheet in another open workbook.</t>
        </r>
      </text>
    </comment>
    <comment ref="E214" authorId="0" shapeId="0" xr:uid="{20EE8FAF-8694-4F82-92B7-B71815790EDC}">
      <text>
        <r>
          <rPr>
            <b/>
            <sz val="9"/>
            <color indexed="81"/>
            <rFont val="Tahoma"/>
            <family val="2"/>
          </rPr>
          <t>U.WORKSHEET_NAME supports copying, creating, deleting and sorting worksheets. If either the 1st parameter contains more than a single cell and/or the 2nd parameter contains an asterisk (*) then these features are invoked. In this example, a worksheet named "SymbolTemplate" will be copied 3 times with the copies having the names NFLX, AMZN and AIG. The copies will be placed at the end of the workbook in the order provided. To have a copy instead created in a new workbook, place it's name in square brackets (e.g. "[NFLX]"). If the intent is to only create a single copy, then either still pass 2 cells as the 1st parameter with one just being blank OR include an asterisk in the 2nd parameter (e.g. "SymbolTemplate*"). If a given name already exists in the workbook, that copy will not be made. To copy a worksheet from another workbook open in the instance, prefix the source worksheet name with the workbook name in square brackets (e.g. [SomeWb.xlsx]SymbolTemplate).
If the 2nd parameter is not provided, then new blank worksheets will be created at the end of the workbook for each valid name in the 1st param provided a worksheet by that name does not already exist.
If the 2nd parameter is provided and is set to only an asterisk ("*") then worksheets specified in the 1st parameter will be sorted to the front of the workbook in the order specified.
If the 2nd parameter is set to the string "[delete]" then worksheets specified in the 1st parameter will be deleted. Worksheets in a different workbook open in the Excel instance can be deleted by prefixing them in the 1st parameter with the workbook name in square brackets.
When worksheets are copied, created or sorted the returned value is the time of the last recalculation of the method.</t>
        </r>
      </text>
    </comment>
    <comment ref="E228" authorId="0" shapeId="0" xr:uid="{9BA67691-EDAA-462C-BAB7-F6CB41548D9B}">
      <text>
        <r>
          <rPr>
            <b/>
            <sz val="9"/>
            <color indexed="81"/>
            <rFont val="Tahoma"/>
            <family val="2"/>
          </rPr>
          <t>U.RANGE_NAME returns the friendly name of the specified range or RANGE_REF ID. If the specified range is a single cell containing a RANGE_REF ID, the friendly name of that ID is returned. If the first parameter is a string in the form of "used_range(&lt;RANGE_REF ID&gt;)" then the friendly name of the used range of the referenced worksheet is returned.
If the optional 2nd parameter is set to TRUE, then single quotes will be placed around the qualified worksheet name if they would be added by Excel in a formula. If the 1st parameter is a string that is a valid range name and the 2nd parameter is TRUE, the string will be modified to include such single quotes if Excel would add them when used in a formula.</t>
        </r>
      </text>
    </comment>
    <comment ref="E235" authorId="0" shapeId="0" xr:uid="{00000000-0006-0000-2400-000012000000}">
      <text>
        <r>
          <rPr>
            <b/>
            <sz val="9"/>
            <color indexed="81"/>
            <rFont val="Tahoma"/>
            <family val="2"/>
          </rPr>
          <t>U.SET_OPEN_VALS is used to ensure that certain values exist in specified cells when the workbook containing the method is opened. It does this by pasting the designated values (2nd parameter) into the specified target range (1st parameter) whenever Excel's WorkbookOpen or WorkbookBeforeClose event fires. If no values are specified in the 2nd parameter, then the specified range will be filled with blanks. The event fires on the WorkbookBeforeClose event to ensure the sheet is saved with the desired values in place, since there is no guarantee that Excel's WorkbookOpen event will calculate before other methods when the workbook is opened. The return value of the U.SET_OPEN_VALS is the last time it fired, or blank if it has not yet fired. The method must remain in the workbook for the paste to occur -- if the method is deleted, the instruction to perform that particular paste is also removed.
Note that a user could still save a sheet with other values in the target range. Because the method updates the values in that range when the workbook is closed, the user would be prompted by Excel to save changes. If the user chooses not to save changes, then the sheet could still be opened with undesired values in the target range. To prevent this, the optional 3rd parameter can be set to TRUE -- when it is, the values are also copied into the target range on Excel's WorkbookBeforeSave event so are sure to be the values saved.
In some cases users may want a range to have a certain value when the workbook is opened, but then default to some other value after the workbook is fully initialized. For example, a user may have an U.MESSAGE_BOX method within an U.CREATE_SCRIPT range -- when the workbook is opened, the U.MESSAGE_BOX method may calculate and show the message box before the U.CREATE_SCRIPT method has calculated ...so before the U.MESSAGE_BOX method knows it is part of a script and should be suppressed. To prevent this, a user may want to have the U.MESSAGE_BOX conditioned on some variable that is FALSE for a few seconds after the workbook is opened (to give it time to calculate the U.CREATE_SCRIPT method) but then reverts to TRUE so the message box will appear as expected when the script is run. To accomplish this "change the values some seconds after opening" behavior, set the optional 4th parameter to the values that should be applied several seconds after opening. The values in the 2nd parameter are still applied immediately upon opening, but then 3 seconds after the next calc cycle the values of the 4th parameter will be applied. To make the delay something other than the default of 3 seconds, set the optional 5th parameter to a positive number to indicate the number of seconds to delay. To have the 4th parameter values also re-applied after the workbook is calced after being saved, set the optional 6th parameter to TRUE -- in that way, the 3rd parameter could be set to TRUE to ensure the workbook is saved with a desired initial value, but then it will automatically revert to a "post open" value after a short delay.
If nothing is provided in the 2nd parameter and the 4th parameter is set to the special value "calc()" then the target range in the 1st parameter will be recalculated after the workbook is opened, optionally after a delay specified in the 5th parameter.</t>
        </r>
      </text>
    </comment>
    <comment ref="E255" authorId="0" shapeId="0" xr:uid="{00000000-0006-0000-2400-000013000000}">
      <text>
        <r>
          <rPr>
            <b/>
            <sz val="9"/>
            <color indexed="81"/>
            <rFont val="Tahoma"/>
            <family val="2"/>
          </rPr>
          <t>U.ON_CLOSE can be used to specify handling when the workbook is closed. If present in a workbook and no parameters are set, the setting only applies to workbooks in read-only mode and the default behavior is to suppress Excel's "save" dialog and close the workbook without saving it.
The example to the left shows a complex case, and the meaning of the various parameters are described below. But in most cases this method will be used in one of 3 simple ways:
(1) Have U.ON_CLOSE() in a workbook that is always opened as read-only so that Excel does not prompt the user to save it when closing
(2) Have U.ON_CLOSE(TRUE) in a workbook to ensure that it is always saved when closed
(3) Have U.ON_CLOSE(,,TRUE) in a workbook so that all other Excel workbooks in the instance are closed when the current workbook is closed (in this case the workbooks is treated like a "master/parent" window that, when closed, should cause the entire Excel instance to close)
If the 1st parameter is set to TRUE, then the workbook will always be saved before it is closed.
If the 2nd parameter is set to TRUE, then any save dialog that Excel would normally show is suppressed when the workbook is closed. In this way users can have the workbook close without saving and without showing a dialog prompting the user to save even if the workbook is in read-only mode (if 1st parameter is FALSE or not set and 2nd parameter is TRUE). If the 2nd parameter is explicitly set to FALSE, then the default behavior of suppressing the save dialog for read-only workbooks is overridden and Excel's save dialog can be shown even for workbooks in read-only mode.
The 3rd parameter can specify that other workbooks should also be closed when the current workbook is closed. If set to TRUE, then all other workbooks in the current instance of Excel are also closed. By default the save setting from the 1st parameter is applied to all ...unless a given workbook in the instance is read-only mode, in which case it is not saved even if the 1st parameter is TRUE (unless they are specifically included in a list of workbooks to close with a save override of TRUE as described below; or alternatively such workbooks could have their own U.ON_CLOSE methods in them with the 1st parameter set to TRUE to force an attempt to save).
The 3rd parameter can take a list of specific workbook names instead of or in addition to a value of TRUE. If only specific workbooks are provided and no TRUE value, then only those workbooks will be closed when the current workbook is closed. If the specified workbook is not in the current Excel instance, then they will only be closed if they are in a control-enabled state. The list can be passed as a range of values. If the range contains a 2nd column, the value of the 2nd column will override the SAVE setting (from the 1st parameter) for the workbook(s) specified in the 1st column on the same row (or other workbooks in the instance if the row has TRUE specified in the 1st column). The value of a cell in the 1st column could be a single workbook name or a comma-delimited list of workbook names ("true" could be included in a comma-delimited list that also includes workbook names; the 3rd parameter could optionally just be passed a comma-delimited string, in which case they will be treated as single cell input so no override of default save settings).
In this example, the current workbook would be saved because the 1st parameter is set to TRUE. Other workbooks in the current instance of Excel will also be closed because the 3rd parameter contains TRUE as one of the inputs, but those other workbooks will not be saved because there is a save override of FALSE. The workbook some_other_workbook.xlsx will also be closed -- if it is in the current instance of Excel, then it will be saved because it has its own specific override (which takes priority over the FALSE override in the 1st line of the 3rd parameter). If some_other_workbook.xlsx is open in a different Excel instance, it will only be closed if it is in a control-enabled state -- if that is the case, it will still be saved before it is closed. The workbook yet_another.xlsm will also be closed, and since it is listed specifically but does not have a valid save override value (of either TRUE or FALSE) it will inherit the save setting from the 1st parameter so will also be saved. As with some_other_workbook.xlsx, if yet_another.xlsm is in a different instance of Excel it will only be closed if in a control-enabled state.</t>
        </r>
      </text>
    </comment>
    <comment ref="E290" authorId="0" shapeId="0" xr:uid="{8803D94B-D5DC-400B-B309-CEE673A83980}">
      <text>
        <r>
          <rPr>
            <b/>
            <sz val="9"/>
            <color indexed="81"/>
            <rFont val="Tahoma"/>
            <family val="2"/>
          </rPr>
          <t xml:space="preserve">If U.ISOLATE_WORKBOOK exists anywhere in the workbook, then any new workbook is opened in the instance that new workbook will automatically be closed and re-opened in a new Excel instance. Also if the workbook containing U.ISOLATE_WORKBOOK is opened into an instance that already contains at least one open workbook, it will be immediately closed and re-launched in a new Excel process. In this way, the method insures that a workbook is never sharing an Excel instance with other workbooks.
If the single parameter is set to TRUE, then the workbook containing this method will remain open if it is opened into an Excel instance that already has other workbooks open (unless one of those workbooks, itself, contains a U.ISOLATE_WORKBOOK call). In this case, workbooks opened subsequently in that instance will still be automatically closed and re-launched in a new Excel process.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T4" authorId="0" shapeId="0" xr:uid="{00000000-0006-0000-2500-000001000000}">
      <text>
        <r>
          <rPr>
            <b/>
            <sz val="9"/>
            <color indexed="81"/>
            <rFont val="Tahoma"/>
            <family val="2"/>
          </rPr>
          <t>U.MENU enables workbook-specific menus to be defined that appear when the workbook is opened and disappear when it is closed. The first parameter is a table of settings that define the menu entries to be created. The "Runline Menu Example" menu tab in the Excel's menu above will be created by this example when this equation is un-commented. (This feature will only work on Excel 2007 and later.)
The table must contain proper column headers, but many columns are optional for some or all types of menu entries. See the table of setting descriptions in this example for a more detailed description of each entry.
If U.MENU is called without any parameters, a report of all known menu entries is returned. If it is called with the parameter set to the word "reset" then Excel is prompted to recreate the menu (should not generally be needed).</t>
        </r>
      </text>
    </comment>
    <comment ref="T20" authorId="0" shapeId="0" xr:uid="{00000000-0006-0000-2500-000002000000}">
      <text>
        <r>
          <rPr>
            <b/>
            <sz val="9"/>
            <color indexed="81"/>
            <rFont val="Tahoma"/>
            <family val="2"/>
          </rPr>
          <t>Typically a workbook would only define menu items once, but this shows that the combined entries of multiple calls will be created (uncomment this in addition to equation above to see). This would more likely occur when a user opens multiple workbooks in the same Excel instance, where each defines its own menu entries.
The display order of menu items for entries defined in a single table is based on the order in which they appear in the table. When there are multiple U.MENU calls (as in this example) entries from the first table calculated will be displayed first (leftmost / topmost). To control the ordering, provide the optional 2nd "priority" parameter to U.MENU. Tables with a lower priority number are displayed first, which is why the entries from the 1st table above -- where a priority of 1 is set -- is always displayed first in the Excel Example menu. When no priority number is specified, a default priority of 99 is applied ...so a priority value greater than 99 should be provided to ensure menu entries are placed *after* other custom entries that have no priority setting.</t>
        </r>
      </text>
    </comment>
    <comment ref="O28" authorId="0" shapeId="0" xr:uid="{00000000-0006-0000-2500-000003000000}">
      <text>
        <r>
          <rPr>
            <b/>
            <sz val="9"/>
            <color indexed="81"/>
            <rFont val="Tahoma"/>
            <family val="2"/>
          </rPr>
          <t>When images are used in menu entries, they can be either the names of Excel icons, images from within the workbook, paths to local or Web image files, or base64-encoded image strings. Having images in the workbook can be a little safer, since there is no guarantee that any given named Excel icon will be available on every machine running Excel. If the image setting is a comma-delimited list, each entry will be tried until some image is found ...so it's possible to specify an Excel icon, but then also have an image in the workbook to be used as a backup in case that icon does not exist on some machine (as done here for the "Update Time" button). In a real workbook, these images could be hidden will off to the side on some sheet or even on a hidden sheet. If the path to an image or its filename has commas in it, in some cases that may be mistaken for multiple image options. This can be avoided either by escaping the commas in the image path/name with a backslash (i.e. replacing occurrences of "," with "\,") or by surrounding the entire path in parentheses.
As seen in this example, referencing an image is done by using U.RANGE_REF(&lt;range&gt;) where &lt;range&gt; is any cell(s) that overlap the image. If the range contains a chart, that will be given priority over any other pictures in the range. To use an actual screenshot of the entire specified range, enclose RANGE_REF value in the special "screenshot(...)" method as done for the Val2 Setters nested menu in this example. If the image is set to "screenshot()" with no range ref inside, an image of the entire primary computer screen is used. If the &lt;range&gt; in U.RANGE_REF contains a base64-encoded image string, that image will be decoded and used.
By default, U will try to be smart about setting the periphery of an image to be transparent so that it looks nice against different menu backgrounds. This handling can be tweaked by including a "transparency(...)" method. The parameters of transparency can be up to 3 numbers and also a true or false. The 3 optional numbers specify the RGB values (numbers between 0 and 255 for red, green and blue) which will be made transparent. Here are some examples:
transparency(250, 250, 252): a pixel will only be made transparent if R &gt;= 250, G &gt;= 250 and B &gt;= 252.
transparency(240, 245): a pixel will only be made transparent if R, G and B are all &gt;= 240 and the average of them is &gt;= 245.
transparency(242): a pixel will only be made transparent if R, G and B are all &gt;= 242.
If a negative number is provided, then a pixel is only made transparent if it's relevant value is &lt;= the absolute value of that number.
If "TRUE" is included within transparency, either by itself or along with numbers (e.g. "transparency(242,TRUE)") then the entire image is scanned for pixels to make transparent instead of just the periphery of the image.
If only false is provided ("transparency(FALSE)") then no part of the image is made transparent.
In cases where the menu image is a Microsoft Office AutoShape, any of the settings specified in U.UPDATE_IMAGE can be applied by appending them, delimited by commas, as "&lt;setting&gt;(&lt;value&gt;)". See the coloring of UpArrow and DownArrow in the example above as an example. Multiple settings can be applied this way.</t>
        </r>
      </text>
    </comment>
    <comment ref="D29" authorId="0" shapeId="0" xr:uid="{00000000-0006-0000-2500-000004000000}">
      <text>
        <r>
          <rPr>
            <b/>
            <sz val="9"/>
            <color indexed="81"/>
            <rFont val="Tahoma"/>
            <family val="2"/>
          </rPr>
          <t>By triggering methods in workbook cells, U.MENU can be used for any U functionality. This is a simple pattern for ensuring an action only occurs when a menu items is clicked. If the "Say Hello" button is clicked in the menu, its action will set the Trigger to TRUE -- that will cause the message box to be displayed, and U.REVERT will ensure that the trigger is immediately set back to FALSE.</t>
        </r>
      </text>
    </comment>
    <comment ref="C33" authorId="0" shapeId="0" xr:uid="{00000000-0006-0000-2500-000005000000}">
      <text>
        <r>
          <rPr>
            <b/>
            <sz val="9"/>
            <color indexed="81"/>
            <rFont val="Tahoma"/>
            <family val="2"/>
          </rPr>
          <t>The increment()/decrement() actions can be used to change the value of cells or clickval by some amount (default is 1). In the "I'm a Menu!" menu above are increment/decrement buttons that will update the Val1 and Val2 clickvals (the Val2 clickvals are in a nested menu whose label is hidden).</t>
        </r>
      </text>
    </comment>
    <comment ref="B37" authorId="0" shapeId="0" xr:uid="{00000000-0006-0000-2500-000006000000}">
      <text>
        <r>
          <rPr>
            <b/>
            <sz val="9"/>
            <color indexed="81"/>
            <rFont val="Tahoma"/>
            <family val="2"/>
          </rPr>
          <t>Whenever a range is referenced in menu actions (or in images) it must always be done using U.RANGE_REF. When an action contains a range reference that is not in any method, the action will cause the range to be calculated. The "Update Time" button in the I'm a Menu! menu above will cause this cell to recalculate, updating the displayed time.</t>
        </r>
      </text>
    </comment>
    <comment ref="C40" authorId="0" shapeId="0" xr:uid="{00000000-0006-0000-2500-000007000000}">
      <text>
        <r>
          <rPr>
            <b/>
            <sz val="9"/>
            <color indexed="81"/>
            <rFont val="Tahoma"/>
            <family val="2"/>
          </rPr>
          <t>When a range ref is inside of a set() method in a menu action, the referenced cell will be set to the specified value. In the Time menu are buttons that will set and clear the "Set Time" field here by using the special "time()" value as the 2nd parameter in set(...). The Worksheet menu has similar buttons for setting and clearing the active worksheet, with the set being done using the special "activeworksheet()" method ...so if you select a different tab and then click that menu item, you can come back to see that this was set to the name of that selected tab. In both cases the clearing is done using the "clear(&lt;range ref&gt;)" action method.
This field can also be set to the name of the current active workbook by a button in the I'm a Menu menu. That is accomplished using the special "activeworkbook()" value as the 2nd parameter of the set(...) parameter.
To have the value taken from other cells, make the 2nd parameter of set() a range reference (using U.RANGE_REF) -- then the value in that range will be applied to the target range or clickval. If the value is hard-coded in the equation, by default the parsed value is what will be applied (for example, the hard-coded TRUE value in the "Say Hello" menu action in this example will be parsed into the boolean value TRUE, not pasted as the string "TRUE"). To prevent the parsing, wrap the value in string(..) (for example: set(&lt;range ref&gt;, string(TRUE)) would set "TRUE" as a string). If the hard-coded value is a date that should be parsed as a UK date (day before month), then include "UK" as a 3rd parameter in set(...).</t>
        </r>
      </text>
    </comment>
    <comment ref="B46" authorId="0" shapeId="0" xr:uid="{00000000-0006-0000-2500-000008000000}">
      <text>
        <r>
          <rPr>
            <b/>
            <sz val="9"/>
            <color indexed="81"/>
            <rFont val="Tahoma"/>
            <family val="2"/>
          </rPr>
          <t xml:space="preserve">These tables describe the various settings available for menu entries, the types of menu entries, and the types of button actions supported.
The settings tables above may look a bit large and intimidating, but most of the elements are optional. In the simplest case, a table with just 3 columns -- Tab, Type, and Action -- could be provided that specify a tab with image-less buttons that still can perform any action.
A few notes about the entries in this example:
 -No explicit entry with type = Tab was included, but the tab "Runline Menu Example" was still created since it was included in other entries. Having an explicit Tab entry would only be needed to set a custom Keytip for the tab, which is uncommon.
 -An explicit entry for the group "grp1" was included so that a label could be set. But having an explicit group entry is also optional, since groups will be detected in other entries -- see that the "grp2" entries were placed in a distinct group even though no explicitly entry for that group exists.
 -The nested "Val2Menu" does not have a label displayed. The entry requires a label setting so that other entries that should exist in the menu can refer to it, but it is hidden because the label is wrapped in a hide() method as "hide(Val2Menu)". This is also a menu nested in another menu -- menus can be nested arbitrarily deep, though it would likely make for a more intuitive user experience to keep the nesting shallow.
 -All entries in "I'm a Menu!" are large even though not all have a size of "large" specified. This is because all items at a given nesting level of a menu must be the same size, so if any single item is set to "large" then all items will be large.
 -A handful of action types are used in this example. All action types except for "control_excel" will operate only on the workbook in which the menu entry was defined. If there are multiple workbooks open in an Excel process, then the control_excel() action will operate on whichever is the active workbook when the button is pressed ...so in this example, the "show formulas" would work on another workbook even though it was defined in this example sheet. If the control_excel params contains an explicit workbook name, then it will only operate on the specified workbook.
</t>
        </r>
      </text>
    </comment>
    <comment ref="B87" authorId="0" shapeId="0" xr:uid="{A3A80546-9147-4178-B407-B0BF86536E52}">
      <text>
        <r>
          <rPr>
            <b/>
            <sz val="9"/>
            <color indexed="81"/>
            <rFont val="Tahoma"/>
            <family val="2"/>
          </rPr>
          <t>When the action is invoke, the special parameter names "range_value()", "range_address()" and "range_ref()" are recognized. Range_value() will replace the parameter with the value of the current Excel selection; range_address() will replace the parameter with the fully qualified A1-style name of the selected range (e.g. "[PricingSheet.xlsx]MarketData!D5"); and range_ref() will replace the parameter with an Excel range reference string as returned by U.RANGE_REF but prefixed with "range: " so that it is not converted to range values before being passed to the custom function. In all cases if the current selection is an image/chart then the selection's name is used.
Suppose the specified action is this:
    invoke(myFunc,range_value())
...in that case, the compiled function named "myFunc" will be called and passed a single parameter whose value is the value(s) of the currently selected Excel range.</t>
        </r>
      </text>
    </comment>
    <comment ref="T89" authorId="0" shapeId="0" xr:uid="{00000000-0006-0000-2500-000009000000}">
      <text>
        <r>
          <rPr>
            <b/>
            <sz val="9"/>
            <color indexed="81"/>
            <rFont val="Tahoma"/>
            <family val="2"/>
          </rPr>
          <t>U.MENU_IMAGES will display a dialog box showing the images and names of built-in Excel icons that are available for use in menus (they can also be used in U.MESSAGE_BOX). If the optional parameter is specified, the displayed box will filter the images to show only those whose name contains the specified filter value.
To simplify use of the image names, if the use right-clicks on an image ...or presses Control-C while an image is selected... then the image's name will be copied to the clipboard so that it can be pasted into the worksheet after the dialog box is closed. If the Shift key is held down during the right click (or Control-C) then the image is copied instead of the name.
The images available can change with each Excel version. Some of the images listed by the dialog box may not be supported and so will return a default orange circle image; also there may be valid image names that can be used in menus that are not listed in the dialog displayed. When specifying images in U.MENU, a comma-delimited list of names (and range refs) can optionally be provided -- in that case, the first name where an image exists will be used. The icon names supported by U.MESSAGE_BOX are not included in this list, but can also be used as menu images.
The first time U.MENU_IMAGES is used in an Excel instance, it can take several moments to load all of the images. A counter at the top of the form shows the progress.</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4" authorId="0" shapeId="0" xr:uid="{00000000-0006-0000-2600-000001000000}">
      <text>
        <r>
          <rPr>
            <b/>
            <sz val="9"/>
            <color indexed="81"/>
            <rFont val="Tahoma"/>
            <family val="2"/>
          </rPr>
          <t>There may be an equation that you want to recalculate periodically, but that does not reference any cells that would force it to recalc. U.DO will allow any equation (1st parameter) to be evaluated when triggered by another recalculation (2nd parameter). U.DO simply returns the result of the first parameter.
In this contrived example, a user method called MYMETHOD() does not reference any parameters at all so a regular sheet recalc will never cause it to update. To force it to update periodically, U.DO is employed with U.NOW used as a trigger to force a recalculation every 5 seconds.
By default U.DO will replace any null values returned by the first parameter with blank strings so that Excel does not display them as zeros. The optional 3rd "keep_nulls" parameter, if set to TRUE, will return the results of the first parameter as is without doing this replacement.
The calculation time of each range containing U.DO is also recorded in U for use by U.AFTER. Any Excel method can be nested in U.DO to have its calc time recorded for calc sequencing with U.AFTER (see below).
The optional 4th parameter of U.DO can be used to simulate slow calculations when testing a sheet. If it is set to a number greater than zero and less than or equal to 600, the method will pause for that many seconds before returning. Caution is warranted, as this will freeze the Excel instance for the specified interval.</t>
        </r>
      </text>
    </comment>
    <comment ref="B26" authorId="0" shapeId="0" xr:uid="{00000000-0006-0000-2600-000002000000}">
      <text>
        <r>
          <rPr>
            <b/>
            <sz val="9"/>
            <color indexed="81"/>
            <rFont val="Tahoma"/>
            <family val="2"/>
          </rPr>
          <t xml:space="preserve">When creating certain workflow scenarios, it can be tricky to ensure the desired order of calculation due to Excel's support for multithreading. In these cases, U.AFTER can be used in conjunction with U.DO to definitively sequence calculations in the order desired. The single parameter to U.DO should refer to a range containing an U.DO call, and U.AFTER will return TRUE only if it is being called after the range containing U.DO has recalculated. (For complex workflows, see the U.CREATE_SCRIPT method.)
To illustrate the complexity of Excel's multithreading, try changing the blue value 1 in cell B28 to different values. See that U.AFTER can return FALSE. This is because Excel makes an educated guess that it can run U.DO and U.AFTER in parallel even though the cell with U.AFTER is dependent on the cell with U.DO such that one would expect it to always be calculated after the U.DO. If the educated guess proves to be wrong, Excel will calc the cell containing U.AFTER again to ensure a proper result is displayed.
If you enter =RAND() in the cell with the blue value and then press F9 to make its value change ...now U.AFTER() will always return TRUE -- Excel always computes it after the U.DO, whose value now changes randomly.
So you can see that the cell dependencies are not, themselves, sufficient to guarantee an order of calculation. When a definitive calc order is required, nest the equation that must be calculated first in U.DO and condition the equation that must be calculated next in U.AFTER. The calc time of the range containing U.AFTER is also recorded, so multiple equations can be chained in this way.
In addition to U.DO and U.AFTER, the calc times of ranges containing U.PASTE are recorded. So equations that must occur after a paste of values occurs can be sequenced after the paste by using U.AFTER with a parameter that refers to the range containing the U.PASTE method.
As a result of Excel's calc logic, there could be cases where the first change made to a value captured by U.DO is not recognized by an U.AFTER that refers to it. If this is seen, simply include =U.RECALC() in any cell in the workbook to ensure a full recalc is done after the workbook is opened.
By default U.AFTER will only return TRUE if the recalculation occurs within 10 seconds of the referenced range's recalculation. This timeout can be changed by providing another timeout as the optional 2nd parameter. If the value provided is zero or negative, then the timeout is infinite. A special value of TRUE can be provided to the 2nd parameter that will cause the method to always return TRUE if the referenced range has recalculated at least once.
</t>
        </r>
      </text>
    </comment>
    <comment ref="B40" authorId="0" shapeId="0" xr:uid="{00000000-0006-0000-2600-000003000000}">
      <text>
        <r>
          <rPr>
            <b/>
            <sz val="9"/>
            <color indexed="81"/>
            <rFont val="Tahoma"/>
            <family val="2"/>
          </rPr>
          <t>To ensure both the ordering of calculations and to actually force calculations to occur, the range should be referenced in the FALSE position of an IF statement -- that way Excel knows it must re-evaluate the cell once the referenced range returns.
If you set Change Me 1 above to TRUE, all of the statements are spoken in the correct order. If you set Change Me 2 to TRUE, however, the full statement may not be spoken even though the cell dependencies make it seem as though it should be.</t>
        </r>
      </text>
    </comment>
    <comment ref="B55" authorId="0" shapeId="0" xr:uid="{00000000-0006-0000-2600-000004000000}">
      <text>
        <r>
          <rPr>
            <b/>
            <sz val="9"/>
            <color indexed="81"/>
            <rFont val="Tahoma"/>
            <family val="2"/>
          </rPr>
          <t>U.CURRENT_VALS will return the current values of a range. This can be useful when you only want the values to change based on some condition. In this example, see that the calculated values will only change if the value at the top of the list below is greater than 3. If the value is 3 or less, then this range will retain whatever values it currently has.</t>
        </r>
      </text>
    </comment>
    <comment ref="B63" authorId="0" shapeId="0" xr:uid="{00000000-0006-0000-2600-000005000000}">
      <text>
        <r>
          <rPr>
            <b/>
            <sz val="9"/>
            <color indexed="81"/>
            <rFont val="Tahoma"/>
            <family val="2"/>
          </rPr>
          <t>As shown here, Excel natively reports the value of empty cells as zero...</t>
        </r>
      </text>
    </comment>
    <comment ref="B71" authorId="0" shapeId="0" xr:uid="{00000000-0006-0000-2600-000006000000}">
      <text>
        <r>
          <rPr>
            <b/>
            <sz val="9"/>
            <color indexed="81"/>
            <rFont val="Tahoma"/>
            <family val="2"/>
          </rPr>
          <t>…because of this, U.CURRENT_VALS will replace zeros with blanks as seen here. But this may not be the desired behavior in all cases. To retain the zeros that Excel would naturally return, pass TRUE into as the optional parameter to U.CURRENT_VALS.
Note that this example also uses the simple trick of nesting a reference to an Excel range inside of an U.DO call, which will cause empty cells to be replaced with blank strings ...so that when the 1st value is greater than 3, the 2nd row contains a blank instead of a zero.</t>
        </r>
      </text>
    </comment>
    <comment ref="B81" authorId="0" shapeId="0" xr:uid="{00000000-0006-0000-2600-000007000000}">
      <text>
        <r>
          <rPr>
            <b/>
            <sz val="9"/>
            <color indexed="81"/>
            <rFont val="Tahoma"/>
            <family val="2"/>
          </rPr>
          <t>But passing TRUE in as the optional parameter to prevent U.CURRENT_VALS from replacing zeros with empty strings may also not be desired since the distinction between zero and blank cells is still lost. Instead of passing TRUE as the optional parameter, a range of values can be passed. When that is done, the range will be inspected and zero values will only be replaced with blanks if the corresponding cell in the passed range is blank.
In this case, the 2nd cell in the column is blank and the 3rd cell contains a zero. U.CURRENT_VALS is passed this range as the 1st parameter, and is therefore able to set only the zero in the 2nd row to a blank.</t>
        </r>
      </text>
    </comment>
    <comment ref="B92" authorId="0" shapeId="0" xr:uid="{00000000-0006-0000-2600-000008000000}">
      <text>
        <r>
          <rPr>
            <b/>
            <sz val="9"/>
            <color indexed="81"/>
            <rFont val="Tahoma"/>
            <family val="2"/>
          </rPr>
          <t>U.CURRENT_VALS can be used in conjunction with U.AFTER and U.DO to ensure values change only after a particular calculation has refreshed.
In this example, changing any of the 3 values at the bottom (rows 102 - 104) will cause this calculation to refresh ...because it occurs after the values in rows 96 - 98 refresh, and those refer to rows 96 - 98 and are wrapped in U.DO.
But if you change the value of row 100, these values do not update. Rather, the existing values of these cells are retained since rows 96 - 98 have not recalculated. By changing any value in rows 102 - 104 again, the value will now again refresh.</t>
        </r>
      </text>
    </comment>
    <comment ref="B112" authorId="0" shapeId="0" xr:uid="{2E78AC6B-8353-4A12-8EEC-3E72F2C8C0DA}">
      <text>
        <r>
          <rPr>
            <b/>
            <sz val="9"/>
            <color indexed="81"/>
            <rFont val="Tahoma"/>
            <family val="2"/>
          </rPr>
          <t>U.PRIOR_VALS will return the prior values seen by the method before they changed. It will return the values of the specified range/report/cache when first called, but then will return the previously known values whenever the values in the range/report/cache change.
Try changing the values in the range below and see how U.PRIOR_VALS returns the previously set values instead of the current values.
If the referenced data is a valid report topic or cache key, the corresponding report/cache will be recorded into the history even if they contain multiple pages. When reports are recorded, full details including metadata are kept in the history.</t>
        </r>
      </text>
    </comment>
    <comment ref="B122" authorId="0" shapeId="0" xr:uid="{C0D0D586-A917-4685-8312-59DE0D1DD158}">
      <text>
        <r>
          <rPr>
            <b/>
            <sz val="9"/>
            <color indexed="81"/>
            <rFont val="Tahoma"/>
            <family val="2"/>
          </rPr>
          <t>U.PRIOR_VALS can keep a long history of changes along with the times they occurred, and any specific history value point can be returned …optionally with its timestamp prepended as the first row.
In this example, the last 10 changes of the data are retained (max supported is 1,000,000), and the 3rd oldest history value is being returned with its timestamp prepended. Note that as the data changes, the single method call is both updating the recorded history of changes and also returning the specified point in that history.
The depth to return parameter could contain a datetime string in the as_of() function (e.g. "as_of(Nov 3, 2020 2:15 PM)") and in that case the values as of the specified time will be returned.
If an optional 2nd column value is provided in the depth to return parameter, it will indicate the page number of a multi-page cache to return; or set it to "metadata" to return the metadata from a history of reports.</t>
        </r>
      </text>
    </comment>
    <comment ref="B136" authorId="0" shapeId="0" xr:uid="{98A68A8E-8BE1-4308-A2D2-BD252F61F028}">
      <text>
        <r>
          <rPr>
            <b/>
            <sz val="9"/>
            <color indexed="81"/>
            <rFont val="Tahoma"/>
            <family val="2"/>
          </rPr>
          <t>The history of changes can optionally be named by providing a key in the 5th parameter. In this example the key "example_hist" is provided, which will allow the history of changes to be accessed by referring to that key (see below).
If an U.PRIOR_VALS call is recording a history of changes but no key is specified, a key can be added and the full history of changes captured to date will be associated with that key as if the key were specified from the start.</t>
        </r>
      </text>
    </comment>
    <comment ref="B144" authorId="0" shapeId="0" xr:uid="{CAA188A2-08B6-4501-B0FA-BCB405B396EA}">
      <text>
        <r>
          <rPr>
            <b/>
            <sz val="9"/>
            <color indexed="81"/>
            <rFont val="Tahoma"/>
            <family val="2"/>
          </rPr>
          <t>Here is a range that pulls from the history of changes keyed with "example_hist" above. When the intent is to only read prior vals and not add to the history, it's important that the 1st parameter not be set at all.
Note that in this example nothing in this range will naturally calculate as values driving the history are changing, so after making a series of changes in the input range above try changing the depth to return to see the values at that depth level.
As seen here, the timestamp of the historical change can optionally be prepended when retrieving from a keyed history by setting the 3rd parameter to TRUE. If the 3rd parameter is 2-columns wide, the 2nd column will indicate whether to also prepend a row showing the depth level. If a 3rd column is provided and set to TRUE, the timestamp and/or depth level will be prepended as columns instead of as rows.</t>
        </r>
      </text>
    </comment>
    <comment ref="H156" authorId="0" shapeId="0" xr:uid="{7726F15A-7F21-4FAD-B853-68F6C3275819}">
      <text>
        <r>
          <rPr>
            <b/>
            <sz val="9"/>
            <color indexed="81"/>
            <rFont val="Tahoma"/>
            <family val="2"/>
          </rPr>
          <t>If U.PRIOR_VALS is called without any parameters being set, a report with details of known histories is returned.</t>
        </r>
      </text>
    </comment>
    <comment ref="B166" authorId="0" shapeId="0" xr:uid="{F9139493-4A61-4EEA-8D82-E49A6FABFA95}">
      <text>
        <r>
          <rPr>
            <b/>
            <sz val="9"/>
            <color indexed="81"/>
            <rFont val="Tahoma"/>
            <family val="2"/>
          </rPr>
          <t>Keeping a large history of prior changes could result in non-trivial memory consumption, especially if the data range is large. One way to trim histories is to change the max_depth to a smaller number for a single calculation. To clear prior values completely, hard-code the 1st parameter to the word "CLEAR" -- when that is done, all existing histories will be completely removed. If the 1st parameter is hard-coded to "CLEAR" and the 5th parameter contains a key name, only that history will be cleared; if the 5th parameter contains the boolean value FALSE, only histories that do not contain keys will be cleared.</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8" authorId="0" shapeId="0" xr:uid="{00000000-0006-0000-2700-000001000000}">
      <text>
        <r>
          <rPr>
            <b/>
            <sz val="9"/>
            <color indexed="81"/>
            <rFont val="Tahoma"/>
            <family val="2"/>
          </rPr>
          <t>U.SET_CLICKVALS gives a name to a "click range" which, when a cell within that range is clicked, will cause subscribing cells to update with the clicked value. Always call from a single cell, not from a multi-cell array formula.
Here the range of 4 cells to the left is registered with the name "TestVals." Below a cell is subscribed to that range. Click individual cells in the TestVals range and see how the cell below automatically updates to the clicked value. If multiple cells are selected, and all cells in the selected range are within the registered range (in this case TestVals) then the value of the top-left-most cell in the selected range will be treated as the clicked value.
To have the cell containing U.SET_CLICKVALS display a different name than the one used to register the clickvals range, provide a 2nd name as a 2nd column in the 1st parameter.
A click range is enabled as long as an U.SET_CLICKVALS method exists in the workbook that refers to the range. To simplify editing the format of a click range, it can be helpful to temporarily comment out the method while editing by putting an apostrophe (') before the equal sign. Holding the Control key down while clicking will also prevent the U click from occurring, so can be used for example to allow Excel's normal right-click menu to appear when clicking in a click range.
If the click range is within a range that contains a script created by U.CREATE_SCRIPT, clicks will be ignored while the script is running.</t>
        </r>
      </text>
    </comment>
    <comment ref="D11" authorId="0" shapeId="0" xr:uid="{00000000-0006-0000-2700-000002000000}">
      <text>
        <r>
          <rPr>
            <b/>
            <sz val="9"/>
            <color indexed="81"/>
            <rFont val="Tahoma"/>
            <family val="2"/>
          </rPr>
          <t>U.GET_CLICKVAL subscribes for updates to the range specified. Initially the result is blank if a cell in the specified range had not been clicked since it was registered. Whenever a cell in that range is clicked, this cell will automatically update with the value of the clicked cell.
By default values are only accessible within the workbook where the clickval is created. To make a value accessible to all workbooks in the current Excel instance prefix the name with "[GLOBAL]" (e.g. [GLOBAL]TestVals).
U.GET can also be used to return the value of a clickval (provided the name does not look like an U topic), but in that case it must be recalculated for an updated clickval value to be shown.</t>
        </r>
      </text>
    </comment>
    <comment ref="D24" authorId="0" shapeId="0" xr:uid="{00000000-0006-0000-2700-000003000000}">
      <text>
        <r>
          <rPr>
            <b/>
            <sz val="9"/>
            <color indexed="81"/>
            <rFont val="Tahoma"/>
            <family val="2"/>
          </rPr>
          <t>In some use cases users may want to support clicking on a cell repeatedly, for example to cause it to increment the value of another cell with each click. This can be done by using right-clicks, which are enabled by default. Alternatively, the optional 3rd and 4th parameters can be set to specify where to move the cursor after a cell in the registered range is selected ...since once the cursor is off of the cell, it can again be left-clicked. In this case, the column offset is set to 1, so the selected cell will shift right 1 column after a selection in the range is made. The 3rd parameter can optionally be given a range ref ID as returned by U.RANGE_REF, and the cursor will jump to that location after the click. Yet another option is to include "cleanClick" in the optional 8th parameter, though that may create some side effects for other click and select actions in certain workbooks.</t>
        </r>
      </text>
    </comment>
    <comment ref="D30" authorId="0" shapeId="0" xr:uid="{00000000-0006-0000-2700-000004000000}">
      <text>
        <r>
          <rPr>
            <b/>
            <sz val="9"/>
            <color indexed="81"/>
            <rFont val="Tahoma"/>
            <family val="2"/>
          </rPr>
          <t>Having a selection offset does not impact subscribers. In this example a variety of values are used to show that any value, even errors, are supported.</t>
        </r>
      </text>
    </comment>
    <comment ref="D34" authorId="0" shapeId="0" xr:uid="{00000000-0006-0000-2700-000005000000}">
      <text>
        <r>
          <rPr>
            <b/>
            <sz val="9"/>
            <color indexed="81"/>
            <rFont val="Tahoma"/>
            <family val="2"/>
          </rPr>
          <t>The 3rd and 4th parameters can be used for general sheet navigation by setting the 3rd parameter to 1 or more range refs. If only a single range ref is provided, clicking anywhere in the click range will cause a jump to that range. If a range of range_refs (and blanks) is provided, the selection will jump to the range ref that corresponds with the cell clicked in the click range (i.e. the range_ref with the same relative position in the range). In this example cell A6 or D35 will be selected depending on which cell is clicked. When range refs are passed as the 3rd parameter, the 4th parameter can be used to specify whether the rows and/or columns should scroll to the new selection. A single value of TRUE or FALSE will apply to both row and column scrolling; row scrolling and column scrolling can be set independently by passing 2 values (as shown here, though not actually necessary here since both are set to TRUE so could be a single TRUE value). Integer values can be specified instead of TRUE/FALSE values, and the scrolling will be offset by the specified amount.</t>
        </r>
      </text>
    </comment>
    <comment ref="D46" authorId="0" shapeId="0" xr:uid="{00000000-0006-0000-2700-000006000000}">
      <text>
        <r>
          <rPr>
            <b/>
            <sz val="9"/>
            <color indexed="81"/>
            <rFont val="Tahoma"/>
            <family val="2"/>
          </rPr>
          <t>The range does not have to be contiguous. As shown here, multiple ranges can be selected and clicking a cell in any will cause subscribers to be updated. U.RANGE_REF can also be used to select multiple ranges even if those ranges are on different tabs in the workbook.</t>
        </r>
      </text>
    </comment>
    <comment ref="D50" authorId="0" shapeId="0" xr:uid="{00000000-0006-0000-2700-000007000000}">
      <text>
        <r>
          <rPr>
            <b/>
            <sz val="9"/>
            <color indexed="81"/>
            <rFont val="Tahoma"/>
            <family val="2"/>
          </rPr>
          <t>This updates whenever a cell in either of the specified ranges is clicked. This example also illustrates that a given cell can be registered under more than one name.</t>
        </r>
      </text>
    </comment>
    <comment ref="D56" authorId="0" shapeId="0" xr:uid="{00000000-0006-0000-2700-000008000000}">
      <text>
        <r>
          <rPr>
            <b/>
            <sz val="9"/>
            <color indexed="81"/>
            <rFont val="Tahoma"/>
            <family val="2"/>
          </rPr>
          <t>If a single string with the special syntax "return(…)" is passed, it will alter the value returned when a cell in the range is clicked. Currently supported are return values of "row", "column", "row,column", "ref", "time", "name", "calc" and "value,calc". Here the 5th parameter is set to "return(row)" -- as a result, when a value in the range is clicked it is not the value that is returned but rather the index of that value in the click range. Using return(ref) would return a special string that refers to the clicked cell (same as the U.RANGE_REF method) and will be converted to an actual reference by other U methods. Using return(time) would cause the current time to be returned upon each click. Using return(column) ...or just return(col)... would cause the column index to be returned; return(row,column) returns the row and column separated by a comma.</t>
        </r>
      </text>
    </comment>
    <comment ref="D59" authorId="0" shapeId="0" xr:uid="{00000000-0006-0000-2700-000009000000}">
      <text>
        <r>
          <rPr>
            <b/>
            <sz val="9"/>
            <color indexed="81"/>
            <rFont val="Tahoma"/>
            <family val="2"/>
          </rPr>
          <t>See that this does not return the name of the fruit clicked, but rather its row index in the range</t>
        </r>
      </text>
    </comment>
    <comment ref="D62" authorId="0" shapeId="0" xr:uid="{00000000-0006-0000-2700-00000A000000}">
      <text>
        <r>
          <rPr>
            <b/>
            <sz val="9"/>
            <color indexed="81"/>
            <rFont val="Tahoma"/>
            <family val="2"/>
          </rPr>
          <t>Setting "return(calc)" as the 5th parameter has a special meaning: the clicked cell will be recalculated. There is nothing that would cause the 3 cells with U.NOW() in them to the left to update during a normal (non-full) Excel calculation cycle. But if you click on any one, it will recalc and show the current time. To have some other range calculated instead of the click range, itself, set the 9th parameter to that range. The GET_CLICKVAL value returned in this case would be a current time; to instead return the clicked value use "return(value,calc)".</t>
        </r>
      </text>
    </comment>
    <comment ref="D69" authorId="0" shapeId="0" xr:uid="{00000000-0006-0000-2700-00000B000000}">
      <text>
        <r>
          <rPr>
            <b/>
            <sz val="9"/>
            <color indexed="81"/>
            <rFont val="Tahoma"/>
            <family val="2"/>
          </rPr>
          <t>Sometimes it is more convenient to use a range ref as returned from U.RANGE_REF instead of referencing the click range directly, such as when navigating to/from a common cell on each sheet in a workbook (the U.RANGE_REF can take a cell address string as a parameter and return the reference -- that is how navigation in this example sheet is implemented). In order for the click range to be interpreted as range refs, the optional 7th parameter must be set to TRUE. In this example, clicking abc or 123 in the click range causes the clickval to update, even though it is the cell below them that is the referenced click range in U.SET_CLICKVALS.
If the 7th parameter is set to TRUE then the range ref will be recognized only when it is a single cell that is referenced. If it is set to "ALL" then an array of cells can be selected and any containing a valid range ref will be detected and that range will be included in the click range.</t>
        </r>
      </text>
    </comment>
    <comment ref="D78" authorId="0" shapeId="0" xr:uid="{00000000-0006-0000-2700-00000C000000}">
      <text>
        <r>
          <rPr>
            <b/>
            <sz val="9"/>
            <color indexed="81"/>
            <rFont val="Tahoma"/>
            <family val="2"/>
          </rPr>
          <t>U.SET_CLICKVALS can also be used to set values by clicking. If the optional 9th "target range" parameter is set to a range of cells, then clicking on a cell in that range will cause it to be updated to the current value of the clickval (unless "return(calc)" is set, in which case the 9th parameter will specify an alternate range to be recalculated when the click range is clicked). In this example, try clicking in the blue area below and see that the clicked cell receives the default value of 1. Now click on a different value in the click range to the left and again click in the range below -- the value assigned is the value from the click range. If an U.GET_CLICKVAL() call existed in the sheet, it would also update as usual when a cell in the click val range is clicked.
By default any value set in the optional 7th parameter is also applied to the target range. To configure recognition of range refs in the target ranges distinctly, provide a 2nd value in a row vector to the 7th parameter -- the 1st value will apply to the click range and the 2nd to the target range.</t>
        </r>
      </text>
    </comment>
    <comment ref="D88" authorId="0" shapeId="0" xr:uid="{9E557B30-2FFD-4E25-B0DF-132604081A83}">
      <text>
        <r>
          <rPr>
            <b/>
            <sz val="9"/>
            <color indexed="81"/>
            <rFont val="Tahoma"/>
            <family val="2"/>
          </rPr>
          <t>Any image can be used as a button instead of a range by setting any value in the 8th parameter to "image". Try using either mouse button to click the lightning bolt and see that the Time is recalculated. Post-click row offsets are supported and are from the top-left cell of the image. All special "return(..)" values are also supported, where "name" will return the name of the image. If not specified the return value is any image text (title if a chart), or the image name if no text exists.
When specifying a clickable image, the 2nd parameter can alternatively be passed as a comma-delimited list as "image(&lt;image&gt;)" where &lt;image&gt; is either the name of registered image or the result of U.RANGE_REF referencing all or part of the range containing the image. If the 8th parameter does not contain "image" then the 2nd parameter must be passed as a string and not a reference to a range ...in which case multiple ranges can be delimited with commas (in this way a mix of image and cell buttons is supported).
The container of the clicked image will flash briefly when the image is clicked, and then by default its top-left cell will be selected. The flash can be prevented if desired by protecting the worksheet (though in that case worksheet objects must be unprotected if there is a desire to use hover formatting as below). The flash can also be prevented by including "cleanClick" as a comma-delimited value in the 8th parameter, though this can impact other "click to select" actions so is best only applied when a sheet is no longer being edited.
Like when the button is a cell, a regular right-click or left-click can be performed by holding the control key while clicking.</t>
        </r>
      </text>
    </comment>
    <comment ref="G104" authorId="0" shapeId="0" xr:uid="{B9705C70-F226-48B4-8E3A-E43C5E34AC46}">
      <text>
        <r>
          <rPr>
            <b/>
            <sz val="9"/>
            <color indexed="81"/>
            <rFont val="Tahoma"/>
            <family val="2"/>
          </rPr>
          <t>These cells are using the image and click features to create the large "Click Me…" button to the left.</t>
        </r>
      </text>
    </comment>
    <comment ref="D110" authorId="0" shapeId="0" xr:uid="{C757F764-7262-4367-B9B4-54E34A277E17}">
      <text>
        <r>
          <rPr>
            <b/>
            <sz val="9"/>
            <color indexed="81"/>
            <rFont val="Tahoma"/>
            <family val="2"/>
          </rPr>
          <t>U.SET_CLICKVALS can respond to hover events instead of click events by setting the 8th param to "hover". By default hovering applies to both images and cells in the selected range, but an optional 2nd column can be provided in the 8th parameter to limit the scope: TRUE will apply hovering to only images, and FALSE to only cells. By default the current value of the hovered cell is returned for cells, and the text in an image is returned (title in a chart). If the text/title is empty, then the name of the image is returned instead by default. All of the special "return(...)" values available when clicking are also available when hovering. By default the last value is retained when the cursor is moved outside of the range, but if the 5th parameter has a value then that will be applied when the cursor is outside of the range.
Enable this example by clicking the green words above, then move the cursor over the images and letters/numbers to the left to see how the Hover Val updates. In this example, some conditional formatting is used to highlight the cells containing numbers/letters when the cursor is over them, and U.UPDATE_IMAGE is used to change the color of the circles.
Use of this hovering feature is discouraged for performance-sensitive workbooks ...and having images automatically update in response to the cursor location is especially discouraged when performance is critical. This can be avoided by disabling hovering when editing the workbook. This example is disables hovering by default a precaution since users might open it in the same Excel instance as a performance-sensitive workbook.
Note that hover and click support are distinct. If there is a desire to have an image or cell respond to a mouse hover and also to have it respond to a click, then two distinct calls to U.SET_CLICKVALS are required that specify the desired hover and click functionality, respectively.</t>
        </r>
      </text>
    </comment>
    <comment ref="D133" authorId="0" shapeId="0" xr:uid="{AAD2A75C-5891-4ECB-8D9F-9E72D277CE19}">
      <text>
        <r>
          <rPr>
            <b/>
            <sz val="9"/>
            <color indexed="81"/>
            <rFont val="Tahoma"/>
            <family val="2"/>
          </rPr>
          <t>Format changes can optionally be specified directly in U.SET_CLICKVALS by using "hover(…)" in function form and providing comma-delimited &lt;setting&gt;=&lt;value&gt; pairs as its parameter. When this is done, formats are more efficiently applied directly to the object under the mouse. In this example a number of formats are specified. After enabling hovering above, try moving the mouse over the squares to the left.
All format settings described in U.UPDATE_IMAGE and U.FORMAT_RANGE are supported. In addition, a special "ignoreBlanks" setting (used in this example) can be specified to indicate that hover formats do not apply to blank cells; the ignoreBlanks setting does not need a value (assumed to be TRUE if not provided). This example includes a non-blank cell to show that it will receive the hover format. This example also uses the "lift" format that applies a few other settings to create the effect of images being lifted off the worksheet (lift does not require a value when used as a hover setting, so no need for "lift=TRUE"). Although not used here or above, a special "fast" setting could be specified which, when provided, prompts Excel to update the value U.GET_CLICKVAL(...) will receive as quickly as possible (by default it will wait until mouse movements slow; like with ignoreBlanks, no value is required since TRUE is assumed when no value is set).
By default, when formats are indicated in U.SET_CLICKVALS as in this example, formats revert to their pre-hover values when the mouse is no longer hovering over the cell/image. Explicit defaults can optionally be provided by including settings prefixed with "default" (e.g. "defaultColor") -- when any defaults are specified, only those are applied when the mouse is no longer hovering over the item (so any formats that existed prior to the hover may be lost and replaced with the specified defaults).</t>
        </r>
      </text>
    </comment>
    <comment ref="E151" authorId="0" shapeId="0" xr:uid="{00000000-0006-0000-2700-00000D000000}">
      <text>
        <r>
          <rPr>
            <b/>
            <sz val="9"/>
            <color indexed="81"/>
            <rFont val="Tahoma"/>
            <family val="2"/>
          </rPr>
          <t>The optional 8th parameter to U.SET_CLICKVALS can be used to further configure aspects of the behavior. By passing one to three boolean values in a row of cells (or hardcoded using Excel's array syntax), the following behavior can be configured:
-1st boolean: if set to TRUE, right-clicks will not cause clickval updates. By default, right-clicks will be treated as valid clicks and Excel's format menu is suppressed when a right-click is done in a click range
-2nd boolean: if a click range is clicked and Excel is in manual recalc mode, then by default it will be recalculated so the updated value is applied. Setting the 2nd boolean to TRUE will turn off this auto recalc when Excel is in manual calc mode
-3rd boolean: if a 3rd boolean value is provided and it is set to TRUE, the selecting a cell in the click range by any means -- even moving the cursor with arrow keys -- will be treated as a click
Alternatively, as noted in the hover example above the 8th parameter could be set to "hover" to respond to cursor move events instead of clicks. When hovering is enabled, the optional 2nd boolean controls can specify whether hovering only applies to shapes (TRUE) or cells (FALSE). When not provided, hovering applies to both as in the example above.
If the 8th parameter contains "image" then all provided click ranges are treated as referring to images. If multiple values are provided and any is "image" then the assumption of images still applies, and other values are handled as click configuration booleans. If the 8th parameter contains "cleanClick" then mouse down events are detected so that the initial select flash of images is avoided. When used with ranges, cleanClick will allow left clicks to be applied repeatedly without the selection changing or the cursor entering the cell. Some care is warranted as cleanClick may have some side effects related to other click/select actions in certain workbooks ...so best to use on workbooks that are not being developed/edited actively.
If the 8th parameter contains "double" (or "dbl") then a double click is required instead of a single click, and by default right-clicks will still show Excel's format menu. If one or two boolean values are provided in addition to the "double" indicator, they have the same meanings as the 2nd and 3rd boolean values described above. Right-click support can be added back in addition to double clicks by including all 3 boolean values and setting the 1st to FALSE.</t>
        </r>
      </text>
    </comment>
    <comment ref="D168" authorId="0" shapeId="0" xr:uid="{00000000-0006-0000-2700-00000E000000}">
      <text>
        <r>
          <rPr>
            <b/>
            <sz val="9"/>
            <color indexed="81"/>
            <rFont val="Tahoma"/>
            <family val="2"/>
          </rPr>
          <t>If the 5th optional "values_or_start_val" parameter is set to a range of values, then clicking a cell in the click range will cause subscribers to be updated with a value that cycles through those values with each click in the range. Up to 3 click ranges can be provided: the first will move to the next value in the list, the 2nd will move to the prior value in the list, and the 3rd will reset the value to the default (either one explicitly provided in the optional 6th parameter or otherwise the first value in the range of values). The cycle will repeat if more than 3 click ranges are provided (i.e., the 4th click range will move to the next value, the 5th to the prior, etc).
In this example all three ranges are set, and a default value of "Larry" is hard-coded. Try clicking the colored cells to the left and see how they cause the U.GET_CLICKVAL value to update accordingly.
By default, looping will occur when the end of the list is reached. For example, incrementing from "Ann" in the list to the left will loop up to "Sandy" (and vice-versa). To prevent that looping and have the cycling terminate at either end of the list, include the special value "do_not_loop()" anywhere in the list of values. That will prevent cycling, but "do_not_loop()" will not be treated as an actual list value.</t>
        </r>
      </text>
    </comment>
    <comment ref="D182" authorId="0" shapeId="0" xr:uid="{00000000-0006-0000-2700-00000F000000}">
      <text>
        <r>
          <rPr>
            <b/>
            <sz val="9"/>
            <color indexed="81"/>
            <rFont val="Tahoma"/>
            <family val="2"/>
          </rPr>
          <t>A toggle can be created by cycling through a list with only 2 values. Try clicking below "click me" and see how the subscriber below it toggles between the values of TRUE and FALSE.</t>
        </r>
      </text>
    </comment>
    <comment ref="D195" authorId="0" shapeId="0" xr:uid="{00000000-0006-0000-2700-000010000000}">
      <text>
        <r>
          <rPr>
            <b/>
            <sz val="9"/>
            <color indexed="81"/>
            <rFont val="Tahoma"/>
            <family val="2"/>
          </rPr>
          <t>If the optional 5th parameter is set to a single value (or a blank, which is treated as zero), then the value will be incremented/decremented by the increment amount specified in the optional 6th parameter (or 1.0 if no increment is specified).
In this example a starting value of 100 and an increment of 5 is hard-coded into the equation. Try clicking on the colored cells the left and see how the value below is updated.
Note that on a full recalc one may notice this value reset to 95 -- that is caused by the U.OVERWRITE_CLICKVALS example below that simulates a decrementing click.</t>
        </r>
      </text>
    </comment>
    <comment ref="D208" authorId="0" shapeId="0" xr:uid="{00000000-0006-0000-2700-000011000000}">
      <text>
        <r>
          <rPr>
            <b/>
            <sz val="9"/>
            <color indexed="81"/>
            <rFont val="Tahoma"/>
            <family val="2"/>
          </rPr>
          <t>U.OVERWRITE_CLICKVAL allows logic to be used, instead of cell clicks, to change the value of a range of values specified using U.SET_CLICKVALS. The method returns the time it was last recalculated. In this example, the value of "MY_CLICKVALS" is set to "blah" ...so any cells containing =U.GET_CLICKVAL("MY_CLICKVALS") would update to "blah".
If the method is blocked, a default value for the clickval can still be set by providing a 2nd column in the 3rd parameter and setting its value to the desired default value. The default will be applied only when the clickval is first created in the Excel instance even though the method is otherwise blocked.</t>
        </r>
      </text>
    </comment>
    <comment ref="D217" authorId="0" shapeId="0" xr:uid="{00000000-0006-0000-2700-000012000000}">
      <text>
        <r>
          <rPr>
            <b/>
            <sz val="9"/>
            <color indexed="81"/>
            <rFont val="Tahoma"/>
            <family val="2"/>
          </rPr>
          <t>U.OVERWRITE_CLICKVAL can also be used to simulate a click rather than set a specific value. This is done by passing "click()" as the value. For incrementing/decrementing and cycling ranges, a decrementing click can be simulated by using click(down) ...or click(decrement) or click(-). A reset click can be simulated by setting the value to click(reset) ...or click(default). When the clickval is not an incrementing/decrementing/cycling type, a simulated click is always applied to the top-left cell of the first click range.
In this example, if the equation is calculated it will decrement the value in the "Incrementor" example above.
In the unlikely event that the desire is to actually set the value of the clickval to the string "click()" and not simulate a click, escape he value with a backslash ("\click()").</t>
        </r>
      </text>
    </comment>
    <comment ref="D232" authorId="0" shapeId="0" xr:uid="{AB0B61C8-C547-43F2-99F5-B52FE309D7AE}">
      <text>
        <r>
          <rPr>
            <b/>
            <sz val="9"/>
            <color indexed="81"/>
            <rFont val="Tahoma"/>
            <family val="2"/>
          </rPr>
          <t>If U.GET_CLICKVAL() is called without setting any parameter, a report of known clickvals and their values for the current Excel instance is returned. This report does not update in real-time as values changed, so must be recalculated to reflect the current state.</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5" authorId="0" shapeId="0" xr:uid="{00000000-0006-0000-2800-000001000000}">
      <text>
        <r>
          <rPr>
            <b/>
            <sz val="9"/>
            <color indexed="81"/>
            <rFont val="Tahoma"/>
            <family val="2"/>
          </rPr>
          <t>U.KEYBOARD_SHORTCUT registers keys that when pressed …either together or optionally in a specific sequence… will cause some action to occur. The shortcut is automatically applied when the workbook is opened, and is automatically removed if the U.KEYBOARD_SHORTCUT equation is deleted or if the workbook containing it is closed. The method returns a clean representation of the shortcut combination.
The default action is to calculate a referenced range. In this example, the first parameter is set to the key combination and the 2nd parameter is set to a cell that will be recalculated when the key combination is pressed. Try pressing CTRL + ALT + C at the same time, and see that the cell containing U.NOW() is recalculated such that it updates to the current time. If the 2nd parameter has the word "selection" hard-coded into the equation, then the target will be the cell(s) selected when the shortcut is performed.
When key *combinations* are defined that must be pressed concurrently, the keys in the combination must be separated by a plus sign (+) as in this example. Key combinations optionally contain one or more "special" keys (CTRL, SHIFT and/or ALT) and exactly 1 key that is not a special key. If the non-special key is a letter or number, then the CTRL and/or ALT key must be included in the combination (e.g. G alone is not allowed, but ALT + G is; this only applies to the numbers in the main keyboard, not those on a number pad). When pressing the key combination, the non-special key (C in this example) must be the last key pressed.
A cell that is to be recalculated can contain arbitrarily complex logic. Multiple ranges can be recalculated by selecting multiple ranges in the 2nd parameter, separated by commas and all enclosed in parentheses ...or by using U.RANGE_REF, which would allow the ranges to be on different tabs.
Keyboard shortcuts are not case-sensitive, and using lower-case letters when defining a sequence will result in functioning that is identical to using upper-case letters.</t>
        </r>
      </text>
    </comment>
    <comment ref="D25" authorId="0" shapeId="0" xr:uid="{00000000-0006-0000-2800-000002000000}">
      <text>
        <r>
          <rPr>
            <b/>
            <sz val="9"/>
            <color indexed="81"/>
            <rFont val="Tahoma"/>
            <family val="2"/>
          </rPr>
          <t>If the 3rd parameter is set, then instead of calculating the range in the 2nd parameter, the value specified in the 3rd parameter will be copied into the range specified in the 2nd parameter.
In this example, the 3rd parameter is set to a cell that contains a random value that is changing every 3 seconds. Try pressing CTRL + ALT + T and see that the current value is copied from the "Copy From" cell to the "Copy To" cell.
If the 3rd parameter contains the special string "time()" then the current time will be copied into the target range specified in the 2nd parameter. If "time()" is specified and there are multiple target ranges selected that each has only a single cell, then the current time is set in all of the specified target ranges.
In this example, the optional 4th parameter "select_target" is also set to TRUE. When the 4th parameter is TRUE and the target is a range (instead of just the name of a ClickVal) then the target range will be selected in addition to any updated values being applied. If multiple target ranges were set, the first will be selected. In this way, one could easily setup navigation via keyboard shortcuts to important parts of a workbook.
This example also illustrates that U.KEYBOARD_SHORTCUT will return a "clean" version of the keyboard shortcut regardless of how it is entered. Here it is entered in a random order with random casing and spacing, and a "standard" shortcut string is still returned. The longer form "control" was also converted to "CTRL" ...there are a small handful of cases where such alternate wording is supported.
The 3rd parameter can optionally be hard-coded to "selection" in which case the value applied is the value of the selected cell(s) as of the time of the shortcut is pressed. An offset to that value can optionally be applied by making selection a function and providing the increment as the parameter; for example "selection(-1.5)" would subtract 1.5 from the value in the selected cell (or each cell in the range if more than one) at the time the shortcut is pressed and use that as the value.</t>
        </r>
      </text>
    </comment>
    <comment ref="D47" authorId="0" shapeId="0" xr:uid="{00000000-0006-0000-2800-000003000000}">
      <text>
        <r>
          <rPr>
            <b/>
            <sz val="9"/>
            <color indexed="81"/>
            <rFont val="Tahoma"/>
            <family val="2"/>
          </rPr>
          <t>Instead of calculating a target range or setting the value of a target range, the shortcut could instead be used to update the value of a ClickVal similar to U.OVERWRITE_CLICKVAL.
In this example, a ClickVal with the name "KS" is defined. Try pressing CTRL + ALT + K and see that the current random value from the prior example is set as the KS ClickVal value.
It is important that a cell containing the name "KS" not be referenced directly in the 2nd parameter, otherwise the cell itself will be updated instead of the ClickVal whose name is in the cell. This example could have just hard-coded "KS" as the 2nd parameter in the equation, but instead used a small trick of concatenating with "" to turn the reference into the sting value (nesting the reference in U.DO or other methods would also suffice; it just can't be a direct cell reference).
As with the prior example, if the 3rd parameter were set to the special value "time()" then the KS ClickVal value would have been updated to the current time. Since ClickVals only hold a single value, if the 3rd parameter refers to a range of values then the ClickVal will be set to the value in the top-left cell of that range.
If the 3rd parameter had been set to "click()" then instead of the clickval being updated a click would have been simulated. For clickvals that have cycling or incrementing/decrementing values, the type of click can be specified: click(down) ...or click(decrement) or click(-)... would indicate a decrementing click; click(reset) ...or click(default) would be a reset click. When no parameter or any other parameter is specified, an incrementing click is performed.
In this example, the optional 5th parameter "global" is also set to TRUE. When the 5th parameter is set to TRUE, the keyboard shortcut will function even if the Excel instance where it is defined is not the active Windows application. Try selecting some other application or just the Windows Desktop and press CTRL + ALT + K and see how the shortcut still functions.
When the 5th parameter is set to TRUE, the shortcut works whether or not the Excel instance is the active Windows application. To have the shortcut work ONLY when the Excel instance where it is defined is NOT active, provide two boolean values to the 5th parameter and set the 2nd to FALSE (i.e. {TRUE, FALSE}). Some caution is warranted when using shortcuts that are recognized even when other apps are active: if the Excel instance that must respond to the shortcut is very overloaded, it could potentially cause a noticeable lag in keyboard responsiveness generally.
It is possible to set both the 4th and 5th parameters to TRUE so that a workbook navigation occurs even if the shortcut is executed from outside of Excel. Note, however, that if the Excel instance is behind other apps it could remain behind those other apps after the action and navigation is executed.</t>
        </r>
      </text>
    </comment>
    <comment ref="F74" authorId="0" shapeId="0" xr:uid="{00000000-0006-0000-2800-000004000000}">
      <text>
        <r>
          <rPr>
            <b/>
            <sz val="9"/>
            <color indexed="81"/>
            <rFont val="Tahoma"/>
            <family val="2"/>
          </rPr>
          <t>By default, U.KEYBOARD_SHORTCUT will allow any other actions associated with the keyboard shortcut to be performed. For example, CTRL + S will still save an Excel workbook when pressed even if a custom shortcut is defined for that combination.
To have a custom keyboard shortcut replace an existing action associated with that shortcut, set the optional 6th parameter to TRUE. It is recommended, though, to choose keyboard combinations that do not already have meanings unless there is a desire to explicitly eliminate some current shortcut.</t>
        </r>
      </text>
    </comment>
    <comment ref="D83" authorId="0" shapeId="0" xr:uid="{CC05493B-3A07-4EA7-90AC-3A36122A6385}">
      <text>
        <r>
          <rPr>
            <b/>
            <sz val="9"/>
            <color indexed="81"/>
            <rFont val="Tahoma"/>
            <family val="2"/>
          </rPr>
          <t>In some cases, there may be a desire to apply a keyboard shortcut only when a specific cell (or one of several specific cells/ranges) is selected. That can be accomplished by setting the optional 7th parameter to the range(s) that must be selected for the keyboard shortcut to be applied.
In this example, the 7th parameter is set to the same cell as the "copy to" cell. If any other cell except that cell is selected, then the copy will not occur in response to pressing the specified key combination. Try selecting the "Copy To" cell with the blue numeric value to the left, now press CTRL + ALT + K and see that the copy occurs.
Note that the CTRL + ALT + K combination is also used in the example above, and that copy will function regardless of which cell is selected since it does not specify a 7th parameter. The "selection scope" specified in the 7th parameter is considered when deciding the uniqueness of a key combination, such that the CTRL + ALT + K combinations in the earlier example and in this example are treated as distinct. As a result, a single key combination could be re-used as many times as desired provided each use has a unique value for the 7th parameter.
The cell(s)/range(s) specified in the 7th parameter can be anything. In this example the 7th parameter happens to be set to a cell that is also used in another parameter, but that is not required.</t>
        </r>
      </text>
    </comment>
    <comment ref="D103" authorId="0" shapeId="0" xr:uid="{00000000-0006-0000-2800-000005000000}">
      <text>
        <r>
          <rPr>
            <b/>
            <sz val="9"/>
            <color indexed="81"/>
            <rFont val="Tahoma"/>
            <family val="2"/>
          </rPr>
          <t>Keyboards vary in different regions around the globe and based on system configuration, and it may not always be obvious how to specify a particular keyboard combination. If the first parameter is set to the special value "LAST" and the 2nd parameter is not set, then U.KEYBOARD_SHORTCUT will display the proper way you should enter any given key combination.
Try pressing any random key, and also entering combinations that include a mix of CTRL, SHIFT and/or ALT with another key. This value will update to show you the proper way to register that key combination.
Note that, as described above, any default actions associated with a given key combination will still be performed. The optional 6th parameter could be set to TRUE to prevent default actions when testing key sequences ...but in this case it has the effect of preventing all key actions, including navigating with arrow keys. For this reason, the default action of the DELETE key is not replaced even with the 6th parameter is TRUE when using LAST -- that way the mouse can be used to click the cell containing U.KEYBOARD_SHORTCUT, and the DELETE key can be used to delete the equation ...which will restore key functioning, since the registration is removed once the equation no longer exists in the workbook. The F9 key functioning is similarly not replaced so that the workbook can be easily recalculated after another key is pressed or after the equation is deleted, which may be necessary if it is in manual calculation mode.
When keyboard shortcuts for launching Excel workbooks are specified in U.MONITOR_WORKBOOK schedules, the syntax of shortcuts is identical to the syntax described here, so the LAST method can also be helpful when setting keyboard shortcuts in that context.
When testing keyboard shortcuts using "LAST", every key stroke is processed. To avoid any potential performance implications, it is best to use the method this way only temporarily when figuring out new key combinations.</t>
        </r>
      </text>
    </comment>
    <comment ref="D121" authorId="0" shapeId="0" xr:uid="{00000000-0006-0000-2800-000006000000}">
      <text>
        <r>
          <rPr>
            <b/>
            <sz val="9"/>
            <color indexed="81"/>
            <rFont val="Tahoma"/>
            <family val="2"/>
          </rPr>
          <t>To expand the variety of possible shortcuts and minimize the risk of interference with shortcuts defined by other apps …and also to enable the creation of more memorable shortcuts… U.KEYBOARD_SHORTCUT supports keyboard *sequence* shortcuts in addition to the standard keyboard *combination* shortcuts. To set such a shortcut, create a name that consists of only letters and numbers and prefix it with ESC followed by a space or hyphen as shown in this example.
To trigger a keyboard sequence shortcut, perform the following steps:
  (1) Press and release the Escape key on the keyboard
  (2) Type the sequence in order (the word SETNOW in this example; casing does not matter, so there is no need to use the shift key or caps lock to capitalize)
  (3) Press the escape key again
At this point, the shortcut will execute. The ESC- prefix is used both to avoid name conflicts with keys and also as a reminder that the Escape key must literally be pressed before and after entering the sequence. Note that in the "clean" representation of the key sequence the "- ESC" suffix is also added.
All of the other functionality defined above functions with keyboard sequence shortcuts. In this example the shortcut is defined to be global, so performing the sequence even when some other application ...or no application... is selected in Windows will still cause the action defined by the shortcut to occur ...which in this case is updating the "Time Here" cell to the current time.
Sequence shortcuts may be particularly useful in U.MONITOR_WORKBOOK schedules since they allow for meaningful names. For example, a schedule could define ESC - RISK - ESC as the sequence that will launch a particular risk workbook even if no Excel instance is open.
The user-specified portion of the sequence (the word in middle) can be at most 20 characters long.</t>
        </r>
      </text>
    </comment>
    <comment ref="H146" authorId="0" shapeId="0" xr:uid="{C4B9F73D-0931-4310-8C68-731F8D23C065}">
      <text>
        <r>
          <rPr>
            <b/>
            <sz val="9"/>
            <color indexed="81"/>
            <rFont val="Tahoma"/>
            <family val="2"/>
          </rPr>
          <t>If no other parameters are specified, a report showing all keyboard shortcuts defined in the current Excel instance is returned.</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3" authorId="0" shapeId="0" xr:uid="{A1994B66-C93D-4773-95A9-BF287D6EA384}">
      <text>
        <r>
          <rPr>
            <b/>
            <sz val="9"/>
            <color indexed="81"/>
            <rFont val="Tahoma"/>
            <family val="2"/>
          </rPr>
          <t>Change this to TRUE to enable the examples below.</t>
        </r>
      </text>
    </comment>
    <comment ref="D8" authorId="0" shapeId="0" xr:uid="{F7861492-C4C4-46D0-9983-9F3A1970BF49}">
      <text>
        <r>
          <rPr>
            <b/>
            <sz val="9"/>
            <color indexed="81"/>
            <rFont val="Tahoma"/>
            <family val="2"/>
          </rPr>
          <t>U.LISTEN registers phrases that when spoken will cause some action to occur (requires the computer to have an active microphone). The listening is automatically applied when the workbook is opened, and is automatically removed if the U.LISTEN method is deleted or if the workbook containing it is closed. The method returns the last time the phrase was heard.
The default action is to calculate a referenced range. In this example, the first parameter is set to the word "recalculate" the 2nd parameter is set to a cell that will be recalculated when the word is spoken. Try speaking "recalculate" into the computer's microphone, and see that the cell containing U.NOW() is recalculated such that it updates to the current time.
A cell that is to be recalculated can contain arbitrarily complex logic. Multiple ranges can be recalculated by selecting multiple ranges in the 2nd parameter, separated by commas and all enclosed in parentheses ...or by using U.RANGE_REF, which would allow the ranges to be on different tabs.
CAVEAT: speech recognition can be hit or miss, especially when there is background noise present. False positives and negatives are both possible. For best results, consider using multi-word phrases with less common words and multi-syllable words. For example "launch risk workbook" is likely to be more reliable than "show risk". Also tweak the confidence thresholds and consider adding "decoy" phrases as described below. Reducing the sensitivity of a microphone -- or even better using a headset or ear pieces containing a microphone -- will likely further improve results. Information about heard phases along with the associated confidence level is written to the log file, so that can be reviewed to aid in tweaking settings. Windows also allows you to train its speech recognition engine to better understand your voice, which can signifantly improve results.</t>
        </r>
      </text>
    </comment>
    <comment ref="D22" authorId="0" shapeId="0" xr:uid="{B7F58B3A-B4BE-413C-8254-1D0B9275A3CF}">
      <text>
        <r>
          <rPr>
            <b/>
            <sz val="9"/>
            <color indexed="81"/>
            <rFont val="Tahoma"/>
            <family val="2"/>
          </rPr>
          <t>If the 3rd parameter is set, then instead of calculating the range in the 2nd parameter, the value specified in the 3rd parameter will be copied into the range specified in the 2nd parameter.
In this example, the 3rd parameter is set to a cell that contains a time that is changing every 3 seconds. Try speaking "copy the cell" into the microphone and see that the current value is copied from the "Copy From" cell to the "Copy To" cell.
If the 3rd parameter contains the special string "time()" then the current time will be copied into the target range specified in the 2nd parameter. If "time()" is specified and there are multiple target ranges selected that each has only a single cell, then the current time is set in all of the specified target ranges.
In this example, the optional 4th parameter "select_target" is also set to TRUE. When the 4th parameter is TRUE and the target is a range (instead of just the name of a ClickVal) then the target range will be selected in addition to any updated values being applied. If multiple target ranges were set, the first will be selected. In this way, one could easily setup navigation via voice to important parts of a workbook.
The Windows speech recognizer has a tendency to think it hears phrases that it did not. To minimize the risk of false positives, phrases are only treated as having been spoken in the speech recognizer reports it is at least 80% confident in the recognition. That confidence level can be adjusted for individual phrases. Note the [85%] after the phrase "copy the cell" in this example -- with that suffix added, the phrase will only be recognized if the Windows speech recognizer is 85% confident it heard that exact phrase. In this way the confidence level for individual phrases can be tweaked up or down as needed. The chances of a false match can be further reduced by adding "decoy" phrases that are similar to real phrase; for example the setting "copy the cell [85%, copy the bell, crop the cell] would add the decoy phrases "copy the bell" and "crop the cell" to the list of recognized phrases -- the engine may match with one of those instead, and in that case the action will not be triggered. Any number of decoy phrases can be added, separated by commas (if the 1st value in the brackets does not look like a confidence level, it will be treated as a decoy phrase). Reducing the sensitivity level of the microphone in Windows settings can also help avoid false positives.
The Windows speech recognizer may contribute to accelerated battery drain if used on a laptop that is not plugged in. Disabling is advised if that is experienced.</t>
        </r>
      </text>
    </comment>
    <comment ref="D38" authorId="0" shapeId="0" xr:uid="{202ED911-72D4-4B24-BB9A-9D89708BD5B0}">
      <text>
        <r>
          <rPr>
            <b/>
            <sz val="9"/>
            <color indexed="81"/>
            <rFont val="Tahoma"/>
            <family val="2"/>
          </rPr>
          <t>Instead of calculating a target range or setting the value of a target range, the phrase could instead be used to update the value of a ClickVal similar to U.OVERWRITE_CLICKVAL.
In this example, a ClickVal with the name "LS" is defined. Try speaking "set the clickval" into the microphone and see that the current random value from the prior example is set as the LS ClickVal value.
It is important that a cell containing the name "LS" not be referenced directly in the 2nd parameter, otherwise the cell itself will be updated instead of the ClickVal whose name is in the cell. This example could have just hard-coded "LS" as the 2nd parameter in the equation, but instead used a small trick of concatenating with "" to turn the reference into the sting value (nesting the reference in U.DO or other methods would also suffice; it just can't be a direct cell reference).
As with the prior example, if the 3rd parameter were set to the special value "time()" then the LS ClickVal value would have been updated to the current time. Since ClickVals only hold a single value, if the 3rd parameter refers to a range of values then the ClickVal will be set to the value in the top-left cell of that range.
If the 3rd parameter had been set to "click()" then instead of the clickval being updated a click would have been simulated. For clickvals that have cycling or incrementing/decrementing values, the type of click can be specified: click(down) ...or click(decrement) or click(-)... would indicate a decrementing click; click(reset) ...or click(default) would be a reset click. When no parameter or any other parameter is specified, an incrementing click is performed.
This example also sets the optional 5th parameters, which control the listen timeouts. By default, once speech is recognized it will wait for a pause of 150 milliseconds before finalizing the recognition. That can be changed by providing a new number of milliseconds in the 5th parameter. When the intended phrase is ambiguous, the default pause is 500 milliseconds -- that can be changed by providing a 2nd column value in the 5th parameter (an example of an ambiguous phase would be if "set time" and "set time to noon" were both registered phrases ...when only "set time" has been spoken, it's not clear if the user means the phrase "set time" or if the user will shortly add "to noon" ...so a longer pause is used to await a possible completion of the phrase by the user). In this example both are set: the non-ambiguous pause is set to 200 milliseconds and the ambiguous pause is set to 700 milliseconds. If the value provided for either timeout is less than or equal to zero, then the default timeout is used. A max of 10000 milliseconds (10 seconds) is enforced for both timeout values.</t>
        </r>
      </text>
    </comment>
    <comment ref="D67" authorId="0" shapeId="0" xr:uid="{EBBAC53B-3D78-4E74-A8E3-1BF6514D754F}">
      <text>
        <r>
          <rPr>
            <b/>
            <sz val="9"/>
            <color indexed="81"/>
            <rFont val="Tahoma"/>
            <family val="2"/>
          </rPr>
          <t>In some cases the Windows speech recognition engine may have difficulty recognizing a phrase, especially if the speaker has an accent. By setting the 1st parameter to the special phrase "LAST()", U.LISTEN will return the most recent phrase spoken. So a user could speak a phrase to see how it is interpreted, and then use that interpreted phrase as the 1st parameter when configuring a phrase that performs an action. The 2nd parameter must be left blank, though other parameters can be set and will be applied (for example, if a timeout is provided that will be applied before the phrase is captured). The percentage in brackets after the returned represents how confident the Windows speech recognizer is that it heard the phrase correctly.
The Windows speech recognizer is much better at matching spoken words with pre-defined phrases than it is at capturing unconstrained dictation. The results returned by LAST() can be frustratingly poor, but that is not indicative of the much better results one will generally observe when speaking specific phrases configured with U.LISTEN.</t>
        </r>
      </text>
    </comment>
    <comment ref="E75" authorId="0" shapeId="0" xr:uid="{6C6CAF4C-464B-4839-BA26-CC27F9BB1799}">
      <text>
        <r>
          <rPr>
            <b/>
            <sz val="9"/>
            <color indexed="81"/>
            <rFont val="Tahoma"/>
            <family val="2"/>
          </rPr>
          <t>If multiple Windows speech recognizers are installed on the machine, the speech recognizer to use can be specified by providing its name in the optional 6th parameter of U.LISTEN. When no speech recognizer is specified, the default speech recognizer is used.
As shown here, a report of the installed speech recognizers can be retrieved by setting the 6th parameter to TRUE and leaving all parameters blank.</t>
        </r>
      </text>
    </comment>
    <comment ref="L82" authorId="0" shapeId="0" xr:uid="{449FBAF1-2170-4217-863C-C4347098748E}">
      <text>
        <r>
          <rPr>
            <b/>
            <sz val="9"/>
            <color indexed="81"/>
            <rFont val="Tahoma"/>
            <family val="2"/>
          </rPr>
          <t>If no parameters are provided at all, U.LISTEN returns a report of all configured phrases.</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H5" authorId="0" shapeId="0" xr:uid="{00000000-0006-0000-2900-000001000000}">
      <text>
        <r>
          <rPr>
            <b/>
            <sz val="9"/>
            <color indexed="81"/>
            <rFont val="Tahoma"/>
            <family val="2"/>
          </rPr>
          <t>U.INCREMENT takes two ranges: values in the 1st range will be incremented by any amount entered into the 2nd range, and then the value entered in the 2nd range will be blanked out. Try entering values in the "increment" column to the left and see how the value of the "Total Pos" column changes.
The cell to be incremented must either have a numeric value or be blank, otherwise the increment will not be processed. Try to increment the 4th row to the left and see that it will not work.
In this example the inputs are adjacent column vectors, but ranges with multiple columns can also be provided. When a cell in the 2nd range is changed, the cell in the corresponding location of the 1st range will be incremented.
The 3rd parameter is optional. If specified as it is here, U.INCREMENT will use the range provided to paste a log of its activity. See how any increments that are applied are added to the top of this log. The log as displayed in the sheet is the only record of activity: activity is not recorded "behind the scenes," so if these rows are deleted the log will start fresh with the next change (the log is only meant as a convenience for users who may not be sure whether they input an intended increment).
Note that values in the 1st range ("Total Pos" in this example) can be freely changed without impact.
Because values are being pasted into the sheet from an external source, recalculation of U.INCREMENT will cause the undo history of the sheet containing the 1st range (and 3rd, if specified) to be lost. This is also the case with U.PASTE and any other methods that paste values. If problematic, consider having the range receiving the pasted values on a different sheet, then have a "View" sheet that references that range -- the undo history on the View sheet will not be impacted.</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10" authorId="0" shapeId="0" xr:uid="{00000000-0006-0000-2A00-000001000000}">
      <text>
        <r>
          <rPr>
            <b/>
            <sz val="9"/>
            <color indexed="81"/>
            <rFont val="Tahoma"/>
            <family val="2"/>
          </rPr>
          <t>U.PASTE will paste the values of an arbitrary range of data to the specified target location.
In this example, a matrix of values is transposed and multiplied by 2, and the result is pasted to the specified target range. Try changing the values in the source range and see the resulting values pasted to the target range.
When a single cell is selected as the target range, the full content of the source data will be pasted starting at that cell. Nothing is ever pasted above or to the left of the selected target cell. The user can restrict the paste area as follows:
  -To limit the width of the paste area: set the optional 3rd parameter "max columns" to a positive integer and/or select a row vector as the target instead of a single cell. Nothing will be pasted right of a target row vector unless a max number of columns is set and is greater than the width of the row vector. If a max number of columns is set, the max column setting will determine the width limit of the pasted data. A value of TRUE represents and arbitrarily large max number of columns.
  -To limit the height of the paste area: set the optional 4th parameter "max rows" to a positive integer and/or select a column vector as the target instead of a single cell. Nothing will ever be pasted below a target column vector unless a max number of rows is set and is greater than the height of the column vector. If a max number of rows is set, the max row setting will determine the height limit of the pasted data. A value of TRUE represents an arbitrarily large max number of rows.
  -if a matrix is selected as the target instead of a single cell or a vector of cells, then nothing will be pasted outside of that selected matrix of cells unless correspondingly larger max rows/columns are also set. This is a way to limit the area (both width and height) of the pasted data.
When a vector or matrix is selected as the target in addition to max column/row settings where the max setting is less then the number of columns/rows in the target range, then cells in the target range that are outside the max settings will be cleared. So the target range and max settings can be used in combination to ensure there is blank space around the pasted data.
In any case where the data being pasted is ultimately sourced from the range receiving the pasted values ...such as when concurrently subscribing to and publishing the same range of data... AND the first row of data is subject to change, then it is important to set the optional 6th parameter ("recursive") to TRUE to avoid multi-thread race conditions that can result in repeated recalculation of the method and data "flickering" between the prior and new values. Do not set this param if pasting to an Excel table, since doing so will cause the table to convert to a normal Excel range (the first row of tables are column headers, so the condition of the first row being subject to change is not met and therefore no need to set the optional 6th parameter to TRUE). If pasting to a an Excel range that may have Excel filters applied, Excel can become confused during the paste and corrupt the data. To avoid this risk, perform a granular paste by setting the 6th parameter to -1 ...or better, to -2, which will then only perform the granular paste if some filters are actually in effect. 
If the data being pasted is sourced from an Runline report but is transformed before being pasted (so only data is passed in, not a topic) then the topic from which the data came can be provided in the optional 7th parameter. This allows U to properly track which reports have been successfully pasted.
By default any formulas that may exist in the target range will be overwritten with the pasted values. To detect formulas and prevent pastes from occurring when one is found, set the optional 8th parameter to TRUE.
If the 1st parameter is the hard-coded string "U.NOW()" (case-sensitive) then the value pasted will be the current datetime. Similarly, if it is "U.TIME()" then the value pasted will be the current time without a date component. In the unlikely event of a desire to hard-code and paste one of these strings literally instead of a time, escape the string with a backslash (e.g. "\U.NOW()"). These strings are actually converted to times in this way for all U methods, not just U.PASTE.</t>
        </r>
      </text>
    </comment>
    <comment ref="C16" authorId="0" shapeId="0" xr:uid="{00000000-0006-0000-2A00-000002000000}">
      <text>
        <r>
          <rPr>
            <b/>
            <sz val="9"/>
            <color indexed="81"/>
            <rFont val="Tahoma"/>
            <family val="2"/>
          </rPr>
          <t>In this example U.PASTE is restricting the paste range by setting both the max columns and the max rows to 2. So the 3rd row of the paste range is not pasted into the target range.</t>
        </r>
      </text>
    </comment>
    <comment ref="C26" authorId="0" shapeId="0" xr:uid="{00000000-0006-0000-2A00-000003000000}">
      <text>
        <r>
          <rPr>
            <b/>
            <sz val="9"/>
            <color indexed="81"/>
            <rFont val="Tahoma"/>
            <family val="2"/>
          </rPr>
          <t>Here the paste range is again restricted to two rows, but this time that restriction is accomplished by making the target range a column vector.
In this example the optional 6th parameter is also set to -1 ("granular"). With that setting, the method will check the value of each cell and only paste a new value if it has changed (by default the entire range is pasted). This can create significant efficiencies in certain cases, such as where changed values cause recalculation of heavy analytics on the same row. By setting this to -1, those heavy recalcs will be triggered only for rows whose values have actually changed. However, this can be much less efficient in most common cases so best to measure the impact with and without this setting if attempting to use it.
If formulas are preserved on a granular paste (8th parameter TRUE) then any cells that do *not* contain formulas will still be updated. To instead have the paste of the entire range fail if any formula is detected, set the 8th parameter to "strong" instead of to TRUE.</t>
        </r>
      </text>
    </comment>
    <comment ref="C46" authorId="0" shapeId="0" xr:uid="{00000000-0006-0000-2A00-000004000000}">
      <text>
        <r>
          <rPr>
            <b/>
            <sz val="9"/>
            <color indexed="81"/>
            <rFont val="Tahoma"/>
            <family val="2"/>
          </rPr>
          <t>If U.PASTE_IN_MANUAL_MODE() is present in any cell in any open workbook in the current instance of Excel, the Excel instance will briefly be switched into Manual Calc mode before data is pasted into the sheet in response to an U.PASTE (or U.COPY_PASTE) call. This can create efficiencies if U.PASTE is used heavily in the sheet, but also has side effects. For one, Excel's clipboard is cleared when the calc mode is switched so attempts to copy/paste values manually could fail. Also the cursor may blink quickly during U.PASTE operations. Because of the potential side effects, by default manual mode is only used when U.PASTE is updating multiple regions in Excel separately; to force manual mode to be used for even simple, single-region pastes set the single parameter to TRUE (for U.COPY_PASTE, manual mode is always used if U.PASTE_IN_MANUAL_MODE is present so setting the parameter to TRUE has no effect and is not necessary).</t>
        </r>
      </text>
    </comment>
    <comment ref="C52" authorId="0" shapeId="0" xr:uid="{00000000-0006-0000-2A00-000005000000}">
      <text>
        <r>
          <rPr>
            <b/>
            <sz val="9"/>
            <color indexed="81"/>
            <rFont val="Tahoma"/>
            <family val="2"/>
          </rPr>
          <t>U.PASTE_OCCURRED takes a topic as an input and returns TRUE or FALSE depending on whether the topic had been pasted into the workbook since the data was last received by the server; FALSE is returned if the data has not been received by the server.
If no parameter is provided, U.PASTE_OCCURRED returns a report of all topics that have been pasted in the current Excel instance by workbook name. The report includes the time that the first paste occurred since the last update of the report received from the server.</t>
        </r>
      </text>
    </comment>
    <comment ref="E59" authorId="0" shapeId="0" xr:uid="{00000000-0006-0000-2A00-000006000000}">
      <text>
        <r>
          <rPr>
            <b/>
            <sz val="9"/>
            <color indexed="81"/>
            <rFont val="Tahoma"/>
            <family val="2"/>
          </rPr>
          <t>There are many use cases where the user's intent is to paste the data from a report retrieved from the Runline server. The risk is that, if the data is not retrieved from the server, then Runline could paste blank data over the range instead. For example, if an Runline topic is passed as the data to paste ...but the topic does not exist yet, or the computer is not connected to the internet so the report cannot be retrieved, then U.PASTE will conclude that the intent is to paste the topic itself. To prevent this and ensure that U.PASTE definitively only pastes data if a particular topic has been retrieved from the server, set the optional 7th parameter to the topic or to the cell containing the U.SUBSCRIBE call for that topic. This tells U.PASTE that no date should be pasted unless data from the server definitively exists for that topic.
Setting the optional 7th parameter can also be useful when transforming data before pasting it. For example, suppose the first parameter to U.PASTE is U.PARSE_WEB_CONTROL_VALS("ABCCORP/RISK/SUMMARY") ...which may be done if ABCCORP/RISK/SUMMARY is an interactive Web report published as HTML (see related doc). In this case U.PASTE would not know that the data being pasted came from ABCCORP/RISK/SUMMARY -- it just receives the transformed data that is returned from the U.PARSE_WEB_CONTROL_VALS method. If U.PUB_AND_PASTE is being used to prevent stale data from being published when the workbook is opened, the paste of ABCCORP/RISK/SUMMARY would not be recorded ...and therefore the sheet would not be able to publish that topic. By setting the optional 7th parameter to ABCCORP/RISK/SUMMARY then U.PASTE will know the data came from that topic and will record the successful paste. Note that the helper method U.TOPIC can be used to construct the topic, or again the 7th parameter to U.PASTE could just refer to a cell that subscribes to that report.</t>
        </r>
      </text>
    </comment>
    <comment ref="B63" authorId="0" shapeId="0" xr:uid="{00000000-0006-0000-2A00-000007000000}">
      <text>
        <r>
          <rPr>
            <b/>
            <sz val="9"/>
            <color indexed="81"/>
            <rFont val="Tahoma"/>
            <family val="2"/>
          </rPr>
          <t>With U.PASTE, like with U.DO, the time of the calculation is recorded so can be used in conjunction with U.AFTER in sequencing workflows when necessary.</t>
        </r>
      </text>
    </comment>
    <comment ref="C85" authorId="0" shapeId="0" xr:uid="{00000000-0006-0000-2A00-000008000000}">
      <text>
        <r>
          <rPr>
            <b/>
            <sz val="9"/>
            <color indexed="81"/>
            <rFont val="Tahoma"/>
            <family val="2"/>
          </rPr>
          <t>U.PASTE supports pasting multi-page data to distinct ranges. In this example, the first page of data is pasted using a single cell as the target reference; the second page is pasted using a range as the target reference. When the range is used, it is assured that even if the source data grows, nothing will be pasted outside of the selected target range unless max rows / max columns are set to indicate an even larger max paste area. Here Excel's native multi-range syntax is used for both the source and target ranges, but U.RANGE_REF could also be used (and would be needed for any parameter that references ranges on different tabs in the workbook).
If you only want to paste certain pages, an optional 5th parameter can be set to a comma-delimited "filter list" of page numbers or page names ...or to a range with a page number or page name in each cell... and only the specified pages will be included when the paste is executed. For example, if the report has 4 pages and you specify a page filter of {2,4} then only pages 2 and 4 will be pasted (so page 2 will be pasted to the 1st target range specified, and page 4 to the 2nd target range). If a cell with an Runline topic is referenced as the data and the topic has a page indicator appended (a pipe '|' character followed by a page number or name) then that page will be pasted if no other filter param is set.
When pasting multiple data pages, an array of values can be provided for the optional params for max columns, max rows, recursive and preserver formulas (either as a range of cells or as comma-delimited values). The params will be applied to the corresponding page being pasted after any page filtering has occurred. If there are fewer params provided than there are pages being pasted, the value of the last param provided will be applied to all remaining pages. For example, if the max rows param is {10, 20} and there are 3 pages of data being pasted, then a max rows of 10 will be applied to the first page and a max rows of 20 will be applied to the second and third pages.</t>
        </r>
      </text>
    </comment>
    <comment ref="C99" authorId="0" shapeId="0" xr:uid="{E9CB69C3-E424-4EC9-B1F5-9DDF49CC04CA}">
      <text>
        <r>
          <rPr>
            <b/>
            <sz val="9"/>
            <color indexed="81"/>
            <rFont val="Tahoma"/>
            <family val="2"/>
          </rPr>
          <t>Cached data can also be pasted as multi-page data by referring to multiple individual cells that each contain an explicit or read-once cache key. When used this way, only the first page of each cache is pasted. To use this method where one or more caches is multi-page, the pages must first be placed into their own caches and then those single-page caches referenced.
Topics are not supported in this form of a multi-page paste. Where there is a desire to include a topic, first cache the report data and use that cache key in the multi-page paste.</t>
        </r>
      </text>
    </comment>
    <comment ref="C114" authorId="0" shapeId="0" xr:uid="{00000000-0006-0000-2A00-000009000000}">
      <text>
        <r>
          <rPr>
            <b/>
            <sz val="9"/>
            <color indexed="81"/>
            <rFont val="Tahoma"/>
            <family val="2"/>
          </rPr>
          <t xml:space="preserve">If the source provided to U.PASTE is a string value …or a single cell containing a string value… that corresponds with a report (or any other data) cached by U, the method will assume it is the cached report that should be pasted and not the string value provided.
In this example, the source passed to U.PASTE is the output of an U.SUBSCRIBE call. U.PASTE recognizes this and pastes the content of that report to the target cells. Because this recalculation is triggered whenever U.USBSCRIBE recalculates, the pasting occurs in real-time as new versions of the specified report become available. As shown here, the individual pages of multi-page reports can also be pasted in this way.
This example also illustrates one of the benefits of using the U.PASTE method: the target range can be an Excel table, as the 2nd target range is here. Excel does not allow array formulas in tables, so standard methods for retrieving arrays of data cannot be used in conjunction with Excel table functionality.
*****IMPORTANT CAVEATS*****
Each time U.PASTE pastes data to Excel it clears the undo history for the sheet on which the paste occurs. For this reason pasting is best limited to workbooks that are not under active development, or at least the sheets on which pastes occur would ideally be sheets within the workbook that are not under active development.
</t>
        </r>
      </text>
    </comment>
    <comment ref="D140" authorId="0" shapeId="0" xr:uid="{00000000-0006-0000-2A00-00000A000000}">
      <text>
        <r>
          <rPr>
            <b/>
            <sz val="9"/>
            <color indexed="81"/>
            <rFont val="Tahoma"/>
            <family val="2"/>
          </rPr>
          <t xml:space="preserve">U.COPY_PASTE performs a standard copy/paste operation just as though it had been performed manually or via VBA. It exists to enable automation of workflows that require copy/paste operations without VBA.
The 1st parameter of U.COPY_PASTE is the range(s) to copy, and the 2nd parameter is the target range into which the 1st range(s) should be copied. When multiple ranges are selected, they are appended vertically and the result is what is pasted.
If the optional 3rd parameter is set to a recognized value, then a paste special operation is performed. Set it to TRUE or "formulas" to paste only formulas, to "formats" to paste only formats and to "values" to paste only values (though use of U.PASTE is recommended when pasting only values). Multiple paste special types can be provided in a single call, either as a comma-delimited list (eg: "values,formats") or by referencing a range of cells containing the paste specials to apply.
This first example is a basic copy / paste that pastes all of the source cell's information. Below are a few examples of applying paste special.
</t>
        </r>
      </text>
    </comment>
    <comment ref="D164" authorId="0" shapeId="0" xr:uid="{727756A0-2BF9-41EE-8272-00D668D07510}">
      <text>
        <r>
          <rPr>
            <b/>
            <sz val="9"/>
            <color indexed="81"/>
            <rFont val="Tahoma"/>
            <family val="2"/>
          </rPr>
          <t>U.COPY_PASTE can be used to dynamically copy down (or across) as data in a range expands, and clear the contents as data shrinks. This is done as follows:
  (1) Set the 1st parameter to the equation that returns the result to be displayed in the cell
  (2) Set the 2nd parameter to the range(s) to be checked to determine whether a copy or clear should occur
  (3) Include "down" and/or "across" in the list of indicators in the 3rd parameter
In the example to the left, try entering new values in the 1st empty row and see how the Sum equation is automatically copied down. Now delete those values and see how it is removed.
By default the full contents of the cell are copied, but the list of indicators could additionally contain paste special indicators (for example, "formulas,down" to copy down only formulas). When cleared, by default only the equation is cleared and any formatting remains. To clear the full contents of the cell including formatting include "clearall" in the list of indicators. To indicate that formulas should never be cleared even when the data shrinks, include "donotclear" in the list of indicators (if both DoNotClear and ClearAll are included, ClearAll is ignored).
The cell/range referenced in the 2nd parameter must begin on a row below the calling cell. Multiple ranges can be referenced, in which case all must start on the same row below the calling cell and be the same height. If the referenced range(s) is multiple rows tall, then the formula will be copied into the first row containing any non-blank value; and if no rows in the referenced range contains a value then every corresponding row in the calling cell's column will be cleared.
By default the equation is copied if any cell in a given reference row contains a non-blank value. To only have the equation copied down when *all* cells in a given reference row contain a value include "all" in the list of indicators.
Copying equations across columns works exactly the same way as copying down rows, except that the range(s) referenced in the 2nd parameter must start at a column to the right of the calling cell.
When copy down and/or across is used, the copied cell is the calling cell. If the 1st parameter has a range reference and the desire is to have that cell copied, include "ref" in the list of indicators in the 3rd parameter.</t>
        </r>
      </text>
    </comment>
    <comment ref="D188" authorId="0" shapeId="0" xr:uid="{7B32DD51-61CA-4181-B945-417EF5042B4B}">
      <text>
        <r>
          <rPr>
            <b/>
            <sz val="9"/>
            <color indexed="81"/>
            <rFont val="Tahoma"/>
            <family val="2"/>
          </rPr>
          <t>This example illustrates that copying down and across at the same time is supported. Try entering a new row label below the 1 in the grid to the left, and/or enter a new column label right of the 2. See that the equation in the grid populates accordingly, and if those newly-entered labels are removed the equation in the grid is removed.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7" authorId="0" shapeId="0" xr:uid="{00000000-0006-0000-0400-000001000000}">
      <text>
        <r>
          <rPr>
            <b/>
            <sz val="9"/>
            <color indexed="81"/>
            <rFont val="Tahoma"/>
            <family val="2"/>
          </rPr>
          <t>U.SEND_EMAIL will email the selected content to specified recipients. By default content is sent as HTML, where even any graphs/charts in the selected range are included. If multiple ranges are selected in the 3rd parameter ...separated by commas and all surrounded in parentheses, or by using U.RANGE_REF... then the content of those ranges will be stacked vertically in the body of the email.
If Microsoft Outlook is not installed and configured on the machine, then a valid "From" address must be provided in the optional 4th parameter. U.SEND_EMAIL will attempt to use that from address to discover and use default email credentials, but if it cannot then it will require that credentials had previously been saved using U.SAVE_EMAIL_CONFIG (see below). If multiple accounts are configured in Outlook, the from address can be set to specify the account to be used to send the email (default Outlook account is used if not specified).
Cc and Bcc recipients can optionally be added in the 5th and 6th parameters, respectively.
There is a risk that a constantly recalculating workbook could heavily spam recipients. To partially guard against this, the method specified in a particular Excel range will by default not allow emails to be sent more frequently than once every 60 seconds. This throttle setting can be modified by setting optional 7th parameter to the new throttle in seconds; if set to zero or a negative number, then an email will be sent with every recalculation. By default throttled emails are just dropped; to instead have an email cached and sent once the throttle interval has elapsed provide a 2nd column in the optional 7th parameter and set its value to TRUE. If a 2nd value is provided and set to FALSE, then no email is sent -- this can be used to guard against unintended sends that occur when a workbook is opened as a result of Excel's multi-threaded calculation. Consider leveraging U.EVENT to define path-dependent scenarios that can be used in conjunction with the final "block" parameter to cleanly control the sending of emails in response to specific trigger events.
If the 7th parameter is set only to TRUE and Outlook is used, then the email message window will be displayed to the user and the user must press the send button in that window to send the email.
To send the contents as plain text instead of HTML, set the optional 8th parameter to TRUE. If multiple ranges are selected, a list of range numbers can be provided instead, and only those will be sent as plain text. For example, if 3 ranges are selected as the body and the 8th parameter is set to "1,3" then the 1st and 3rd ranges will be added as plain text instead of as HTML. If a number in the list is negative, then any commas in that page's text will be split to new lines wherever there is a comma (unless the comma is escaped with a backslash). If a page number has a colon and positive integer appended to it, the appended integer will be the max width of the text in pixels; for example "1,3:100" would make the 1st and 3rd ranges plain text with the 3rd having its width limited to 100 pixels. If the colon is followed by an image type, then the range will be included in the body of the email as an image of that type; for example 2:jpg would send the 2nd page as a jpeg image. If only an image type is provided, the first page will be assumed ...so if just "png" is passed then the first page will be embedded as a png image file into the body of the email. If there is a colon after the image type followed by a number (e.g. "jpg:50" or "2:png:200"), the image will be scaled by that factor; the factor can be provided as a percent or decimal, and the supported range is 25 - 400 (0.25 - 4.0 if provided as a decimal). If the 8th parameter is explicitly set to FALSE ...or any value in it is explicitly FALSE... then if Excel fails to generate any required HTML or if any specified attachments fail to be created the email will not be sent (by default the email would be sent with plain text and/or missing attachments in that case). Hyperlinks can be included in plain text pages by having a proper HTML anchor tag in the text (i.e. &lt;a href="..."&gt;text&lt;/a&gt;); to instead literally have the text of an anchor tag in the email, escape the opening angle bracket with a backslash. If "all" is used instead of a page number (e.g. "all:png:50") then the setting is applied to every range.
File attachments can be added by providing the list of files to attach as the optional 9th parameter. File paths can be local or URLs to files on the Internet. Images are by default sent as attachments since Outlook will not show images embedded as a base64-encoded string. To force any images in the selected range to be embedded into the HTML as a base64-encoded string, send the boolean value FALSE as the value of attachment to send in the optional 9th parameter. To have all file attachments sent as a single .zip file, include "zip" as one entry in the list of attachments. If the word "log" is included in the list of attachments, then the current Excel instance's log file will be zipped and attached. To limit the number of log files zipped and emailed, add a ":&lt;num&gt;" after "log" ...for example, to only zip and send the 3 most recent log files for the instance include "log:3" as an attachment.
File attachments can be in the form "make_file(&lt;filename&gt;)". When the make_file() function is used, a file will be created based on the file extension in the filename and that file will be attached to the email. All file types supported in U.WRITE_FILE will work (.csv, .txt, .pdf, .xlsx, .xlsm, .jpeg/jpg, .bmp, .png, .gif, .html/htm and .json). If the filename is a full path, the file will be created and preserved; if it is just a filename, a temp file will be created and then deleted after the email is sent. For filetypes that support multiple ranges (.csv, .txt, .xlsx, .xlsm, .html/htm), page numbers can also be included to specify which of many selected ranges should be included in the attachment. For example, make_file(risk.xlsx,3,4) would include the 3rd and 4th ranges as 2 distinct tabs in the Excel sheet (for Excel file types ranges are put on distinct tabs; in other file types ranges are stacked vertically). When no page numbers are specified, only the 1st page is included. By default, ranges included as attachments are excluded from the body of the email. To also have the attachment in the email body, make the page number negative in make_file(). To provide non-default tab names when making an Excel attachment, append a colon and the tab name to the range number (e.g.: make_file(risk.xlsx,3:Greeks,4:Prices)). If the filename ends in an asterisk (e.g.: myData.txt*) then for text file types it will cause values to be written as displayed instead of as raw Excel values, and for image file types it will cause only the first chart object in the range to be captured as the image. A single email can have many multiple make_file() methods, in their own cells and/or separated by commas, and a given range can be included as various file types.
Windows typically allows only a single instance of Outlook to be open on a machine, and that single instance may not be accessible via different security contexts. So if Outlook has been started with administrator privileges ("Run as administrator"), then an Excel instance opened normally may not be able to send emails via Outlook (and vice-versa).
Outlook will modify the raw email generated by Excel, and this can result in formats not rendering in some email clients such as Gmail. Whenever the recipients include a Gmail account, an alternate method of providing Outlook with Excel's HTML is used ...but this creates the risk that formats may not render as desired in certain other email clients. To prevent the alternate method from being used even when Gmail accounts are among the recipients, specify "No_Alt_HTML" in the 8th parameter (it could be one of several values if other settings need to be specified there). To instead force use of the alternate method even when there is no Gmail recipient, specify "Alt_HTML" in the 8th parameter. When using the alternate method, an Outlook email window may briefly flash on the screen.
If the 1st parameter is set to TRUE, the method returns a report with details of emails sent by the current process.
NOTE: In many corporate environments support for external email addresses may be disabled.</t>
        </r>
      </text>
    </comment>
    <comment ref="B29" authorId="0" shapeId="0" xr:uid="{B3E51B2B-B1AB-4308-9335-3C418379B5FA}">
      <text>
        <r>
          <rPr>
            <b/>
            <sz val="9"/>
            <color indexed="81"/>
            <rFont val="Tahoma"/>
            <family val="2"/>
          </rPr>
          <t>On very rare occasions, sending emails via Outlook could fail silently due to the Outlook API objects being in some bad state. The U Add-In will attempt to reset Outlook whenever it is able to detect an issue, and restarting Excel fully may also help. If failed sends persist through a restart of Excel then calling U.SEND_EMAIL with the first parameter set to "Reset_Outlook()" (=U.SEND_EMAIL("Reset_Outlook()")) will force a reset of the Outlook object used by the Add-In. A more forceful reset can be achieved by using "Reset_Outlook(TRUE)" which will call quit on the Outlook instance before resetting it...so will actually close the Outlook application if open on the machine. If subsequent attempts to send emails via Outlook still fail, then whatever is broken within the Microsoft Office stack is generally corrected by rebooting the machine.</t>
        </r>
      </text>
    </comment>
    <comment ref="C49" authorId="0" shapeId="0" xr:uid="{00000000-0006-0000-0400-000002000000}">
      <text>
        <r>
          <rPr>
            <b/>
            <sz val="9"/>
            <color indexed="81"/>
            <rFont val="Tahoma"/>
            <family val="2"/>
          </rPr>
          <t>In cases where Outlook is not installed and configured on the computer, U.SAVE_EMAIL_CONFIG can be used to save encrypted email credentials for use by U.SEND_EMAIL.
IMPORTANT: passwords should not be left in Excel spreadsheets! U.SAVE_EMAIL_CONFIG only needs to be called once for a given email address (or again if the credentials for that email address change), and those credentials are encrypted and saved to a user-specific file locally and will be available to U.SEND_EMAIL indefinitely on the current machine. This method and sensitive information should be removed once it is used to save credentials for a given email address.
If an email address is provided but the password is left blank, U will attempt to use Microsoft's Exchange Web Services API ("EWS") to send emails using default credentials for that email address. In such cases it may be required to provide the domain (optional 3rd parameter) in order for EWS to resolve the address.
The SMTPsettings (optional 4th, 5th and 6th parameters of smtp host, port and ssl, respectively) are optional for the most common providers as U already knows them (Gmail, Yahoo, Outlook/Live/Hotmail, AOL) and will attempt to guess them for other providers. In uncommon and non-standard cases these may need to be provided for the email address to be used.
To entirely delete and remove the settings for a particular email address, set the 1st parameter to the address and set the 2nd parameter (password) to the boolean value FALSE.
If only a single parameter of the boolean value TRUE is provided, a list of all configured emails will be returned. If only the 1st two parameters are set and both are the boolean value TRUE, then a report with fuller detail of configured emails is returned.</t>
        </r>
      </text>
    </comment>
    <comment ref="C70" authorId="0" shapeId="0" xr:uid="{00000000-0006-0000-0400-000003000000}">
      <text>
        <r>
          <rPr>
            <b/>
            <sz val="9"/>
            <color indexed="81"/>
            <rFont val="Tahoma"/>
            <family val="2"/>
          </rPr>
          <t>U.SEND_TEXT will text the selected content to specified recipients as plain text. If multiple cells are selected, the content of each is sent with a blank line in between them. Recipient phone numbers must include the country code (E.164 format).
U.SEND_TEXT uses a Twilio account managed by Runline by default, and it will only allow up to 10 text messages per day to be sent from a given machine. A custom Twilio account can be used instead by providing the settings in the U.SAVE_TEXT_CONFIG method, and when a custom account is used the number of texts is not capped. If more than a single custom account is configured, provide the "from" number as the optional 3rd parameter to indicate which account should be used to send the text. If the saved config included an Alphanumeric Sender ID or a Short Code, those can optionally be set in the "from" field; if set, the send will be from that ID / short code. If a range of cells is set in the "from" parameter, then a value of "alpha" in any cell will cause the Alphanumeric Sender ID ...if one exists... of the provided from number to be used for the send. If any cell contains "short" then the short code associated with the provided from number ...if one exists... will be used for the send. When the default account is used to send, the sending number will be either a US or a UK number depending on the "To" number (it will change per "To" number even within a single call to U.SEND_TEXT). If a text to some foreign destination fails, the from can be set to "UK Default" to force the UK number to be used, or it can be set to "alpha" to force the send to be sent using the default Alphanumeric Sender ID instead of the default number.
To guard against excessive texting, a 60 second throttle is built in by default just as with U.SEND_EMAIL. The optional 4th "throttle" parameter can be used to change how the throttling works, and it functions exactly the same way as the optional throttle parameter in U.SEND_EMAIL (see above) wit one exception: a 3rd column can be provided, which if set to TRUE will allow an identical text to an identical number to be sent on the same calendar day. By default sending the same message to the same number on the same calendar day is blocked on the presumption that it is an erroneous resend.
To have text messages also sent to one or more email addresses, include those email addresses in the optional 5th "email to" parameter. To use a non-Outlook email that had been configured with U.SAVE_EMAIL_CONFIG, provide the "from" address as the optional 6th parameter. (In some cases texts may be automatically sent to a corporate email account setup specifically to receive texts as email in order to comply with regulatory data capture requirements; such regulatory capture emails would be in addition to any optional email specified in U.SEND_TEXT).
NOTE: In many corporate environments support for sending texts may be disabled. In those cases, you may still be able to send email messages that appear as text on your phone (ask your cell phone provider if they support Email-to-SMS).</t>
        </r>
      </text>
    </comment>
    <comment ref="C96" authorId="0" shapeId="0" xr:uid="{00000000-0006-0000-0400-000004000000}">
      <text>
        <r>
          <rPr>
            <b/>
            <sz val="9"/>
            <color indexed="81"/>
            <rFont val="Tahoma"/>
            <family val="2"/>
          </rPr>
          <t>U.SAVE_TEXT_CONFIG can be used to configure a custom Twilio account. The number associated with the account must be provided as well as the account security identifier (as username) and account auth_token (as password). The number can be provided as a multi-cell range, with any Alphanumeric Sender ID and/or Short Code provided in additional cells.
IMPORTANT: credentials should not be left in Excel spreadsheets! The setting only need to be entered once into any sheet, and they will be encrypted and persisted in a user-specific directory locally for use by U.SEND_TEXT. Messaging limits are not enforced when a default account is used, though throttling is still in effect.
When a single custom account is configured, it will always be used instead of the default UPTICK account. If multiple custom accounts are configured, the "from" number must be specified in U.SEND_TEXT in order to specify the account that should be used to send the text.
To remove the settings for a particular account, set the 1st parameter to the number in question and set the 2nd parameter (username) to the boolean value FALSE.
If only a single parameter of the boolean value TRUE is provided, a list of all configured "from" numbers will be returned.
If the optional 3rd parameter is set to TRUE then a list of installed Windows voices will be returned. One of these voices (or a unique portion of one) can be passed as the 3rd parameter when passing text to be spoken and that voice will be used to speak the text.</t>
        </r>
      </text>
    </comment>
    <comment ref="C115" authorId="0" shapeId="0" xr:uid="{00000000-0006-0000-0400-000005000000}">
      <text>
        <r>
          <rPr>
            <b/>
            <sz val="9"/>
            <color indexed="81"/>
            <rFont val="Tahoma"/>
            <family val="2"/>
          </rPr>
          <t>U.SOUND will speak the specified text, or if a path to a sound file is provided it will play that file. If the path is a Web address, it will download a local copy if not already downloaded and play that. If multiple cells are selected, it will play/speak them in order. If the special text "pause(x)" is provided in a cell, a pause of x (number of seconds) will be inserted before the content of the next cell is played/spoken. If Windows Media Player is installed on the machine, then U.SOUND will support a wide range of audio file types. If not, then only .wav files are supported.
U.SOUND will never play multiple sounds at the same time, and if recomputed many times the specified sounds will be queued and played in order. By default if a sound is queued behind so many other sounds that 60 seconds or more elapses before it plays, it will not be played. This "max delay in seconds" can be configured by setting the optional 2nd parameter. If the 2nd parameter is set to -1, then the method will block as the sound is played synchronously; caution is warranted in that case, since Excel will be unresponsive as the sound is played.
The optional 3rd parameter can be used to specify the voice for spoken text. It can be given the exact Windows voice name or some portion of a valid Windows voice name. It can also take "male" or "m" to use the first male voice available; or "female" or "f" to use the first female voice available. If an integer is provided, it will use that voice number - for example if 2 is provided it will use 2nd voice in the Windows list of voices. If a row of values is provided in the 3rd parameter the 2nd parameter is the speech rate (-10 to 10) and the 3rd is the volume (0 to 100). Available voices can be viewed by passing TRUE to the 3rd parameter and displaying results over a multi-row range. If the 3rd parameter is set to TRUE and any cells passed to the first parameter are valid Web addresses, however, then the TRUE will be used to indicate that any Web sounds should be freshly downloaded before they are played even if a previously downloaded local copy exists. If the 3rd parameter is set to "WMP" it will force use of Windows Media Player even for .wav files.
To cancel all sounds currently queued, pass the boolean value FALSE as the only parameter. This will also cause any file currently being played by Windows Media Player to be stopped.</t>
        </r>
      </text>
    </comment>
    <comment ref="C136" authorId="0" shapeId="0" xr:uid="{00000000-0006-0000-0400-000006000000}">
      <text>
        <r>
          <rPr>
            <b/>
            <sz val="9"/>
            <color indexed="81"/>
            <rFont val="Tahoma"/>
            <family val="2"/>
          </rPr>
          <t>When multiple cells are provided, they are processed row-by-row from the top down and left to right. A special "voice(…)" input can be used to change the voice to be used for spoken text between cells. If this example is un-commented, then it will play a brief conversation between a man and a woman (provided that both a male and female voice are installed on the machine).
The rate and volume can be specified within the voice method by providing a 2nd and 3rd parameter. For example, to set the volume to 90 and leave the rate unchanged have voice(male,,90).</t>
        </r>
      </text>
    </comment>
    <comment ref="C146" authorId="0" shapeId="0" xr:uid="{00000000-0006-0000-0400-000007000000}">
      <text>
        <r>
          <rPr>
            <b/>
            <sz val="9"/>
            <color indexed="81"/>
            <rFont val="Tahoma"/>
            <family val="2"/>
          </rPr>
          <t>If the text is valid version 1.0 SSML that begins with the &lt;speak&gt; element, the text will be spoken as SSML. SSML enables more nuanced customization of how text is spoken. Try uncommenting this example and hear how the numbers are spoken.</t>
        </r>
      </text>
    </comment>
    <comment ref="C158" authorId="0" shapeId="0" xr:uid="{00000000-0006-0000-0400-000008000000}">
      <text>
        <r>
          <rPr>
            <b/>
            <sz val="9"/>
            <color indexed="81"/>
            <rFont val="Tahoma"/>
            <family val="2"/>
          </rPr>
          <t>U.MESSAGE_BOX will display a message in a pop-up dialog box that must be acknowledged by the user in order to continue interacting with Excel.
The optional 2nd parameter can be used to specify the icon to be included in the message box. The following values are supported system icon names: Error, Exclamation, Information, Question, Stop and None. Office images and custom images can also be specified in exactly the same way that they can for menu images in U.MENU.
The optional 3rd parameter can be set to a string. When that is done the message box will contain Yes and No buttons, and any calls to U.GET_CLICKVAL(&lt;name&gt;) containing the same name as the 3rd parameter will be updated based on what the user clicks: TRUE if Yes, and FALSE if No. Like with U.OVERWRITE_CLICKVAL, this will work even if no call to U.SET_CLICKVALS() exists for the name. If the 3rd parameter instead contains references to ranges, those ranges will  be recalculated if the user clicks Yes (multiple ranges are supported by separating with commas and surrounding all with parentheses). If the 3rd parameter is set to a single output of an U.RANGE_REF method call ...or a comma-delimited list of RANGE_REF outputs... the value of the referenced range(s) will be set to the result of the message box. However, if the reference ID(s) are enclosed in "calc()" ...i.e. calc(&lt;reference ID(s)&gt;)... then the ranges will be calculated instead of set to TRUE or FALSE</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00000000-0006-0000-2B00-000001000000}">
      <text>
        <r>
          <rPr>
            <b/>
            <sz val="9"/>
            <color indexed="81"/>
            <rFont val="Tahoma"/>
            <family val="2"/>
          </rPr>
          <t>U.CLEAR clears values from the specified range and by default it returns the values that were cleared.
In this example, U.CLEAR is used to prepend values entered into the yellow cell to the left into the column starting at row B8.
Note that because U.CLEAR will still be referencing the range that is blanked out, it will immediately recalculate and return null values (that show as a #NUM! error in Excel). So the values that were removed from the first calculation are only returned briefly, for a single calculation cycle. For that reason, U.CLEAR will typically be used in logic that has some check on the range being blank (as is done here) before proceeding with further processing.
An optional 2nd parameter can be provided, and when provided that will be returned instead of the values that were removed. But it will by default only be returned if there were values removed from the range in the first parameter. If the range provided was already empty, then a null value will be returned (which shows as a #NUM! error in Excel). To always have the values in the optional 2nd parameter returned whether or not values were removed, pass FALSE as the optional 3rd parameter. To have the values provided in the optional 2nd parameter returned only as a backup ...that is, only if there were no values to clear in the range provided as the first parameter... then set the optional 3rd parameter to TRUE.
Note that multiple ranges can be blanked out in a single call by providing multiple ranges in the 1st parameter, separated by parentheses (or by using U.RANGE_REF). When this is done, the values returned will by default be from the first range that contains any non-blank value. To have values returned from some other range, provide the index number of the range as the optional 3rd parameter. For example, if providing 3 ranges to clear then passing 2 as the 3rd parameter will cause the cleared values from the 2nd range provided to be returned. If a 2nd parameter is also provided in cases where the 3rd parameter contains a valid index number, the values from the 2nd parameter will be returned if there were no values cleared in the indicated range.
By default images are not removed from the referenced range(s). To delete images in the referenced range(s) instead of the range data set the 2nd parameter to "clear_images()" ...or if the 2nd parameter is otherwise needed to specify a return value, add an additional page to the 2nd parameter and set it to a single cell containing "clear_images()". To clear both images and data use "clear_images(true)".</t>
        </r>
      </text>
    </comment>
    <comment ref="E40" authorId="0" shapeId="0" xr:uid="{00000000-0006-0000-2B00-000002000000}">
      <text>
        <r>
          <rPr>
            <b/>
            <sz val="9"/>
            <color indexed="81"/>
            <rFont val="Tahoma"/>
            <family val="2"/>
          </rPr>
          <t>U.REVERT will revert changed values in a range after a single calc cycle. By default, entered values are immediately cleared. Try entering any value in the "To Be Reverted" range to the left, and see that it is immediately removed. The method returns the time of the reversion.
The primary motivation for U.REVERT is to simplify workflows -- where an Excel IF statement is conditioned on the value in a cell, and the desire is for the IF condition to evaluate to TRUE for just a single calculation cycle.</t>
        </r>
      </text>
    </comment>
    <comment ref="E50" authorId="0" shapeId="0" xr:uid="{00000000-0006-0000-2B00-000003000000}">
      <text>
        <r>
          <rPr>
            <b/>
            <sz val="9"/>
            <color indexed="81"/>
            <rFont val="Tahoma"/>
            <family val="2"/>
          </rPr>
          <t>In this example the optional 2nd parameter is set to FALSE, therefore the value of the range will always be reverted to FALSE instead of cleared. Try changing the Show MessageBox value to TRUE -- that will cause the messagebox to be displayed, and then the value will be immediately reverted to FALSE so that the messagebox will not be displayed again even if the sheet is fully recalculated.
The optional 2nd value could be anything. If it contains the special value "countdown()" then any numeric values in the range will be made positive, rounded to the nearest integer, and then decremented by 1 on each calc cycle until they are zero; all non-numeric values in the range will be immediately set to zero. This can all happen so quickly that it is not visible, but the repeated updates on individual calc cycles are occurring so could be used to trigger some action a specific number of times.</t>
        </r>
      </text>
    </comment>
    <comment ref="E61" authorId="0" shapeId="0" xr:uid="{00000000-0006-0000-2B00-000004000000}">
      <text>
        <r>
          <rPr>
            <b/>
            <sz val="9"/>
            <color indexed="81"/>
            <rFont val="Tahoma"/>
            <family val="2"/>
          </rPr>
          <t>As seen in this example, multiple ranges can be specified by separating them with commas and surrounding them with parentheses. U.RANGE_REF could alternatively be used (and would be needed if the ranges were on different tabs).
This example also shows that the optional 2nd parameter can be a range of values instead of a single value. Note that Range 2 to the left is larger than the range of default values. When this is the case, the extra cells in the range will be cleared.</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7" authorId="0" shapeId="0" xr:uid="{00000000-0006-0000-2C00-000001000000}">
      <text>
        <r>
          <rPr>
            <b/>
            <sz val="9"/>
            <color indexed="81"/>
            <rFont val="Tahoma"/>
            <family val="2"/>
          </rPr>
          <t>U.CREATE_SCRIPT defines a sequence of calculations to be performed in order. The list of calculations are passed in a column vector, where each cell contains a method to be calculated. When the script is run, the methods are calculated one-by-one from the top of the range to the bottom.
The range containing the steps of the script can optionally include more than a single column. A 2nd column can be used to include a description of each step, which would then replace a generic default description in script log messages. Descriptions can contain named insertions (e.g.: "Get data for ticker {curr_ticker}") and if so then the value of a matching ClickVal will be inserted (i.e.: the value of a ClickVal named "curr_ticker" would replace "{curr_ticker}" in the description). This can be particularly helpful in making the description unique for each iteration in a loop, where the loop uses OVERWRITE_CLICKVAL to set a ClickVal value. A 3rd column of the 1st parameter can be used to set "ignore error" values on a step-by-step basis: if set to TRUE then all errors are ignored; if set to a comma-delimited list of values, then only those errors whose message contains one of the specified values (not case-sensitive) will be ignored.
In this example, the range to the left includes several methods that do the following when the script is run (in this order):
  -Clears the range E7:E9
  -Writes "Starting Script" into E7
  -Writes "Waiting..." into E8
  -Sleeps for 2 seconds, then uses a loop to countdown to 0 in E8
  -Writes a timestamp to E9
  -Displays a message box to the user with a message that includes the timestamp in E9
As the script is run, a log of activity is written to a range beneath where the steps are defined. This example does not do anything useful and is just for illustration - the method is best used for automating a sequence of tasks that would traditionally require VBA (copy/read/write files, process data then send summary emails, etc).
The individual steps can be any Excel methods, though several workflow-relevant U methods will recognize when they are part of a defined script and, by default, will return a message indicating that their calculation is "blocked" except when the script is running and it is their turn to recalculate. It's generally best to create a script with methods needed only by the script. If for any reason there is a need to allow the methods in the range to always calculate fully even when the script is not being run, set the optional 5th parameter of U.CREATE_SCRIPT to TRUE (though even in this case, they will be blocked when another script in the same workbook is running ...or if the script in which they reside is running and it is not their turn to calculate).
There are a handful of special step values the script will recognize.
  -as seen to the left, a "sleep(&lt;seconds&gt;)" command can be inserted in any row. This will cause the script to pause the specified number of seconds
  -also as seen to the left, "while(&lt;TRUE/FALSE&gt;)" and "loop()" can be used to indicate steps to be repeated. All steps below the while() step and before the following loop() step will be repeated until the value inside of while is not TRUE. Each while() step must have a paired loop() step and vice-versa. To conditionally execute steps at most one time, use "if(&lt;TRUE/FALSE&gt;)" paired with an "endif()" instead. To force a recalculation of the cell containing the TRUE/FALSE condition, set an optional 2nd parameter of while to TRUE (i.e.: "while(&lt;TRUE/FALSE&gt;,TRUE)")
  -a special "await(&lt;TRUE/FALSE&gt;)" value can be inserted. When it is, the script will pause until the value inside of "await(...)" is TRUE. By default the max wait is 60 seconds, but that can be customized by setting an optional second parameter; for example, to make the max wait 10 minutes have "await(&lt;TRUE/FALSE&gt;, 600) ...which sets 600 seconds as the 2nd parameter in await(). The await(...) can also take an optional 3rd parameter to indicate how frequently in seconds the value should be checked; for example, "await(&lt;TRUE/FALSE&gt;,,0.5)" would cause the await to check the TRUE/FALSE status every half second. When this 3rd parameter is set, the method will also force the recalculation of the first parameter, which could cause Excel to blink. To set a check interval without forcing a recalc, use a negative number for the check interval. The default check interval is -0.25 (that is, it checks the status every quarter second but does not force a recalc of the cell). To force recalcs on checks without setting a check interval, the 3rd parameter can optionally be set to TRUE (same as setting it to 0.25). Note that setting an explicit check interval should really only be necessary when a forced recalc is needed, which is only when a cell would not otherwise recalculate on its own because it has no parameters that are themselves changing or recalculating. This is relatively rare, since presumably it is referencing some value that can update in order for the condition to flip from FALSE to TRUE.
  -a special "run_script(&lt;script name&gt;)" value ...or alternatively just "run(&lt;script name&gt;)"... can be used to run a subscript at a specified location provided the specified subscript exists (this is the only way to include subscripts; the U.RUN_SCRIPT() method is not supported as a script step).
  -a special "finally()" value can be used to indicate a portion of the script that must always be run even if the script ends due to an error or a forcible cancel. A script can have only a single finally() step, and it must not be in a loop. Execution jumps to the finally line in the event the script is terminated for any reason. If canceled again after jumping to a finally step, the script will end.
  -if a range reference as returned by U.RANGE_REF is in a step, then the range to which it refers will be calculated during the script; in that case the calculation of the referenced range is not blocked unless it also happens to reside within the range of steps. If "while(&lt;range_ref&gt;)" or "await(&lt;range_ref&gt;)" contain a valid range ref instead of a TRUE/FALSE value, then the script will await the value of that specified range to be TRUE
The optional 3rd parameter of U.CREATE_SCRIPT can be used to define a range to which status updates will be written as the script is run ...as is done in this example.
The optional 4th parameter can be used to specify that errors should be ignored by default (that global setting can be overridden by a step-specific setting in an optional 3rd column of the steps range ...and/or overridden by a setting passed in when the script is run).
Because the script refers to specific methods in a specific workbook, it is not meaningful to export them. When the U.CREATE_SCRIPT method exists in a workbook, it will automatically recalculate when the workbook is opened so that the script is defined in the instance of Excel.
A script range can consist of different ranges of cells, in which case the ranges should be comma-delimited and all surrounded by parentheses in the first parameter. When multiple ranges are used, they are just concatenated vertically in the order provided to form the complete script.
A given cell in the script range should not contain more than one U.PASTE method call (it would be very unusual to ever have more than 1 U.PASTE call within a single cell, anyway).
When a script step contains anything other than a sleep(), await() or while() function the script will by default wait up to 60 seconds for Excel to calculate the step. That max wait time can be changed by specifying a max number of seconds to wait in the optional 3rd column of the script steps using the special "MaxSeconds" indicator. For example, this would allow the script to run for up to 3 minutes before timing out: "MaxSeconds:180". Step-specific ignore error settings can still be provided by including the MaxSeconds within a comma-delimited list of values. For example: "true,MaxSeconds:180" would set the max wait to 180 seconds and also ignore all errors in the step (for "true" or "false" to be treated as a global error override in this way it must be the only other value in the list; otherwise, other values will be treated as conditional error ignore values). When setting MaxSeconds, the value must be greater than zero and a hard max of 3600 (1 hour) is enforced. If a longer wait time is required, then the long-calculating method should be placed outside of the script range and its calculation should be awaited using an await() function step in the script.
As seen in the name of this sheet, U.CREATE_SCRIPT automatically adds #init() to the name of sheets that contain script ranges. This allows the add-in to recognize that the sheet has scripts when the workbook is first opened (before U.CREATE_SCRIPT first calculates) so that methods in the script range can be blocked from calculating unintentionally before the script is registered. This is not added if the 5th parameter of U.CREATE_SCRIPT is set to TRUE.
The initialization logic can be used even when scripts don't exist by adding #init(n) to any sheet name, where 'n' is the number of calc cycles before certain U methods on the sheet are allowed to calc. For example, #init(5) will block certain methods on the sheet from calculating for 5 calculation cycles after the workbook is opened. To change the number of calc cycles and also require that U.CREATE_SCRIPT has been called before allowing calcs to go through add another 's' parameter: #init(5, s) (the order of the parameters does not matter). If the name of the workbook contains #init() then blocking is applied to every sheet in the workbook, though any #init() specified on a sheet would override the workbook-level setting for that sheet.</t>
        </r>
      </text>
    </comment>
    <comment ref="G11" authorId="0" shapeId="0" xr:uid="{00000000-0006-0000-2C00-000002000000}">
      <text>
        <r>
          <rPr>
            <b/>
            <sz val="9"/>
            <color indexed="81"/>
            <rFont val="Tahoma"/>
            <family val="2"/>
          </rPr>
          <t>U.RUN_SCRIPT is the method used to run a script created with U.CREATE_SCRIPT. If called with the name of a known script, it will immediately begin to run that script. To have a message box appear asking the user to confirm before running a script, set the optional 2nd parameter to TRUE.
If you uncomment this method, it will present a dialog box asking whether or not the script should be run. If Yes is clicked, the script will execute as described in the comment to the right.
To have the status of the script written to a range different from the one specified when the script was created (or if no log range was specified when the script was created), set the optional 3rd parameter to the range that will show the log status.
By default, Excel alert boxes are suppressed while a script is run. To have them displayed, set the optional 4th parameter of U.RUN_SCRIPT to TRUE.
Excel's multi-threaded calculation model can make it difficult to predict the sequence of calculations, especially since at times it will perform predictive calculations as an optimization. If extreme care is not taken, this can lead to unexpected and undesired calculation artifacts when attempting to use Excel for sequential scripting. Nearly all of these risks can be eliminated by disabling Excel's automatic recalculation and instead recalculating only at specific times. This is exactly what U.RUN will do by default -- it sets the calc mode to manual for the duration of the script, and then back to its original state (if it wasn't already in manual mode) once the script completes. If for any reason there is a need to leave the workbook in automatic recalc mode as the script runs, set the optional 5th parameter to TRUE.
The optional 6th parameter to U.RUN can be used to override any "ignore error" settings specified when the script was created. If set to TRUE or FALSE, that setting will be applied to every step in the script.
Only a single script is allowed to be running at any given time in an instance of Excel. If a script is already running when U.RUN_SCRIPT is called, it will return a message indicating that. By default, scripts that are blocked will be queued and run after the current script has completed; to prevent the queueing, make the "block" parameter 2 columns wide and set the 2nd value to TRUE (set the 1st column value to FALSE explicitly if not self-blocking). A currently running script can be terminated by calling U.RUN_SCRIPT with the first parameter set to the boolean value FALSE.
If the 1st parameter of U.RUN_SCRIPT is called with a single parameter of FALSE, then any script currently running in the Excel instance will be killed. U.RUN_SCRIPT can be used within scripts to have a script conditionally terminate itself by setting the 1st parameter to the name of the script and the 2nd parameter to FALSE.</t>
        </r>
      </text>
    </comment>
    <comment ref="G53" authorId="0" shapeId="0" xr:uid="{00000000-0006-0000-2C00-000003000000}">
      <text>
        <r>
          <rPr>
            <b/>
            <sz val="9"/>
            <color indexed="81"/>
            <rFont val="Tahoma"/>
            <family val="2"/>
          </rPr>
          <t>U.CURRENT_SCRIPT will return the name of the currently running script or blank of no script is running, and will update automatically as scripts are started and completed. If the script above is run by un-commenting the U.RUN_SCRIPT method, this field will update with the script name once the script starts and automatically revert to a blank once it completes.
There may be times when a certain line in a script should not be calculated unless the script is running, but native Excel methods and most U methods are not inherently "script aware." As shown to the left, this method can be used for conditional logic within a script to only run a certain line if the script is running.
Note that this probably isn't needed for most U methods where users would want it, since U methods that have lasting side effects (like U.PUBLISH, U.PASTE, U.SEND_EMAIL, etc) will recognize they are in a script range and not run unless it is their turn to run in the script.</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00000000-0006-0000-2D00-000001000000}">
      <text>
        <r>
          <rPr>
            <b/>
            <sz val="9"/>
            <color indexed="81"/>
            <rFont val="Tahoma"/>
            <family val="2"/>
          </rPr>
          <t>U.START_PROCESS can be used to initiate any arbitrary Windows process. It is functionally equivalent to double-clicking on a file or executable. The value returned will contain the Process ID of the new process or an indication of a failure. Note that for launching new Excel processes, it is strongly recommended that U.LAUNCH_EXCEL be used instead of this method.
The first parameter is the name of the file or executable to launch in the new process. If only a filename is provided, the method will search for the file in the directory (and sub-directories) of the current workbook. If it is an FTP or HTTP address, a local copy of the specified file will be downloaded and that will be launched.
An optional 2nd parameter can be used to specify any arguments that should be passed to the process. These must be passed as a single string and conform to the same requirements as when entering via the command line; for example, a path that contains a space would need to be fully enclosed in double quotes so it is properly interpreted as a single path (instead of multiple arguments separated by the space).
By default the method returns immediately after attempting to launch the specified the process. Sometimes the user may be starting a batch process as part of a script and would prefer that the method not return until the process has exited. That can be accomplished by setting the 3rd parameter to TRUE, which will cause the method to block for up to 75 seconds before timing out and returning. If a positive integer value is provided instead of TRUE, the method will block for up to that many seconds ...though a max of 75 seconds is still enforced. If the process has not completed within the timeout, the user may prefer to have the process automatically killed -- that can be done by providing a 2nd value in the 3rd parameter (as a row vector) and setting its value to TRUE.
In some cases the user may wish to specify certain aspects of the launched process, such as the size and location of its main window. That can be done via the optional 4th parameter, whose format is a string in the format "config(&lt;key1&gt;=&lt;val1&gt;,&lt;key2&gt;=&lt;val2&gt;)". For example, to have a given app launched as a small square at the top-left of the screen the config param would be as follows: config(fromTop=0,fromLeft=0,width=500,height=500).
Currently supported config params are as follows:
-fromTop: the number of pixels from the top of the primary screen
-fromLeft: the number of pixels from the left of the primary screen
-width: the width in pixels of the window
-height: the height in pixels of the window
-minimized (or min): minimize main window (TRUE or FALSE)
-maximized (or max): maximize main window (TRUE or FALSE)
-normal: show main window in normal mode (not minimized or maximized) (TRUE or FALSE)
-bringToFront (or front): brings the main window to the front  (TRUE or FALSE)
-hidden: make main window invisible (not supported by many apps) (TRUE or FALSE)
-configwait: the number of seconds after starting process before applying config (some apps open with a splash window before the main window, so it may be necessary to pause before applying settings for them to impact the desired window; a small default wait is always applied)
-newProcess: setting to TRUE prevents config from being applied to an existing process if 1st param looks like the name or Process ID of an existing process.
By default processes are run under the current user's Windows account. If the optional 5th parameter is set to the name of a resource previously saved using U.SAVE_CREDENTIALS, the username and password in that resource will be used to run the process. The Windows domain is assumed to be the same as the current user's domain unless the username in the resource is in either the form DOMAIN\USERNAME or USERNAME@DOMAIN.
If the first parameter contains only a number that corresponds with an ID of a currently running process ...or if it contains just a name that corresponds with the name of a currently running process... any specified config settings will be applied to that process.
U can make no guarantees that config settings will always be applied as desired, as there is much nuance from app to app ...and also many apps have multiple windows in a single process. In many cases, such as with default browsers, Windows may refuse to open a new process and always open a Web page as a new tab in an existing process. For this reason the Process ID returned from the method may at times be unreliable (it will return the ID of the process it believes it started, but the specified doc may actually be opened by Windows in another process).</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00000000-0006-0000-2E00-000001000000}">
      <text>
        <r>
          <rPr>
            <b/>
            <sz val="9"/>
            <color indexed="81"/>
            <rFont val="Tahoma"/>
            <family val="2"/>
          </rPr>
          <t>U.SYNC_CELLS keeps multiple specified ranges synchronized, such that when a user changes a value in any one range that change is reflected in the others. Try changing values in any of the 3 ranges to the left, and see that all ranges are kept in sync. The time returned indicates the last calculation time.
The method takes up to 4 ranges as explicit parameters, but an unlimited number of ranges can be synched by overloading one or more of the explicit params (by including multiple ranges in a parameter, separated by commas and surrounded by parentheses ...or by using U.RANGE_REF). Specified ranges cannot overlap, and all must have exactly the same number of rows and columns. Values are always pasted into the specified ranges, and therefore the ranges should not contain formulas.
If used on an Excel table, U.SYNC_CELLS will convert the table to an ordinary range by default. Set the 3rd parameter to TRUE in the formula (hard-coded in formula, not referencing a cell with TRUE) to if any range being synced is an Excel Table. Note that the same functionality can be created in a way that is safe for Excel tables by using multiple U.PASTE methods: one for each source =&gt; target range combination.
The primary use case for U.SYNC_CELLS is to create a user-friendly area to update the values of cells in a range published as an interactive Web app to UWeb. U.SYNC_CELLS also makes it easy to have a configuration setting that is editable from multiple sheets.</t>
        </r>
      </text>
    </comment>
    <comment ref="E26" authorId="0" shapeId="0" xr:uid="{00000000-0006-0000-2E00-000002000000}">
      <text>
        <r>
          <rPr>
            <b/>
            <sz val="9"/>
            <color indexed="81"/>
            <rFont val="Tahoma"/>
            <family val="2"/>
          </rPr>
          <t>By default, U.SYNC_CELLS will recognize and handle Web Control indicator strings. In this example, if you update the value "blah" to the left, it will be updated inside of the synced cell beneath it. Similarly, if you modify the portion of the indicator string in the lower cell where it says "blah" the new value will be synced to the upper cell.
This default functionality is to facilitate syncing cells when publishing interactive Web reports in a particular way. To disable this automated recognition of Web controls, set the 4th parameter to TRUE.</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4EA6B048-7EB6-43A1-B6D9-2D6363F17F2F}">
      <text>
        <r>
          <rPr>
            <b/>
            <sz val="9"/>
            <color indexed="81"/>
            <rFont val="Tahoma"/>
            <family val="2"/>
          </rPr>
          <t>U.SELECTION_PATH registers a sequence of ranges that will be selected in order when the Enter or Tab key is pressed on any one of them. In this example, four ranges are included in the sequence (three are just individual cells). Try selecting First Range and then hitting the Enter or Tab key and see how the selection jumps to the next range in the path. The 3rd range in the path is a multi-cell range, and the selection will naturally touch each cell in that range before jumping to the 4th range in the path. If the SHIFT key is held while Enter or Tab are pressed, the selection will progress backward through the path.
U.SELECTION_PATH takes up to 20 individual ranges, though an unlimited number of ranges can be provided by providing multiple ranges in any single parameter (either by using U.RANGE_REF or by separating the ranges with commas and surrounding them with parentheses).</t>
        </r>
      </text>
    </comment>
    <comment ref="E21" authorId="0" shapeId="0" xr:uid="{AE5157E2-F797-4EA7-9FF5-A8DAF941D836}">
      <text>
        <r>
          <rPr>
            <b/>
            <sz val="9"/>
            <color indexed="81"/>
            <rFont val="Tahoma"/>
            <family val="2"/>
          </rPr>
          <t>Any parameter to U.SELECTION_PATH can be used to provide a path configuration setting. Supported settings are as follows:
  -enter_only: if provided, only the Enter key will cause progression through the path
  -tab_only: if provided, only the Tab key will cause progression through the path; an error message is returned if both enter_only and tab_only are specified
  -scroll_row([offset]): if provided, the windows will scroll to the new selection row, optionally with the scrolling offset by a specified number of rows
  -scroll_column([offset]): if provided, the windows will scroll to the new selection column, optionally with the scrolling offset by a specified number of columns (scroll_col([offset]) also supported)
In cases where the path is long and different settings are desired for different parts of the path, simply create adjoining paths and give each the required config. In this example, the first part of the path can be progressed only with the Enter key and the last part of the path with the Tab key.
If a range in a path is a group of cells that have been merged, that merged range can be included in the path without issue. However, if a path step is a multi-cell range where only a portion of the cells in the bottom-right are merged, then pressing Enter or Tab may not result in a jump to the next range in the path. This can generally be addressed either by selecting a portion of the multi-cell range that picks up only the top-left corner of the merged section, or by creating overlapping paths where a mini-path refers to only the top-left corner of the merged section.</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4" authorId="0" shapeId="0" xr:uid="{00000000-0006-0000-2F00-000001000000}">
      <text>
        <r>
          <rPr>
            <b/>
            <sz val="9"/>
            <color indexed="81"/>
            <rFont val="Tahoma"/>
            <family val="2"/>
          </rPr>
          <t>Returns a new Universally Unique Identifier (UUID) when first called, then continues to return the same value with each subsequent recalc.
A new UUID is generated if the formula is re-entered into the cell instead of just recalculated.</t>
        </r>
      </text>
    </comment>
    <comment ref="C10" authorId="0" shapeId="0" xr:uid="{00000000-0006-0000-2F00-000002000000}">
      <text>
        <r>
          <rPr>
            <b/>
            <sz val="9"/>
            <color indexed="81"/>
            <rFont val="Tahoma"/>
            <family val="2"/>
          </rPr>
          <t>When used in an array formula, a UUID will be returned for each cell. No UUIDs will change during subsequent recalcs.</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5" authorId="0" shapeId="0" xr:uid="{00000000-0006-0000-3000-000001000000}">
      <text>
        <r>
          <rPr>
            <b/>
            <sz val="9"/>
            <color indexed="81"/>
            <rFont val="Tahoma"/>
            <family val="2"/>
          </rPr>
          <t>U.MONITOR_WORKBOOK will automatically open, restart and close workbooks according to specified schedules. At times when the workbook is scheduled to be open, it will monitor the workbook to ensure it remains not only open but also responsive. If the Excel instance hosting the workbook becomes frozen, it will be automatically stopped and restarted.
The U.MONITOR_WORKBOOK method is used to define the schedules for workbooks that should be monitored (or to remove schedules for workbooks that no longer need to be monitored). Once a schedule is created, Excel does not have to remain open for the monitoring to be in effect -- the method starts a separate utility called Runline.WorkbookMonitor that performs the monitoring. A shortcut to Runline.WorkbookMonitor is also placed in the user's Startup folder so that it is automatically started when the user logs in (an easy way to open the startup folder is typing =U.OPEN_DIRECTORY("startup") in any cell). Note that if the machine is restarted, the WorkbookMonitor utility will not run until the user has logged in. To have it run after a restart, users must either (a) configure Windows to automatically login after a restart; or (b) create a Windows Scheduled Task that runs at startup and starts C:\Runline\U\Current\Runline.WorkbookMonitor.exe using the Runline user's Windows credentials. Information can be found online about how to do either of these for a specific version of Windows.
The first parameter U.MONITOR_WORKBOOK is the name of the workbook to be monitored. If only a filename is provided, then it will be assumed to reside in the same directory as the current workbook or a subdirectory of the current workbook's directory ...unless the optional 2nd "top directory" parameter is specified. When the 2nd parameter is set to a directory and the 1st parameter contains only a filename, the monitoring will search for the workbook in the specified directory and its subdirectories. If the first parameter is set to TRUE and no monitoring schedule exists yet for the current workbook, then a monitoring schedule will be created for the current workbook. If the current workbook already has a monitoring schedule and the first parameter is set to "PAUSE" (or FALSE) or "RESUME" (or TRUE) then the schedule for the current workbook will be paused or resumed, respectively. When the schedule for the current workbook is paused this way, a default "auto-resume" is set for 4 hours into the future -- a different autoresume time can be set by providing a number of hours in the 2nd parameter. If a valid keyboard shortcut is provided in the optional 13th parameter, then the workbook will not be started automatically by a default schedule since it is assumed the user wishes to use the keyboard shortcut to launch the workbook.
Both the 1st and 2nd parameters support special inputs. If no workbook name is provided in the 1st parameter, then a report showing the details of all defined schedules is returned. If the 1st parameter contains the word "CLEAR" then all existing schedules are deleted. If the 2nd parameter contains the word "CLEAR" then any existing schedule for the workbook specified in the 1st parameter is deleted. If the 2nd parameter contains "PAUSE" (or FALSE) then any existing schedule for the workbook specified in the 1st parameter will be paused but not deleted (the workbook is not monitored while the schedule is paused). A paused schedule can be un-paused by passing "RESUME" (or TRUE) as the 2nd parameter. If the 2nd parameter contains a positive integer, the schedule will be paused for that many hours and then automatically resumed; for example, passing 8 will pause the schedule for just the next 8 hours. This can be a good way to temporarily prevent the workbook from being restarted without the risk that the schedule will unintentionally be left in a paused state indefinitely.
By default the monitoring will wait up to 2 minutes for Excel to indicate it is responsive. Once 2 minutes as elapsed without a response, it will take steps to try and force a response from Excel. If those measures do not produce a response within 30 seconds, then the workbook is forcibly closed and restarted. The amount of time monitoring waits before it tries to force a response from Excel can be configured in the optional 3rd parameter. Fractional minutes are supported, and a max of 180 and min of 0.5 is enforced. If notification recipients are provided, the default wait time is 15 minutes instead of 2 minutes. A special value of -1 can be provided to indicate that the monitoring should never forcibly restart a frozen workbook, but for this to be accepted notification recipients must be provided; with that setup, users would be notified of the issue but the monitoring would never forcibly restart the workbook.
To have workbooks opened in readonly mode, set the optional 4th parameter to TRUE.
By default the monitoring ensures a workbook is open at all times when a user is logged in. A workbook open time can optionally be specified in the 5th parameter. When an open time is specified, the workbook will be opened only at that time. If a close time is specified in the optional 6th parameter, then the workbook will be monitored (so automatically restarted) between the specified open and close times. If an open time is specified but a close time is not, then the workbook is opened at the specified time but then not monitored ...so if the user closes the workbook or it crashes, it will not be re-opened automatically until the open time on the following day. If a close time is specified but an open time is not, then the workbook will be bounced (closed and immediately re-opened) at that time.
Only a single schedule is supported per workbook name (name excluding the directory). If the workbook must be opened/closed at various different times in a single day, then the workbook could simply have logic to modify its own schedule (i.e. call U.MONITOR_WORKBOOK) to specify its next open time. Alternatively, a "master workbook" with desired logic for opening workbooks (using U.LAUNCH_EXCEL) and closing them (using U.CONTROL_EXCEL) could be created, and that workbook could itself be monitored to ensure it remains open and responsive so that it can open/close other workbooks as needed.
By default workbooks are not saved before they are closed based on a scheduled close time. To have workbooks automatically saved before they are closed, set the optional 7th parameter to TRUE.
If the workbook is frozen, then U likely will not be able to save it before closing it even if the 7th parameter is set to TRUE. Users can be notified of a frozen workbook by providing a list of email addresses and/or phone numbers (if texting is enabled) in the optional 8th parameter. When notification recipients are provided, a message indicating the potentially frozen workbook is sent shortly after detection of the issue and the default wait time before a restart is 15 minutes instead of 2 minutes to give the user a chance to intervene manually before a forced restart.
By default the schedule is applied every day. The days of the week on which it is applied can be restricted by providing day-of-week numbers to the optional 9th parameter, where Monday = 1 and Sunday = 7. For example, to only have the schedule applied on weekdays the 9th param would be set to "1,2,3,4,5". Calendar dates on which the schedule should not be observed can also optionally be provided in the 10th parameter. Days can alternatively be provided as day names or just the first letter of day name (if first letter only use "r" or "th" for Thursday and "u" or "su" for Sunday to avoid ambiguity).
The monitoring assumes that workbooks are intended to be opened in workbooks that are in automatic calc mode, and that if the workbook is in manual calc mode that is by mistake ...so monitored workbooks are automatically placed into automatic calc mode if manual calc mode is detected. If a workbook is deliberately open in manual calc mode and should be left that way, set the optional 11th parameter to TRUE. Note that this will not place workbooks into manual calc mode, it will simply prevent the monitoring from forcing automatic calc mode.
The monitoring by default will ensure that the specified workbook is open on the local machine. In some cases a user may only care that a workbook on a share drive is open on some/any machine but it does not have to be the local machine. If the optional 12th parameter is set to TRUE, then the workbook will be treated as open if any Excel instance has the workbook open even if it is on a different machine. (Note that the monitoring is not able to confirm the responsiveness of Excel instances running on other machines.)
The optional 13th parameter can be used to specify a keyboard shortcut or key sequence for launching the specified workbook. Excel does not have to be open for the shortcut to work; also the shortcut will still function even if the schedule has been paused. If a keyboard shortcut is specified and no other schedule parameters are provided, then the default schedule will not launch the workbook automatically since it is assumed the user wishes to launch it on demand using the shortcut. If multiple workbooks have the same shortcut defined, any/all that are not already open will be launched when that keyboard shortcut is entered. If any workbooks associated with the keyboard shortcut are already open, an attempt will be made to bring them forward if they are hidden behind other applications. See the documentation for U.KEYBOARD_SHORTCUT for information about the supported syntax for keyboard shortcuts and sequences. Keyboard shortcuts in schedules never block/replace other actions that may be associated with the shortcut in Windows or other applications.
The optional 14th parameter can be used to specify a voice shortcut for launching the specified workbook. Excel does not have to be open for the shortcut to work; also the shortcut will still function even if the schedule has been paused. If a voice shortcut is specified and no other schedule parameters are provided, then the default schedule will not launch the workbook automatically since it is assumed the user wishes to launch it on demand using the shortcut. If multiple workbooks have the same voice shortcut defined, any/all that are not already open will be launched when that voice shortcut is spoken. If any workbooks associated with the voice shortcut are already open, an attempt will be made to bring them forward if they are hidden behind other applications. The system default speech recognizer and timeout settings are always used. As with U.LISTEN, a suffix that indicates the minimum confidence level could be added to the voice shortcut to config; for example if the phrase is "open risk workbook [90%]" then the voice command will only work if Windows is at least 90% sure that it heard the phrase "open risk workbook." Decoy phrases that do not result in an action can also be added to reduce the chances of a false positive. For example "open risk workbook [90%, open disk workbook, open risk work nook]" adds the decoy phrases "open disk workbook" and "open risk work nook" and their presence reduces the odds that Windows interprets noise as "open risk workbook" (since it may match with a decoy instead). Any number of decoys can be added, separated by commas. If the 1st value in the brackets does not look like a confidence level then it will be treated as a decoy phrase. The Windows speech recognizer may contribute to accelerated battery drain if used on a laptop that is not plugged in.
Sometimes Excel's calc dependency tree becomes corrupted such that a workbook freezes or crashes when it is opened. The workaround is to open the workbook in manual calculation mode, do a full recalc that rebuilds Excel's calc dependency tree (Control-Alt-Shift-F9) and then revert to automatic recalc mode. If the optional 15th parameter is set to TRUE, these steps are performed automatically when the workbook is opened. In workbooks where freezing/crashing upon open sometimes occurs, setting this parameter to TRUE may be necessary to ensure the workbook can be successfully opened.
When a workbook is scheduled to be open and Windows is in sleep mode, an attempt will be made to wake Windows from sleep mode prior to launching the workbook. This is not guaranteed to work as it depends on the Windows version and configuration. By setting the optional 16th parameter to TRUE, Windows will be prevented from entering sleep mode in the first place. If setting the 16th parameter to TRUE does not prevent sleep mode and it is critical that workbooks be up when scheduled, then Windows should be configured to ensure it will not go into sleep or hibernation modes. Of course the computer must also be powered on for monitoring to work.</t>
        </r>
      </text>
    </comment>
    <comment ref="B10" authorId="0" shapeId="0" xr:uid="{A6AB3CBC-7396-4D65-A68C-378B042C9C7B}">
      <text>
        <r>
          <rPr>
            <b/>
            <sz val="9"/>
            <color indexed="81"/>
            <rFont val="Tahoma"/>
            <family val="2"/>
          </rPr>
          <t>The WorkbookMonitor application that enabled the U.MONITOR_WORKBOOK method can be used to launch Excel cleanly in programmatic workflows by writing a file with launch parameters to a designated directory. The directory to which files should be written is C:\Runline\Launch\ by default but is configurable in the add-ins config files.
The name and extension of the file containing the launch settings do not matter, only the contents of the file. The contents should be only a JSON object of this type:
{
    string wbPath,
    string excelExePath,
    string wbPassword,
    bool readOnly,
    bool rebuildCalcTree
}
These values should be set as follows:
wbPath: the full path to the workbook to be launched
excelExePath: the full path to Excel.exe; will attempt to locate if not provided
wbPassword: the workbook password, if any
readOnly: set to true to launch workbook in read-only mode; default is false
rebuildCalcTree: set to true to have a full rebuild recalc performed after launching; default is false
When a file with these contents is created, it will be detected automatically by WorkbookMonitor and the file will be read, processed and deleted immediately. If the workbook is already open on the machine, no action will be performed.
Workbooks launched in this way will not be closed automatically, so the workbooks themselves should leverage U.CONTROL_EXCEL and other U add-in methods to close themselves cleanly as needed once they have completed their work.</t>
        </r>
      </text>
    </comment>
    <comment ref="C86" authorId="0" shapeId="0" xr:uid="{335876F8-3ABB-43CC-B6AE-E8F1CF2E356F}">
      <text>
        <r>
          <rPr>
            <b/>
            <sz val="9"/>
            <color indexed="81"/>
            <rFont val="Tahoma"/>
            <family val="2"/>
          </rPr>
          <t>If U.KEEP_AWAKE is present in any open workbook, Windows is prevented from entering sleep mode.
If the optional "screen required" parameter is set to TRUE, then the screen will also be prevented from darkening or displaying a screensaver. This can result in needless energy consumption so should only be done in cases where nobody is interacting with the computer but the screen must still display the Windows desktop.</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D5" authorId="0" shapeId="0" xr:uid="{00000000-0006-0000-3100-000001000000}">
      <text>
        <r>
          <rPr>
            <b/>
            <sz val="9"/>
            <color indexed="81"/>
            <rFont val="Tahoma"/>
            <family val="2"/>
          </rPr>
          <t>Schedules are passed as a range of 3-column-wide rows. One of the columns must indicate the interval -- either Minutes, Hours or Days -- and the others must indicate the frequency of the backups and the duration of the backup's persistence (time before it is deleted). In the default schedule shown here, workbooks are backed up every 30 minutes and each of the more recent 4 30-minute backups is persisted (the 30 and 120 on the 1st line). The last 10 hourly backups are persisted per the 2nd line in the schedule, which means that only the on-the-half-hour backups are deleted after 2 hours ...since the 2nd line will keep the on-the-hour ones around longer. No hourly backups are persisted more than 10 hours except for the last one saved on a given day, which is persisted for 30 days as specified in the 3rd line of the schedule. If the user submits a schedule that does contain a frequency of 1 Day (or it's equivalent in Minutes or Hours), then a line to retain backups for 30 days will automatically be added. This is to avoid accidental deletion of recent daily backups while modifying a schedule. A day-stamped backup is created in addition to a time-stamped backup whenever a backup is done; a day-stamped backup is also saved before the workbook is closed when backups are enabled.
The individual rows in a schedule are not dependent on one another. They are each processed independently, but when two lines would indicate that a backup occur, the backup is only done once (for example the first 2 lines in the default schedule above indicate a capture on the hour each hour, but the actual save is only done once).
On each line, the duration cannot be set to less than the frequency. When passing a schedule as a parameter, only the lines containing the settings should be passed and not the column labels -- the leftmost number in the row will be used as the frequency, and the rightmost as the duration.
Backup times are based on minutes passed since the start of the day, not from the time the workbook is opened. So the default backups will occur at midnight, 12:30 AM, 1:00 AM, ..., etc. Frequencies greater than a single day will use only the partial day portion and perform backups based on the partial day minutes from the start of the current day. When a frequency is multiple whole days, the days will be counted from the first of the current year to determine which dated backups are persisted through the specified duration.
Backups can also be created on demand with U.CONTROL_EXCEL by setting the "Backup" control to TRUE.</t>
        </r>
      </text>
    </comment>
    <comment ref="G5" authorId="0" shapeId="0" xr:uid="{00000000-0006-0000-3100-000002000000}">
      <text>
        <r>
          <rPr>
            <b/>
            <sz val="9"/>
            <color indexed="81"/>
            <rFont val="Tahoma"/>
            <family val="2"/>
          </rPr>
          <t>U.BACKUP_WORKBOOK, if present in a workbook, will prompt the U_AddIn to create a time-stamped version of the workbook on regularly scheduled intervals. If no schedule is provided in the optional 1st parameter, then the default schedule is used. The default schedule is shown to the left, though if U.BACKUP_ALL_WORKBOOKS() is called with a schedule then that schedule will be the default. Removing the U.BACKUP_WORKBOOK() method from a workbook will disable backups but will not remove backups previously saved (if backing up all workbooks is enabled with U.BACKUP_ALL_WORKBOOKS, then removing U.BACKUP_WORKBOOK from a given workbook will cause the workbook to revert to being backed-up using the default schedule).
Backups will be saved with all current changes in the workbook at the time of the backup. But the open version of the workbook, itself, is not saved. To have the workbook itself saved whenever a scheduled backup is performed, set the optional 2nd parameter to TRUE. To disable Excel's AutoRecover on the workbook, pass a 2-column wide array as the 2nd parameter and set the 2nd cell in that array to TRUE (i.e.: {TRUE, TRUE} would both cause the current workbook to be saved when backups occur and would also disable Excel's native AutoRecover on the current workbook).
Backups are automatically deleted once the longest duration in the schedule is exceeded, but they may be deleted sooner if the total size of a given workbook's backup directory exceeds a total size threshold. By default this threshold is 250 Megabytes, but it can be set explicitly via the optional 3rd parameter.
By default workbook backups are saved in workbook-specific subdirectories of C:\Runline\Backups unless a different top directory is specified in the U config file. To override the top backup directory for the current workbook, pass the desired top directory as the optional 4th parameter. If the add-in fails in attempting to write backups to a user-specified directory, it will attempt to write to the default backup directory to maximize the chances that a backup is captured somewhere.</t>
        </r>
      </text>
    </comment>
    <comment ref="G38" authorId="0" shapeId="0" xr:uid="{00000000-0006-0000-3100-000003000000}">
      <text>
        <r>
          <rPr>
            <b/>
            <sz val="9"/>
            <color indexed="81"/>
            <rFont val="Tahoma"/>
            <family val="2"/>
          </rPr>
          <t>This example would prompt U to create a backup of the current workbook every 2 hours up to a max backup directory size of 50 Megabytes, and it will not persist backups for more than 1 day (since a whole day frequency is provided, U will not add it's default 30-day retention line).</t>
        </r>
      </text>
    </comment>
    <comment ref="G53" authorId="0" shapeId="0" xr:uid="{00000000-0006-0000-3100-000004000000}">
      <text>
        <r>
          <rPr>
            <b/>
            <sz val="9"/>
            <color indexed="81"/>
            <rFont val="Tahoma"/>
            <family val="2"/>
          </rPr>
          <t>U.BACKUP_ALL_WORKBOOKS can be used to indicate that every workbook opened should be backed up regularly. It only needs to be called once with a value of TRUE in the first parameter, and after that no longer needs to exist in any workbook for the backups to occur. Default backup settings are used if none are provided, though custom settings can be set by passing additional parameters that match those which would be passed to a workbook-specific U.BACKUP_WORKBOOK() call. Those settings are also persisted and remain in effect until backups are modified or disabled.
To disable automatic backup of all workbooks, pass FALSE as the 1st parameter.
IF U.BACKUP_ALL_WORKBOOKS is called without passing any value in the 1st parameter, then a report is returned showing current backup settings if backups are enabled. If backups are not enabled, a message indicating that is returned instead.</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L10" authorId="0" shapeId="0" xr:uid="{00000000-0006-0000-3200-000001000000}">
      <text>
        <r>
          <rPr>
            <b/>
            <sz val="9"/>
            <color indexed="81"/>
            <rFont val="Tahoma"/>
            <family val="2"/>
          </rPr>
          <t>U.CACHE persists data in memory in the U Add-In so that it can be efficiently fed to other U calculations. U.CACHE allows users to specify a "cache key," which is just a name that is used to recall the cached data. When a cache key is specified, the method returns that key along with a timestamp showing when the data was last cached.
In this example, the net change in position ...sorted by symbol... is calculated and cached with the cache key "PositionChanges." If the name "PositionChanges" is passed to any other U method as its input data, that other method will retrieve the cached data and use that as its data input. The cache key will be recognized even when the timestamp applied by U.CACHE is present, so other methods can reference the cell containing U.CACHE to ensure the recalc after the cache is changed.
In this example, the aggregation and sorting is done on a range of cells. In practice the source data for an U.CACHE is more likely to be some nested U methods that ultimately reference a U.SUBSCRIBE such that the modified content of an U report is cached (see example further below).
Whenever methods are nested, the method that is likely to remove the most amount of data should be the innermost method (subject to logical constraints). That is true in all nesting scenarios, whether or not U.CACHE is used, since the earlier data is reduced in size the more efficient the overall calculation will be. Here the result would have been the same if VSORT were the innermost method, but VAGGREGATE was made the innermost method because it reduces the size of the data.</t>
        </r>
      </text>
    </comment>
    <comment ref="L13" authorId="0" shapeId="0" xr:uid="{00000000-0006-0000-3200-000002000000}">
      <text>
        <r>
          <rPr>
            <b/>
            <sz val="9"/>
            <color indexed="81"/>
            <rFont val="Tahoma"/>
            <family val="2"/>
          </rPr>
          <t>To display the contents in a cache, use U.GET or U.PAD and pass in the cache key, or use U.PASTE and pass in the cache key to paste the contents to a specified range of cells.</t>
        </r>
      </text>
    </comment>
    <comment ref="M20" authorId="0" shapeId="0" xr:uid="{00000000-0006-0000-3200-000003000000}">
      <text>
        <r>
          <rPr>
            <b/>
            <sz val="9"/>
            <color indexed="81"/>
            <rFont val="Tahoma"/>
            <family val="2"/>
          </rPr>
          <t>As seen here, other U methods will recognize when a cache key is passed in and perform their operation on the cached data.</t>
        </r>
      </text>
    </comment>
    <comment ref="M28" authorId="0" shapeId="0" xr:uid="{00000000-0006-0000-3200-000004000000}">
      <text>
        <r>
          <rPr>
            <b/>
            <sz val="9"/>
            <color indexed="81"/>
            <rFont val="Tahoma"/>
            <family val="2"/>
          </rPr>
          <t>This example illustrates a more typical usage of U.CACHE: some operation is done on the content of an U report, and the result is cached. Now other U methods in the sheet can refer to that cached data to do further processing efficiently.
This example refers to a report published on the PUBLISH tab in this sheet. In practice one would not use U.CACHE in this scenario, as use of U.CACHE is generally only needed when the data is very large and there is a meaningful performance gain from caching and re-using interim calculations.</t>
        </r>
      </text>
    </comment>
    <comment ref="M36" authorId="0" shapeId="0" xr:uid="{00000000-0006-0000-3200-000005000000}">
      <text>
        <r>
          <rPr>
            <b/>
            <sz val="9"/>
            <color indexed="81"/>
            <rFont val="Tahoma"/>
            <family val="2"/>
          </rPr>
          <t>If the data has multiple pages, but the desire is to cache only a subset of those pages, then a page filter can be applied as an optional 3rd parameter. Here a 2-page report ...again one published in the publish examples in this workbook... is subscribed to, but a page filter of "2" is specified so only the 2nd page is cached. In this simplistic scenario the same result could be achieved by appending a page indicator to the result of U.SUBSCRIBE (e.g.: =U.SUBSCRIBE(...) &amp; " | 2"), but for more complex page filtering the U.CACHE page filter parameter is required. A page filter parameter of "2,4-7,9" for example would cache only pages 2,4,6,7 and 9 of the specified report.</t>
        </r>
      </text>
    </comment>
    <comment ref="M39" authorId="0" shapeId="0" xr:uid="{00000000-0006-0000-3200-000006000000}">
      <text>
        <r>
          <rPr>
            <b/>
            <sz val="9"/>
            <color indexed="81"/>
            <rFont val="Tahoma"/>
            <family val="2"/>
          </rPr>
          <t>Here a lookup is done on the cached data, and the price of XYZ is returned instead of the position (if you look at where this was published in the PUBLISH tab of this workbook, you'll see that the first page of this report has positions and the 2nd page has prices). The important thing to note is that because a page filter was applied the data that was the 2nd page in the original report is now the 1st page in the cached data (since the report's 1st page was dropped). Caches contain only pages of data, not full U reports, so they do not preserve a report's metadata and page numbering can be impacted by page filtering.</t>
        </r>
      </text>
    </comment>
    <comment ref="M44" authorId="0" shapeId="0" xr:uid="{00000000-0006-0000-3200-000007000000}">
      <text>
        <r>
          <rPr>
            <b/>
            <sz val="9"/>
            <color indexed="81"/>
            <rFont val="Tahoma"/>
            <family val="2"/>
          </rPr>
          <t>Note that native Excel methods have no idea what an U cache key is and no way to access the U cache. To access cached data with a native Excel method, it needs to be retrieved using U.GET.</t>
        </r>
      </text>
    </comment>
    <comment ref="O49" authorId="0" shapeId="0" xr:uid="{00000000-0006-0000-3200-000008000000}">
      <text>
        <r>
          <rPr>
            <b/>
            <sz val="9"/>
            <color indexed="81"/>
            <rFont val="Tahoma"/>
            <family val="2"/>
          </rPr>
          <t>When data is cached using a cache key, it will remain in the cache until one of the following happens: (a) it is overwritten by new data cached using the same cache key; (b) it is deliberately removed by the user; (c) the Excel instance is closed; or (d) it has expired. To remove data from the cache deliberately, call U.CACHE leaving the first parameter empty (i.e., not even referencing a blank cell) and passing the cache key as the 2nd parameter. To set an expiry time, provide the number of seconds before the cache is automatically cleared in the optional 4th parameter.
Cache keys are valid for an instance of Excel; they are not associated with a specific Excel workbook. So if multiple workbooks are open in the same Excel process, one workbook is able to overwrite or remove cached data set by another workbook. When performance is a concern, it is generally better to open only a single Excel workbook in a given Excel instance.</t>
        </r>
      </text>
    </comment>
    <comment ref="M56" authorId="0" shapeId="0" xr:uid="{871E74E7-7354-4873-AA43-6896BBD9D9A3}">
      <text>
        <r>
          <rPr>
            <b/>
            <sz val="9"/>
            <color indexed="81"/>
            <rFont val="Tahoma"/>
            <family val="2"/>
          </rPr>
          <t>It is possible to subscribe to cache updates by passing a single parameter to U.SUBSCRIBE. For this to work, the single parameter must not look like a valid U topic. Subscribing to cache updates can simplify some workflows because it removes the calc dependency on the cell containing U.CACHE. It can also be more efficient in many cases, as the U.SUBSCRIBE call will only update if the cache data has actually changed.</t>
        </r>
      </text>
    </comment>
    <comment ref="M61" authorId="0" shapeId="0" xr:uid="{D901B938-0F26-4E9F-9602-706C57B7C210}">
      <text>
        <r>
          <rPr>
            <b/>
            <sz val="9"/>
            <color indexed="81"/>
            <rFont val="Tahoma"/>
            <family val="2"/>
          </rPr>
          <t>One benefit of saving data in cache with a user-specified cache key is that the key given can meaningfully describe the data, making it easier to understand workbooks generally. Since using named ranges in Excel formulas can similarly make formulas easier to read, it can make workbooks easier to understand when formulas can refer to caches by their cache keys directly. If the cache key is enclosed in a "set_name()" function, then the calling cell will be given a name in Excel equal to the cache key. In this example, the trades would be cached with the cache key "Trades" and also an Excel named range called "Trades" would be created that refers to the calling cell. In that way, any equation can then refer to "Trades" directly; for example, =ROWS(Trades) would return the number of rows in the range.</t>
        </r>
      </text>
    </comment>
    <comment ref="L69" authorId="0" shapeId="0" xr:uid="{00000000-0006-0000-3200-000009000000}">
      <text>
        <r>
          <rPr>
            <b/>
            <sz val="9"/>
            <color indexed="81"/>
            <rFont val="Tahoma"/>
            <family val="2"/>
          </rPr>
          <t>When U.CACHE is called without a cache key being specified, a unique ID is applied to the cached data and returned. This is a "read-once" cache key, and the data will be removed from the cache after the first time the cache key is used.
Read-once cache keys are only intended to be used when nesting U methods inside of one another. The innermost method of the nesting would be the U.CACHE method. It returns a "read-once" cache key that is received by the next method in the nesting, which uses the key to retrieve the data. Because that next method received its data using a read-once cache key, it will place its own result in the cache using the key and again return the key to the next method in the nesting. The outermost method of the nesting would be one of the following:
(a) U.GET or U.PAD to display the data
(b) U.PASTE to paste the data into a specified range of cells
(c) U.CACHE, but with a cache key provided, to cache the resulting data for use by many other U methods
Using U.CACHE with a read-once cache key is generally only meaningful when working with very large U reports that may otherwise be too large for Excel to handle. In that case, its use allows multiple processing steps to be applied to the data without the data having to be passed back-and-forth between the U add-in and the Excel application layer: only the cache key is passed back and forth until the very last step in the processing. This can lead to massive performance gains when working with very large reports (hundreds of thousands of cells or more), but may not be noticeable for common use cases with smaller reports.
Since read-once caches are intended for use with very large reports, the U.CACHE method will typically refer to a cell containing an U.SUBSCRIBE cell that is subscribing to some very large report.
When using read-once caches, it is still best to ensure that the most data-reducing U methods are the most deeply nested. The more quickly the size of the data is reduced in any nesting scenario, the more efficient the entire calculation will be.</t>
        </r>
      </text>
    </comment>
    <comment ref="M92" authorId="0" shapeId="0" xr:uid="{00000000-0006-0000-3200-00000A000000}">
      <text>
        <r>
          <rPr>
            <b/>
            <sz val="9"/>
            <color indexed="81"/>
            <rFont val="Tahoma"/>
            <family val="2"/>
          </rPr>
          <t>This example illustrates use of the read-only cache in a nesting scenario. The innermost method is the U.CACHE call with no cache key specified. The next innermost method is the VAGGREGATE (chosen to be next because it reduces the size of the data, whereas VSORT does not). The VAGGREGATE receives the read-once cache key from U.CACHE, and it applies the aggregation on that cached data then places its result in the cache and returns the read-once cache key for use by the next method. VSORT also places its result in the cache. When the outermost U.PAD method receives the cache key, it returns its usual result instead of putting its result in the cache and returning a read-once cache key. By the time this operation is completed, there is no data left in the cache because it was removed after each retrieval.
Here the U.CACHE method is referring to a range of cells, but again this technique would typically be used in cases where U.CACHE is referencing a very large U report. It is always best to test to ensure that meaningful performance gains are realized before applying relatively complex performance optimization techniques like this.</t>
        </r>
      </text>
    </comment>
    <comment ref="O105" authorId="0" shapeId="0" xr:uid="{00000000-0006-0000-3200-00000B000000}">
      <text>
        <r>
          <rPr>
            <b/>
            <sz val="9"/>
            <color indexed="81"/>
            <rFont val="Tahoma"/>
            <family val="2"/>
          </rPr>
          <t>If a user has an incorrect setup in a sheet, such that it repeatedly creates read-once caches that are never read, there is a risk that over time that memory consumption could crash the Excel process. To minimize this risk, read-once caches are automatically removed after 10 minutes if they have not been read (typically they should be read and removed immediately since read-once caches are intended to be used in nesting scenarios). An optional 4th parameter can be used to set a non-default timeout in seconds of a read-once cache. A minimum timeout of 1 second and a maximum timeout of 1 month is enforced.
If there is any concern that runaway caching may be consuming too much Excel's memory, a report of all cached data can be retrieved by calling U.CACHE over a range of cells without setting any parameters (press Control-Shift-Enter to enter U.CACHE as an array formula when doing this). The report includes the cache key, whether it is a read-once cache, the automatic removal time (if a read-once cache), the total number of cells included in the data, the cell from which U.CACHE was called and the time the cache was created. This report can be used to troubleshoot cache setup errors and to discover forgotten caches so that they can be removed manually. To remove a cache manually, call U.CACHE leaving the first parameter blank (not even referencing a blank cell) and setting the 2nd parameter to the cache key to be removed. Both regular and read-once caches can be removed manually this way. Calling U.GET(&lt;key&gt;) or U.PAD(&lt;key&gt;) on a read-once cache key will also remove it since, by definition, they are caches that are removed after being retrieved once. Also, note that the "CACHE KEY: " prefix on read-once cache keys is treated as part of the key and must be included when manually deleting or otherwise retrieving the read-once cache data.</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5" authorId="0" shapeId="0" xr:uid="{00000000-0006-0000-3300-000001000000}">
      <text>
        <r>
          <rPr>
            <b/>
            <sz val="9"/>
            <color indexed="81"/>
            <rFont val="Tahoma"/>
            <family val="2"/>
          </rPr>
          <t>U.PROFILE_WORKBOOK will analyze all groups of formulas in the workbook and create a report with the slowest ranges on top. This way users seeking to optimize spreadsheet performance can identify and address the sections contributing most to poor performance.
In very slow sheets, the workbook may be frozen for an extended period as it is analyzed by U.PROFILE_WORKBOOK. To prevent inadvertently initiating a profiling session that locks a workbook, a messagebox is displayed asking the user to confirm they wish to start a new profiling session.
The Excel status bar (bottom left of the Excel window) will update throughout the profiling session to indicate the status.
By default, U.PROFILE_WORKBOOK identifies every group of similar formulas within a workbook and reports times for each group. The optional first parameter can be used to specify the granularity of the calculations, for example if "Worksheet" is specified then times will be calculated only for entire worksheets. See the table below for a description of available granularity settings.
To have the profiling done for only the calling worksheet instead of the entire workbook, set the optional 2nd parameter to TRUE. In very large and slow workbooks, use of the 1st and 2nd parameters can be used to shorten the time required to find the slowest regions. That works like this: first run a profiling session with the 1st parameter set to "Worksheet" (or TRUE, which is interpreted as "Worksheet") so that results are returned for whole worksheets, saving the time required to find formula groups in each. Then go to the workbook that is shown to be the slowest and run a profiling session with the 2nd parameter set to TRUE (but the 1st blank or FALSE ...or "Region" to reduce granularity) to identify the slowest regions in just that worksheet.
U.PROFILE_WORKBOOK will by default only calculate each formula group once and report that calc time (a full recalc of the workbook is always done before any profiling session starts). To have calculations performed multiple times and averaged, set the optional 3rd parameter to a positive number. The calcs will be run the specified number of times and averaged, with the order of calculation of the ranges varied on each run. Meaningful differences have not yet been observed when doing this, so the more efficient default is recommended unless proven otherwise.
Profiling sessions usually complete relatively quickly, but in extremely slow sheets they could conceivably lock the sheet for an extended period of time. To have the profiling session timeout if it has not completed within some specified timeframe, set the optional 4th parameter to a timeout in minutes. By default U.PROFILE_SESSION will be allowed to run for a full 8 hours before the profiling session is terminated (to account for extreme cases where a sheet is so slow a user intends to let it run overnight to get results). Set the 4th parameter to -1 to make the timeout infinite. To prematurely stop a profiling session while retaining any results gathered to date, open a new instance of Excel and enter =U.PROFILE_WORKBOOK("STOP") from any cell. In the worst case where a profiling session is not completing or timing out, and where the stop signal is failing to terminate a profiling session, the Windows Process ID as reported on the Excel status bar can be used to kill the correct Excel process.
Setting the optional 5th parameter to TRUE can speed up the profiling by skipping some cleanup steps between calcs. This is normally fine, but can lead to instability in some large workbooks ...especially those where Excel's dynamic arrays feature is used (e.g. the user may need to click Excel or press the Escape key to stop Excel from churning once the profiling is completed). Using this to make the profiling faster can make it easier to do iterative optimization in workbooks where no such issues are seen.</t>
        </r>
      </text>
    </comment>
    <comment ref="C35" authorId="0" shapeId="0" xr:uid="{00000000-0006-0000-3300-000002000000}">
      <text>
        <r>
          <rPr>
            <b/>
            <sz val="9"/>
            <color indexed="81"/>
            <rFont val="Tahoma"/>
            <family val="2"/>
          </rPr>
          <t>When a profiling session is complete, the results are cached using the unique profile report ID. These reports are persisted for the life of the Excel instance, so profiling reports generated after an optimization is made can be compared with a report generated before the change to see the difference.
This cell is what the example method above would return after a successful profiling session has completed -- it's just like any other cached data. If the profiling session failed, information about the failure would be returned instead.
When the granularity is "formula" (the default) or "cell" then ranges are also checked for volatile functions and U RTD values nested inside of multi-cell array formulas (both performance killers). If either situation is found, additional pages will be added to the report containing the details of what was detected and where. Note: the method is not able to detect cases where Excel has added the Implicit Intersection operator (@) in front of an Runline method, but this has been observed to cause non-trivial performance issues. Where this operator was automatically added by Excel when upgrading the Excel version, it should be removed unless required to prevent a #SPILL error (and even then U.PAD can be used to prevent #SPILL errors when needed).</t>
        </r>
      </text>
    </comment>
    <comment ref="D40" authorId="0" shapeId="0" xr:uid="{00000000-0006-0000-3300-000003000000}">
      <text>
        <r>
          <rPr>
            <b/>
            <sz val="9"/>
            <color indexed="81"/>
            <rFont val="Tahoma"/>
            <family val="2"/>
          </rPr>
          <t>Because the profile reports are cached, they can be retrieved using U.GET or U.PAD. Here an example report is hard-coded for illustration, but in practice this range would contain one of those methods referencing the cell that contained U.PROFILE_WORKBOOK (which would be showing the report ID / cache key).
The left column of the report shows the specific range containing formulas that was calculated. The right column shows the time in milliseconds it took to recalculate that range.
If the report is multiple pages because volatile methods and/or U RTD calls nested in multi-cell array formulas are found, the first row of the report will be a page indicator (e.g. [page 1 of 2]). The other pages can be viewed by setting the 3rd parameter in U.GET to a page number just like when viewing pages in any report.</t>
        </r>
      </text>
    </comment>
    <comment ref="H59" authorId="0" shapeId="0" xr:uid="{CF3E946C-01AF-412A-8D87-3B793B9FBB96}">
      <text>
        <r>
          <rPr>
            <b/>
            <sz val="9"/>
            <color indexed="81"/>
            <rFont val="Tahoma"/>
            <family val="2"/>
          </rPr>
          <t>If U.PROFILE_WORKBOOK("REPORTS") is called over a range …that is, with "REPORTS" passed as the first parameter… then a report of all cached profile reports previously run in the current instance of Excel is returned.
To clear all previously run profile reports from the cache, pass "CLEAR" as the 1st parameter.</t>
        </r>
      </text>
    </comment>
    <comment ref="G67" authorId="0" shapeId="0" xr:uid="{A2201825-A18F-4B2F-A5BB-D675A3009F1D}">
      <text>
        <r>
          <rPr>
            <b/>
            <sz val="9"/>
            <color indexed="81"/>
            <rFont val="Tahoma"/>
            <family val="2"/>
          </rPr>
          <t>This table describes the granularity options. The lower-granularity options are at the top, and the higher-granularity options at the bottom. In general, profiling with lower granularity will be faster but will return less detailed results. The default granularity is "Formula." Formulas are only checked for volatile methods and for Runline RTD methods nested in multi-cell array formulas when the granularity is Formula or Cell.
With Formula granularity, row sampling is done within very large clusters of formulas to determine whether the rows all have the same formula (or ones that are identical except for relative references). This improves performance when profiling sheets with very large ranges, but creates some risk that an equation that does not match its surroundings goes undetected ...and if that non-matching equation contains a volatile Excel method, that may also not be caught by the profiler. This is usually not a practical concern, since it is a bad practice to have formulas change in the middle of a large column of formulas. Where there is a desire to ensure the performance review is perfectly thorough, set the granularity to "cell" so that every cell is checked.</t>
        </r>
      </text>
    </comment>
    <comment ref="H81" authorId="0" shapeId="0" xr:uid="{43E6955E-7062-4AB6-9893-092CC5F999FC}">
      <text>
        <r>
          <rPr>
            <b/>
            <sz val="9"/>
            <color indexed="81"/>
            <rFont val="Tahoma"/>
            <family val="2"/>
          </rPr>
          <t>The report of function call counts does not update in real-time. It will return the most recent counts available when recalculated.</t>
        </r>
      </text>
    </comment>
    <comment ref="J82" authorId="0" shapeId="0" xr:uid="{C5AD7802-5FB8-4720-B0D4-BB300BC7C1BA}">
      <text>
        <r>
          <rPr>
            <b/>
            <sz val="9"/>
            <color indexed="81"/>
            <rFont val="Tahoma"/>
            <family val="2"/>
          </rPr>
          <t>If U.COUNT_FUNCTION_CALLS is present, calls to U methods are counted and timed. A report of the info can be accessed via the cache key "COUNT_FUNCTION_CALLS" as seen to the left.
If the optional parameter is set to TRUE then counts are reset.
The calls per second in the 4th column of the report is the number of calls since the method was either entered or last reset divided by the number of seconds since the method was added or last reset.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V6" authorId="0" shapeId="0" xr:uid="{00000000-0006-0000-0500-000001000000}">
      <text>
        <r>
          <rPr>
            <b/>
            <sz val="9"/>
            <color indexed="81"/>
            <rFont val="Tahoma"/>
            <family val="2"/>
          </rPr>
          <t>Users can specify which columns are "key" columns, which columns should be summed in aggregations ...and also which columns should be averaged in aggregations along with column to use for weights when averaging (absolute value of weights are always applied; if no weight column is specified, all values are given equal weight; here the trade quantity is used to weight the trade price for averaging).</t>
        </r>
      </text>
    </comment>
    <comment ref="T7" authorId="0" shapeId="0" xr:uid="{00000000-0006-0000-0500-000002000000}">
      <text>
        <r>
          <rPr>
            <b/>
            <sz val="9"/>
            <color indexed="81"/>
            <rFont val="Tahoma"/>
            <family val="2"/>
          </rPr>
          <t xml:space="preserve">U.VAGGREGATE will aggregate rows of data where specified "key" columns have the same values (not case sensitive). The order of the aggregated rows is based on the order of the first instance of each row in the source data.
To help illustrate what is happening, the optional 7th parameter is set to TRUE in this and most examples below so that a column is added to the right side of results showing how many rows were aggregated to create that result row. </t>
        </r>
      </text>
    </comment>
    <comment ref="V20" authorId="0" shapeId="0" xr:uid="{00000000-0006-0000-0500-000003000000}">
      <text>
        <r>
          <rPr>
            <b/>
            <sz val="9"/>
            <color indexed="81"/>
            <rFont val="Tahoma"/>
            <family val="2"/>
          </rPr>
          <t>Column numbers can be used instead of column labels, as may be needed if the data does not even have labels. As seen here, you can even use a mix of column labels and column numbers if desired. Negative column numbers can be specified, in which case the counting is from the right (the special string "last()" can be used and is the same as -1).</t>
        </r>
      </text>
    </comment>
    <comment ref="S35" authorId="0" shapeId="0" xr:uid="{6EC9985D-9391-477A-B98C-618AF5C9116A}">
      <text>
        <r>
          <rPr>
            <b/>
            <sz val="9"/>
            <color indexed="81"/>
            <rFont val="Tahoma"/>
            <family val="2"/>
          </rPr>
          <t>If data is laid out in a very normal way, then aggregation params may not even be needed. The method will assume any leftmost non-numeric columns are key columns and any numeric columns are meant to be summed. It will also intelligently attempt to determine whether the data has column labels or not and handle accordingly.
In this example the Trade Price column is still specified as a weighted average, since otherwise the method would sum those values. It is also averaging the Current Price field (without any weighting) to prevent it from summing those values, though the same could alternatively have been accomplished by having "first(Current Price)" as a sum column.
Note that in this example the optional 7th parameter is not set, so the Num Aggregated column is not appended.</t>
        </r>
      </text>
    </comment>
    <comment ref="L48" authorId="0" shapeId="0" xr:uid="{00000000-0006-0000-0500-000005000000}">
      <text>
        <r>
          <rPr>
            <b/>
            <sz val="9"/>
            <color indexed="81"/>
            <rFont val="Tahoma"/>
            <family val="2"/>
          </rPr>
          <t>To only return columns that were specified as key, sum or average columns set the final "Drop Columns" parameter to TRUE. Setting the final parameter to any negative number will also cause the same columns to be dropped and in addition will cause the final Num Aggregated column to not be appended.
When a column is not a key, sum or averaged column and is not dropped…then in aggregated rows, a value will be shown if it is the same for all rows that were aggregated. If the aggregated rows have different values for the non-key, non-sum, non-average column, a blank will be shown in the aggregation.</t>
        </r>
      </text>
    </comment>
    <comment ref="Q48" authorId="0" shapeId="0" xr:uid="{00000000-0006-0000-0500-000006000000}">
      <text>
        <r>
          <rPr>
            <b/>
            <sz val="9"/>
            <color indexed="81"/>
            <rFont val="Tahoma"/>
            <family val="2"/>
          </rPr>
          <t>Notice that in all cases, Excel natively adds #N/A errors in the cells of the array formula below where actual data exists. As with any method, you could nest U.VAGGREGATE inside of an U.PAD call to fill those cells with an empty string so that Excel does not put errors in them.
As seen in these examples, the Num Aggregated column can be appended to the result even when columns that are not key, sum or averaged columns are dropped.</t>
        </r>
      </text>
    </comment>
    <comment ref="T64" authorId="0" shapeId="0" xr:uid="{00000000-0006-0000-0500-000007000000}">
      <text>
        <r>
          <rPr>
            <b/>
            <sz val="9"/>
            <color indexed="81"/>
            <rFont val="Tahoma"/>
            <family val="2"/>
          </rPr>
          <t>U.VAGGREGATE can use the sign of a numeric field as a key by embedding the column name (or column number) within the parentheses of the sign() symbol. Here the sign of the quantity column is used as the key instead of the Side column.
If there were an actual column with the label "sign(Quantity)" then the key would be interpreted as that column label instead of the sign of Quantity. In this extremely unlikely event, a workaround is to add a space in the aggregation key (e.g.: "sign( Quantity")). The space before the word Quantity would cause it to no longer match the column label, but it would still be interpreted properly as the sign of a column labeled "Quantity".
In addition to sign(), U.VAGGREGATE supports key methods of trunc() and remainder(). These function the same way: if one were to have a key column of trunc(date) ...where the date field contains Excel dates... then the aggregation key would be the day (ignoring the time) of the date column value (since the time of day in an Excel date is the fractional part, which would be removed by the trunc() modifier). The key method match_case() is also supported -- it makes the aggregation case-sensitive.</t>
        </r>
      </text>
    </comment>
    <comment ref="J87" authorId="0" shapeId="0" xr:uid="{00000000-0006-0000-0500-000008000000}">
      <text>
        <r>
          <rPr>
            <b/>
            <sz val="9"/>
            <color indexed="81"/>
            <rFont val="Tahoma"/>
            <family val="2"/>
          </rPr>
          <t>Here is the data being published. In a real-world scenario, the data would likely have been published from some other sheet or application …probably running on a different machine.</t>
        </r>
      </text>
    </comment>
    <comment ref="T88" authorId="0" shapeId="0" xr:uid="{00000000-0006-0000-0500-000009000000}">
      <text>
        <r>
          <rPr>
            <b/>
            <sz val="9"/>
            <color indexed="81"/>
            <rFont val="Tahoma"/>
            <family val="2"/>
          </rPr>
          <t>As with all U utility methods, U.VAGGREGATE will recognize if you pass a valid U topic as data and, if so, will retrieve that data and use it. Here the method is referencing the cell with U.SUBSCRIBE, so the method will update in real-time whenever new data is published.</t>
        </r>
      </text>
    </comment>
    <comment ref="V100" authorId="0" shapeId="0" xr:uid="{00000000-0006-0000-0500-00000A000000}">
      <text>
        <r>
          <rPr>
            <b/>
            <sz val="9"/>
            <color indexed="81"/>
            <rFont val="Tahoma"/>
            <family val="2"/>
          </rPr>
          <t>The method is actually permissive in how it accepts params. See in the keys column that it properly handles comma separated values. It would also handle the keys if they were laid out in a row instead of in a column.</t>
        </r>
      </text>
    </comment>
    <comment ref="T101" authorId="0" shapeId="0" xr:uid="{00000000-0006-0000-0500-00000B000000}">
      <text>
        <r>
          <rPr>
            <b/>
            <sz val="9"/>
            <color indexed="81"/>
            <rFont val="Tahoma"/>
            <family val="2"/>
          </rPr>
          <t>If U.VAGGREGATE attempts to use a column as a number, but it contains an error or non-numeric value, then the resulting aggregation will be an error. In this example one of the trades has "CANCEL" in the quantity field, and it results in a #VALUE! error just like you'd get if you tried to sum a number with a non-numeric value in an Excel cell.</t>
        </r>
      </text>
    </comment>
    <comment ref="T113" authorId="0" shapeId="0" xr:uid="{00000000-0006-0000-0500-00000C000000}">
      <text>
        <r>
          <rPr>
            <b/>
            <sz val="9"/>
            <color indexed="81"/>
            <rFont val="Tahoma"/>
            <family val="2"/>
          </rPr>
          <t>By setting the optional 5th "Ignore Errors" parameter to TRUE, non-numeric values will be treated as zero in sums and ignored when computing weighted averages. Here I also nest the call in U.PAD again just to remove the trailing #N/As.
The example also shows ways that aggregation params can optionally be hard-coded into the formula using Excel's array syntax (the curly braces, where commas delimit columns and semicolons delimit rows). To maximize flexibility in designing spreadsheet layouts, the formula will do its best to interpret various presentations.</t>
        </r>
      </text>
    </comment>
    <comment ref="S128" authorId="0" shapeId="0" xr:uid="{F93C40A9-741B-409D-9A6A-3969D90DE296}">
      <text>
        <r>
          <rPr>
            <b/>
            <sz val="9"/>
            <color indexed="81"/>
            <rFont val="Tahoma"/>
            <family val="2"/>
          </rPr>
          <t>If U.VAGGREGATE is not provided any valid key columns …such as if no params at all are provided (except optionally the 7th parameter), as in this example... then it will attempt to identify the first group of left-most columns that do not contain all numeric values and use those as the key columns. Other columns not determined to be key columns will be treated as sum columns -- see in this example how price columns are summed instead of weighted averaged since no params are specified.
If no columns that appear to qualify as key columns can be found, the original array is returned without any aggregation performed ...UNLESS the 2nd "key columns" parameter is given the special value of FALSE to indicate explicitly that no key columns exist. In that case all columns are treated as value columns. You can force the 1st row to always be treated as values instead of labels by setting the 3rd parameter to an asterisk ("*"). You can indicate that all columns should be averaged by setting the 4th parameter to "*" to indicate all columns are average columns (or "**" to indicate all columns below a label row should be averaged).
The function will still behave this way if the 7th parameter is set to TRUE, in which case the only difference is that the Num Aggregated column will be appended to the result.</t>
        </r>
      </text>
    </comment>
    <comment ref="W147" authorId="0" shapeId="0" xr:uid="{00000000-0006-0000-0500-00000E000000}">
      <text>
        <r>
          <rPr>
            <b/>
            <sz val="9"/>
            <color indexed="81"/>
            <rFont val="Tahoma"/>
            <family val="2"/>
          </rPr>
          <t>The columns to be summed can optionally return values other than a sum. In this example the Quantity with the greatest absolute value and the minimum P&amp;L is returned for a given aggregation instead of a sum. This is done by surrounding the column name or number with the function to apply.
Supported return value functions are as follows:
min(&lt;column&gt;): minimum value
max(&lt;column&gt;): maximum value
absMin(&lt;column&gt;): minimum absolute value
absMax(&lt;column&gt;): maximum absolute value
mean(&lt;column&gt;): average value (avg(&lt;column&gt;) or average(&lt;column&gt;) also work)
median(&lt;column&gt;): median value
product(&lt;column&gt;): product of all values; Boolean values treated as 1 (TRUE) or 0 (FALSE)
first(&lt;column&gt;): the value from the row that appears first in the original data
last(&lt;column&gt;): the value from the row that appears last in the original data
invoke(&lt;column&gt;,&lt;function&gt;,&lt;config&gt;): the result of passing the vector of values to the specified user function, optionally with an invocation config
sum(&lt;column&gt;): sum of values, but not needed since this is default behavior (total(&lt;column&gt;) also works)</t>
        </r>
      </text>
    </comment>
    <comment ref="V179" authorId="0" shapeId="0" xr:uid="{00000000-0006-0000-0500-00000F000000}">
      <text>
        <r>
          <rPr>
            <b/>
            <sz val="9"/>
            <color indexed="81"/>
            <rFont val="Tahoma"/>
            <family val="2"/>
          </rPr>
          <t>For U.HAGGREGATE, the orientation of the aggregation parameters does not change.</t>
        </r>
      </text>
    </comment>
    <comment ref="T180" authorId="0" shapeId="0" xr:uid="{00000000-0006-0000-0500-000010000000}">
      <text>
        <r>
          <rPr>
            <b/>
            <sz val="9"/>
            <color indexed="81"/>
            <rFont val="Tahoma"/>
            <family val="2"/>
          </rPr>
          <t>U.HAGGREGATE functions exactly like U.VAGGREGATE but operates horizontally on columns of data instead of vertically on rows of data.
Here, the data is identical to the data at the top of this sheet, just transposed so that trade records are spread across columns instead of rows.</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B5" authorId="0" shapeId="0" xr:uid="{00000000-0006-0000-3400-000001000000}">
      <text>
        <r>
          <rPr>
            <b/>
            <sz val="9"/>
            <color indexed="81"/>
            <rFont val="Tahoma"/>
            <family val="2"/>
          </rPr>
          <t>No entity in the first editor, so assumed to be same as current Excel user.</t>
        </r>
      </text>
    </comment>
    <comment ref="E5" authorId="0" shapeId="0" xr:uid="{00000000-0006-0000-3400-000002000000}">
      <text>
        <r>
          <rPr>
            <b/>
            <sz val="9"/>
            <color indexed="81"/>
            <rFont val="Tahoma"/>
            <family val="2"/>
          </rPr>
          <t>U.READ_ONLY will change the file access mode of the current workbook to read-only if it is not already in read-only mode. If the method is present in a workbook, the workbook will be converted to read-only immediately when opened (or at the first recalculation if opened in manual recalc mode). The method returns the time it the workbook became read-only or an error if it was unable to change the file access.
An optional list of editors can be provided in the first parameter. The method will not convert the workbook to readonly if the current user is in the specified list of editors. If the Runline entity designation does not precede the username in the list of editors, the entity is assumed to be the same as that of the current user.
U.READ_ONLY simplifies having multiple users share a common sheet since it guarantees it will always be in read-only mode for all users except designated editors who need to be able to save changes to it.
If the 1st parameter is set to the boolean value FALSE and no other parameters are set, then U.READ_ONLY will return the read-only status of the workbook: TRUE if read-only, FALSE otherwise.
If both the 1st and 2nd parameters are set to the boolean value FALSE and no other parameters are set, then if the workbook is in read-only mode it will be reverted to read-write mode if possible.</t>
        </r>
      </text>
    </comment>
    <comment ref="E20" authorId="0" shapeId="0" xr:uid="{00000000-0006-0000-3400-000003000000}">
      <text>
        <r>
          <rPr>
            <b/>
            <sz val="9"/>
            <color indexed="81"/>
            <rFont val="Tahoma"/>
            <family val="2"/>
          </rPr>
          <t>Because a workbook file can be updated if the workbook is open in read-only mode, U.READ_ONLY enables workbook distribution via Runline. Having a fully-configured U.READ_ONLY call is what makes a workbook "distributable"; the action of distributing it is done with U.DISTRIBUTE_WORKBOOK.
Workbook distribution via Runline has a number of benefits over use of a shared drive:
  -users always open a local copy of the workbook, which is always available to them even offline
  -users can optionally receive in-Excel notification that the workbook has been updated
  -recent versions of the workbook are automatically backed-up locally
  -standard Runline report security can be used to control access to the workbook
  -standard Runline snapshot functionality can be used to create daily archives of the workbook
In order to distribute a workbook using Runline, that workbook must contain an U.READ_ONLY method that has the following parameters set:
  -the list of editors in the 1st parameter must contain the current user who is attempting to distribute the workbook.
  -The 2nd parameter set to the name of the topic to which the report distribution will be published. The only restriction is that the group name must end with "WORKBOOK_CHANNEL" (identity-based access to the group and/or specific topic can be set via UWeb just like with any other Runline topic). If not provided a default topic specific to the workbook will be used.
  -The 3rd parameter must be set to a valid version number for the workbook (e.g.: 1.2.7). The version number can be anything the editor prefers provided it fits the format of a standard version number.
The 4th parameter is optional. If set to TRUE then Excel will display a message box to recipients of the distribution alerting them to the update (those users could then simply close and re-open the workbook to be running the current version). The value of this parameter is ideally placed in an unprotected cell so that individual recipients can modify it to indicate whether or not they receive such a notification. If the 4th parameter is a number, the workbook will be closed automatically after that number of seconds if not first restarted manually. A message box warning of the closure is displayed to users by default; to prevent the display of that message, make the number of seconds negative.
The 5th parameter is also optional and can be used to set a secret used when subscribing to the distribution topic. Changing the secret on a future release and only alerting certain users of the new secret is one way of ensuring that only intended users receive the update (identity-based permissioning via UWeb is the other way). When a secret is used, the secret should be in a field that is not protected so that non-editor users can change it as needed even if the workbook is protected.</t>
        </r>
      </text>
    </comment>
    <comment ref="B48" authorId="0" shapeId="0" xr:uid="{00000000-0006-0000-3400-000004000000}">
      <text>
        <r>
          <rPr>
            <b/>
            <sz val="9"/>
            <color indexed="81"/>
            <rFont val="Tahoma"/>
            <family val="2"/>
          </rPr>
          <t>U.DISTRIBUTE_WORKBOOK publishes a workbook to the specified distribution topic. If the distribution fails it returns a message indicating the reason for the failure, otherwise it returns a message confirming the successful distribution.
The first parameter to U.DISTRIBUTE_WORKBOOK is a one-time use distribution ID. To receive a valid ID, first ensure that the workbook is saved and contains a fully specified U.READ_ONLY method. Then calculate U.DISTRIBUTE_WORKBOOK without any parameters set -- a messagebox will appear containing a unique 5-letter code that should be set as the 1st parameter.
By default the workbook containing the U.DISTRIBUTE_WORKBOOK call is assumed to be the one being distributed. To distribute a different workbook from the current one, enter that workbook's name ...including the extension but without the path... as the 1st parameter. The workbook being distributed must be open in the current instance of Excel and contain a fully-specified U.READ_ONLY method call.
If the workbook had been renamed, prior names of the workbook can be provided in the optional 2nd parameter either in a range of cells or as a comma-delimited string. It's important to include any names that may have recently been used for the same workbook, as a recipient's workbook will not process the update unless the name of their current version matches either the name of the workbook being distributed or a "prior name" from this list.
To restrict the distribution to only certain recipients, set the list of recipients as the optional 3rd parameter either from a range of cells or as a comma-delimited list. Any username in the list that does not include the Runline entity will be given the same entity as the current user distributing the workbook.
The optional 4th parameter can be used to pass through any additional metadata the distributor wishes to add to the publish. If this metadata contains a report secret and the U.READ_ONLY method in the workbook also contains a secret, the secret in U.READ_ONLY will be used.
It is the responsibility of the user to save the workbook as desired before distributing, as it is not automatically saved prior (since, for example, the user may not want the U.DISTRIBUTE_WORKBOOK call, itself, saved with the workbook ...or may have a secret included in the metadata that should not be distributed with the workbook ...etc).
Distributors are strongly encouraged to protect workbooks before distributing them, thereby treating workbooks more like real applications. The U.PROTECT_WORKBOOK and U.UNLOCK_CELLS methods described below greatly simplify using workbook protection. The workbook could be protected and saved, then either (a) a new blank workbook could be opened in the current Excel instance and U.DISTRIBUTE_WORKBOOK could be called from that workbook; or (b) the workbook could be unprotected again before the U.DISTRIBUTE_WORKBOOK method is entered, in which case the most recently saved version ...that is protected and does not have the U.DISTRIBUTE_WORKBOOK call in it... is what would be distributed.
When an update is received by a user of the workbook, the prior version that user currently has open is copied to a special "Prior_Versions" directory on her machine (default location is C:\Runline\Backups\Prior_Versions\&lt;workbook name&gt;\) and the workbook file is replaced with the updated version ...which is possible because the workbook is in read-only mode. If the workbook is configured to notify the user of the update, then a messagebox with details about the update will appear. To use the updated version, the user simply closes and re-opens the workbook. If the user does not have the workbook open at the time the update is published, it will be received automatically whenever the user next opens the workbook.</t>
        </r>
      </text>
    </comment>
    <comment ref="B75" authorId="0" shapeId="0" xr:uid="{00000000-0006-0000-3400-000005000000}">
      <text>
        <r>
          <rPr>
            <b/>
            <sz val="9"/>
            <color indexed="81"/>
            <rFont val="Tahoma"/>
            <family val="2"/>
          </rPr>
          <t>To prevent users from receiving workbook or function updates from a malicious distributor, distributors must be explicitly added to a "trusted distributors" list before any distributions from them will be processed. Adding a user to the trusted distributor list is a 1-time action a user must take on each machine running U where he wishes to receive workbook or function updates. Once added, a trusted distributor can be removed from the list anytime or the distributor settings can be modified. An ecrypted list of trusted distributors can optionally be pre-configured so that users do not need to perform the one-time task of adding a trusted distributor manually; details available upon request.
In order to modify the trusted distributors list, users must provide a unique code specific to the current instance of Excel as the first parameter. This code is provided via a message box. To get a valid code, calculate the method without setting any parameters -- a message box will appear with the code that should be set as the 1st parameter. The code is valid for the entire life if the current Excel instance. This mechanism is used in order to prevent a workbook or function from automatically adding a malicious distributor to the trusted list (the code displayed is not available via any Excel API).
The 2nd parameter is the name of the distributor to trust. If the name does not indicate the Runline entity, then the entity is assumed to be the same as that of the current user. If the 2nd parameter is a 2-column row, the first cell must contain the trusted distributor username. If the 2nd cell in the row contains the boolean value TRUE, then updates from the distributor will be trusted even if the distributor's username had not been authenticated when the update was published. This is generally not recommended, but may be appropriate within secure networks where Runline authentication is not enabled.
To restrict the list of workbooks that will be received from the distributor, provide a list of workbook names (including extension) as the optional 3rd parameter. Workbook names can be provided either from a range of cells or as comma-delimited values. If the 3rd parameter is not set then all workbooks except macro-enabled workbooks (.xlsm and .xlsb) are trusted; to trust all workbooks including macro-enabled workbooks set the 3rd parameter to TRUE.
To restrict the list of functions that will be received from the distributor, provide a list of function names as the optional 4th parameter. Function names can be provided either from a range of cells or as comma-delimited values. If the 4th parameter is not set, then all functions will be trusted.
Some functions may rely on library files (.dll files) distributed along with the functions and/or may use .NET namespaces that enable Web and/or system access (for example, a function's purpose may be to retrieve information from an Internet resource for the Excel user). For security, use of library files and .NET classes enabling Web and system access are blocked by default. If the optional 5th parameter is set to TRUE then these restrictions are removed for functions distributed by the specified distributor. If the Excel instance is configured globally to apply these restrictions, then setting the 5th parameter to TRUE will not have any effect and the restrictions will still be applied.
To remove a trusted distributor, set the 1st parameter to "CLEAR" and set the 2nd parameter to the username of the distributor to be removed. If no username is provided in the 2nd parameter and the 1st parameter is set to "CLEAR" then all trusted distributors will be removed.
If the first parameter is set to TRUE a report of currently configured trusted distributors will be returned.</t>
        </r>
      </text>
    </comment>
    <comment ref="B101" authorId="0" shapeId="0" xr:uid="{00000000-0006-0000-3400-000006000000}">
      <text>
        <r>
          <rPr>
            <b/>
            <sz val="9"/>
            <color indexed="81"/>
            <rFont val="Tahoma"/>
            <family val="2"/>
          </rPr>
          <t>U.PROTECT_WORKBOOK protects (or unprotects) a workbook structure and cells/charts/images on all sheets. To protect a the workbook and all sheets, call =U.PROTECT_WORKBOOK(TRUE). Setting the 1st parameter to TRUE indicates that the workbook should be protected; setting it to FALSE will unprotect the workbook (that naturally needs to be done from an unlocked cell, and will only unprotect it if a correct password is provided or no password is required).
To require a password to unprotect the structure of the workbook and sheets, provide a password as the 2nd parameter to U.PROTECT_WORKBOOK. If a password is used, the U.PROTECT_WORKBOOK method is removed to prevent the password from remaining in the protected workbook.
Note that U.PROTECT_WORKBOOK does not protect *opening* the workbook. It only prevents users from making changes to the workbook once opened and from seeing the formulas in protected cells. Use standard Excel interfaces to require a password even for opening the workbook.
To reset the locked and/or hidden status of individual cells, set the optional 3rd and/or 4th parameters to TRUE, respectively. When set to TRUE, by default the method will make every cell in every sheet both locked and hidden when the workbook is protected ("hidden" means that a cell's formula will not be shown in the formula bar when the cell is selected). However, any cells and cell ranges registered using U.UNLOCK_CELLS will remain unlocked or unhidden so that they are editable/viewable when the workbook is protected.
U.PROTECT_WORKBOOK and U.UNLOCK_CELLS work together to simplify, and therefore encourage the use of, workbook-level protection. Many Excel errors result from users accidentally overwriting values/equations or hard-coding a value to test a scenario and then forgetting about it.</t>
        </r>
      </text>
    </comment>
    <comment ref="E117" authorId="0" shapeId="0" xr:uid="{00000000-0006-0000-3400-000007000000}">
      <text>
        <r>
          <rPr>
            <b/>
            <sz val="9"/>
            <color indexed="81"/>
            <rFont val="Tahoma"/>
            <family val="2"/>
          </rPr>
          <t>U.UNLOCK_CELLS registers cells/charts/images to remain unlocked when the workbook is protected using U.PROTECT_WORKBOOK. In this example, the 2 input fields to the left will remain editable when the workbook is locked using U.PROTECT_WORKBOOK, but other cells would be locked and not editable by a user.
Multiple ranges of cells can be selected in a single call to U.UNLOCK_CELLS by passing them all in the first parameter separated by commas and surrounded by parentheses ...or by using U.RANGE_REF. There is no limit to how many U.UNLOCK_CELLS calls can be in a workbook. When an U.UNLOCK_CELLS method call is deleted, its registration is automatically removed and the ranges will again be locked by default when the workbook is protected using U.PROTECT_WORKBOOK.</t>
        </r>
      </text>
    </comment>
    <comment ref="E124" authorId="0" shapeId="0" xr:uid="{00000000-0006-0000-3400-000008000000}">
      <text>
        <r>
          <rPr>
            <b/>
            <sz val="9"/>
            <color indexed="81"/>
            <rFont val="Tahoma"/>
            <family val="2"/>
          </rPr>
          <t xml:space="preserve">If you want some cells to be locked for editing, but you still want users to be able to see the equations they contain when the workbook is locked, then set the optional 2nd parameter to TRUE. In this example the input fields would still be fully editable. Users will be able to see the equation that sums them in Excel's formula bar when the workbook is locked using U.PROTECT_WORKBOOK, but they will not be able to edit the equation. By default, any images/charts in the range are not unlocked; to have images/charts in the range also unlocked, provide a 2nd column value in the 2nd parameter and set its value to TRUE.
</t>
        </r>
      </text>
    </comment>
    <comment ref="E129" authorId="0" shapeId="0" xr:uid="{00000000-0006-0000-3400-000009000000}">
      <text>
        <r>
          <rPr>
            <b/>
            <sz val="9"/>
            <color indexed="81"/>
            <rFont val="Tahoma"/>
            <family val="2"/>
          </rPr>
          <t>By default the cell settings are not applied until U.PROTECT_WORKBOOK(TRUE) is called. When that call is made, all cells in the workbook are locked and hidden, and then cells registered using U.UNLOCK_CELLS are immediately unlocked and unhidden ...or just unhidden... accordingly. This is to prevent Excel from constantly and needlessly attempting to apply cell setting updates in a way that hurts performance, as the lock and hide cell settings are only meaningful once the workbook is protected. Because of this, calls to U.UNLOCK_CELLS will not be reflected if Excel is protected using the buttons in the ribbon UI or VBA. To have the Lock and Hide attributes applied immediately to the cells, set the 3rd optional parameter of U.UNLOCK_CELLS to TRUE -- then the cell settings will be in place even when the workbook is protected via other means.
Use of U.PROTECT_WORKBOOK is encouraged for protecting a workbook because it will explicitly lock and hide every cell in the workbook except those registered via U.UNLOCK_CELLS. So it prevents some cells from unintentionally remaining unlocked when the workbook is protected. The U.UNLOCK_CELLS method is intended to be left in a sheet -- that has the benefit of making the protection status of cells much more explicit, thereby helping prevent errors in cell configuration.
Note: if the workbook uses U methods that paste values into cells, such as U.PASTE or U.TWO_WAY_DATA, then it's important that those target ranges into which values will be pasted are registered using U.UNLOCK_CELLS. If the cells are locked for editing, then U methods will not be able to paste updates into them when the workbook is protected.</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B14" authorId="0" shapeId="0" xr:uid="{00000000-0006-0000-3500-000001000000}">
      <text>
        <r>
          <rPr>
            <b/>
            <sz val="9"/>
            <color indexed="81"/>
            <rFont val="Tahoma"/>
            <family val="2"/>
          </rPr>
          <t>The special metadata key "U.REPORT_SECRET" can be used to restrict access to a report. When a report is published with this metadata key, viewers cannot access the report unless the access request includes the U.REPORT_SECRET metadata key with a value that matches the secret set on the published report. Methods that access reports are U.SUBSCRIBE, U.GET and U.GET_METADATA.</t>
        </r>
      </text>
    </comment>
    <comment ref="H15" authorId="0" shapeId="0" xr:uid="{00000000-0006-0000-3500-000002000000}">
      <text>
        <r>
          <rPr>
            <b/>
            <sz val="9"/>
            <color indexed="81"/>
            <rFont val="Tahoma"/>
            <family val="2"/>
          </rPr>
          <t>All metadata secrets are always encrypted when sent to the server, and they are never included in metadata returned for the report by the server.
U also supports Identity-based security, allowing view and publish rights to be set for groups of users (Active Directory groups or custom groups) and individuals. Identity-based security can be configured in the UWeb App.</t>
        </r>
      </text>
    </comment>
    <comment ref="F27" authorId="0" shapeId="0" xr:uid="{00000000-0006-0000-3500-000003000000}">
      <text>
        <r>
          <rPr>
            <b/>
            <sz val="9"/>
            <color indexed="81"/>
            <rFont val="Tahoma"/>
            <family val="2"/>
          </rPr>
          <t>The methods U.SUBSCRIBE, U.GET and U.GET_METADATA all allow metadata to be attached. The metadata on these calls is not persisted with any report, but it enables basic authorization (and other functionality).
In this example, the U.REPORT_SECRET metadata key is attached to the U.SUBSCRIBE call. Because its value ("mysecret") matches the value that the publisher had attached to the report, the U.SUBSCRIBE call succeeds.
It is not strictly necessary to attach the report secret metadata to U.GET if it is already attached to U.SUBSCRIBE, but doing so is recommended to avoid "first GET failed" errors (if the secret is only on U.SUBSCRIBE, then U.GET cannot show the report until it has been received by U.SUBSCRIBE...so not until a new report is published after U.SUBSCRIBE was called). The same holds true for U.GET_METADATA.</t>
        </r>
      </text>
    </comment>
    <comment ref="B52" authorId="0" shapeId="0" xr:uid="{00000000-0006-0000-3500-000004000000}">
      <text>
        <r>
          <rPr>
            <b/>
            <sz val="9"/>
            <color indexed="81"/>
            <rFont val="Tahoma"/>
            <family val="2"/>
          </rPr>
          <t>In many cases users may want to have a single report whose secret acts as the secret for many reports. For example perhaps one wants all reports in a report group to be accessible by the same secret, but there are many reports and maintaining that secret for each report individually would be tedious and error prone (the server will automatically check the "base" report of dated snapshots for a secret, so no need to specify a base report as a secret source in snapshots).
This behavior is achieved by attaching the special "U.REPORT_SECRET_SOURCE" metadata key to  a report when publishing it. The value of U.REPORT_SECRET_SOURCE must be the fully qualified topic of another report whose U.REPORT_SECRET metadata will be referenced when accessing the report.
In this example, the value of U.REPORT_SECRET in the UPTICK/DESK3/PNL report ("mysecret") will be treated as the secret for these two additional Desk3 reports (the "MoreData" and "StillMoreData" reports). If the secret is changed in the UPTICK/DESK3/PNL report, that change will also impact access to these other two reports because they reference UPTICK/DESK3/PNL for the applicable secret.
This has no impact on how reports are requested by U.SUBSCRIBE, U.GET or U.GET_METADATA: those calls still must include U.REPORT_SECRET as before. But the secret they provide in their metadata will be validated against the secret in the referenced "source" report, not the report being directly requested.
A report should really only contain either the metadata key U.REPORT_SECRET or U.REPORT_SECRET_SOURCE. If a report contains both, validation will be against only the value of U.REPORT_SECRET provided it has any non-blank value.</t>
        </r>
      </text>
    </comment>
    <comment ref="C57" authorId="0" shapeId="0" xr:uid="{00000000-0006-0000-3500-000005000000}">
      <text>
        <r>
          <rPr>
            <b/>
            <sz val="9"/>
            <color indexed="81"/>
            <rFont val="Tahoma"/>
            <family val="2"/>
          </rPr>
          <t>To correctly construct the fully qualified topic for use as a value in U.REPORT_SECRET_SOURCE (or U.REPORT_PUB_SECRET SOURCE as described below) one can call U.TOPIC with the relevant report group and report name.</t>
        </r>
      </text>
    </comment>
    <comment ref="F68" authorId="0" shapeId="0" xr:uid="{00000000-0006-0000-3500-000006000000}">
      <text>
        <r>
          <rPr>
            <b/>
            <sz val="9"/>
            <color indexed="81"/>
            <rFont val="Tahoma"/>
            <family val="2"/>
          </rPr>
          <t>To simplify the process of attaching authorization metadata, U provides the method U.SECRET. This can be used to attach a secret or secret source with the proper metadata key. If the value provided looks like a fully qualified U topic, then it is assumed to be a reference to another report and the metadata key U.REPORT_SECRET_SOURCE is applied; otherwise U.REPORT_SECRET is applied.
U.SECRET takes an optional 2nd parameter that can reference a 2-column array of still more user-defined metadata that a user may want to attach in addition to authorization-related metadata.</t>
        </r>
      </text>
    </comment>
    <comment ref="C82" authorId="0" shapeId="0" xr:uid="{00000000-0006-0000-3500-000007000000}">
      <text>
        <r>
          <rPr>
            <b/>
            <sz val="9"/>
            <color indexed="81"/>
            <rFont val="Tahoma"/>
            <family val="2"/>
          </rPr>
          <t>Restricting report publishing is just like restricting report viewing, except the relevant metadata key is U.REPORT_PUB_SECRET (instead of U.REPORT_SECRET). Once a report is published with this special metadata key, subsequent attempts to publish the report must also contain the U.REPORT_PUB_SECRET metadata key with a value matching the one already attached to the report.
Note that this means a 2nd special metadata key is needed to facilitate changing the publish secret: trying to publish the report with only a new secret would fail (since it doesn't match the existing secret). For this reason the additional key U.REPORT_PUB_SECRET_PRIOR exists. When changing the secret, set the value of U.REPORT_PUB_SECRET_PRIOR to be the current (old) secret and set U.REPORT_PUB_SECRET to be the new secret. This is only required for a single publish, at which point the new publish secret will have been set.
As with view permissions, one can have the report reference a publish secret in another report ...by attaching U.REPORT_PUB_SECRET_SOURCE... and again there is a helper method to simplify the application of this metadata: U.PUB_SECRET. In U.PUB_SECRET the 2nd parameter is optional and, if set, will generate the U.REPORT_PUB_SECRET_PRIOR metadata. The 3rd parameter can reference any additional user-defined metadata the user wishes to attach. I show usage of these helper methods to the left, though they might normally be nested within an U.PUBLISH call.
Restricting publishing does not impact view permissions, and vice-versa. If a user wishes to restrict both who can view a report and who can publish a report, then both U.REPORT_SECRET (or U.REPORT_SECRET_SOURCE) and U.REPORT_PUB_SECRET (or U.REPORT_PUB_SECRET_SOURCE) metadata keys must be attached to the report.</t>
        </r>
      </text>
    </comment>
    <comment ref="F103" authorId="0" shapeId="0" xr:uid="{00000000-0006-0000-3500-000008000000}">
      <text>
        <r>
          <rPr>
            <b/>
            <sz val="9"/>
            <color indexed="81"/>
            <rFont val="Tahoma"/>
            <family val="2"/>
          </rPr>
          <t>U.ENCRYPT can be used to encrypt any data using a custom password, allowing sensitive data to be placed in a sheet much more securely ...that is, where the encrypted data is pasted as values, and a user of the sheet must enter the correct password to decrypt it. (The password should not be left anywhere in the sheet, as that would defeat the point of encrypting the data in the first place.)
By default cells containing blanks or Excel errors are not encrypted. To encrypt blank cells provide the password as 2 columns and set the value of the 2nd cell to TRUE. To encrypt Excel errors pass it as 3 columns and set the value of the 3rd cell to TRUE.</t>
        </r>
      </text>
    </comment>
    <comment ref="E111" authorId="0" shapeId="0" xr:uid="{00000000-0006-0000-3500-000009000000}">
      <text>
        <r>
          <rPr>
            <b/>
            <sz val="9"/>
            <color indexed="81"/>
            <rFont val="Tahoma"/>
            <family val="2"/>
          </rPr>
          <t>If the password is set to the special value "machineuser()" then a secret password specific to the current user running on the current machine is used to encrypt the data. The encrypted "Top Secret Code" to in this example was encrypted with the password set to "machineuser()" -- if this equation is commented out, it will only decrypt for the user who created this example on the machine where it was created. When used this way, it is best to nest the method into another method where it is needed in a way that does not display the decrypted value (to ensure the decrypted value is not saved in the workbook file).</t>
        </r>
      </text>
    </comment>
    <comment ref="F116" authorId="0" shapeId="0" xr:uid="{00000000-0006-0000-3500-00000A000000}">
      <text>
        <r>
          <rPr>
            <b/>
            <sz val="9"/>
            <color indexed="81"/>
            <rFont val="Tahoma"/>
            <family val="2"/>
          </rPr>
          <t>U.ENCRYPT will recognize when the intent is to decrypt the range, and if the provided password is correct then the decrypted values will be returned.</t>
        </r>
      </text>
    </comment>
    <comment ref="F127" authorId="0" shapeId="0" xr:uid="{00000000-0006-0000-3500-00000B000000}">
      <text>
        <r>
          <rPr>
            <b/>
            <sz val="9"/>
            <color indexed="81"/>
            <rFont val="Tahoma"/>
            <family val="2"/>
          </rPr>
          <t>Note: the best option for encrypting data via transmission is to configure use of TLS (Transport Layer Security), which is supported by the Runline HubServer. If TLS is not the default setting for your firm, enabling it is as simple as changing a single setting in an U Add-In config file. When enabled, all communication between Excel and the Runline HubServer is encrypted. Contact you IT department for help or email help@uptick.tech with questions.
To ensure that the report is encrypted during transmission in cases where TLS is not configured, either publish data encrypted in the sheet as shown above or use the U.ENCRYPT in "metadata helper" mode (that is, without a password) to generate metadata that will prompt the U Add-In to encrypt data content before sending it.
As with other security helper methods above, U.ENCRYPT can optionally take additional user-defined metadata entries as a parameter.
Note that data is always encrypted when written to disk by the U server whether or not this method is used to encrypt data during transmission.
Caveat: if the report is to be consumed by an application that is integrated to U via a programmatic API, note that the application will not be able to decrypt encrypted data in order to consume it (TLS is always supported by APIs, which is another reason to make that your first choice for data encryption).</t>
        </r>
      </text>
    </comment>
    <comment ref="C131" authorId="0" shapeId="0" xr:uid="{00000000-0006-0000-3500-00000C000000}">
      <text>
        <r>
          <rPr>
            <b/>
            <sz val="9"/>
            <color indexed="81"/>
            <rFont val="Tahoma"/>
            <family val="2"/>
          </rPr>
          <t>Here is the metadata entry generated by the U.ENCRYPT method used in "metadata helper" mode.</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E5" authorId="0" shapeId="0" xr:uid="{3E3EBF83-A621-412F-BA01-70E566820E7A}">
      <text>
        <r>
          <rPr>
            <b/>
            <sz val="9"/>
            <color indexed="81"/>
            <rFont val="Tahoma"/>
            <family val="2"/>
          </rPr>
          <t>U.COMPILE creates a user-defined function written in C# or Python that can be called with U.INVOKE, U.INVOKE_AS_MACRO or U.INVOKE_ASYNC and from other U methods that support invocation. All features described are supported in both languages; Python-specific information is at the bottom of this worksheet. This feature can be globally disabled by a firm, or can be enabled but with restrictions that limit the capabilities of compiled functions.
The first parameter is the name of the function, which must be a valid function name in C#.
The 2nd parameter is the actual code. Only the code that implements the function should be provided, not the function declaration. The code must be valid C#, though U.COMPILE will make the following very minor tweaks: (a) if the final character is not a semicolon or closing curly bracket, a semicolon will be appended; (b) if the code is a single expression and does not contain the keyword "return" then "return " will be prepended (unless the method has a setting indicating it does not return a value). So in this example the code could optionally be shortened to "y &lt; x ? x : (y &gt; z ? z : y)" (no "return" or semicolon). If the 2nd parameter is set to "CLEAR" then the specified function will be removed if it exists. If the 1st parameter is set to "CLEAR" and the 2nd parameter is set to TRUE, then all compiled functions will be removed.
The optional 3rd parameter is the list of function parameters in order (if the function takes parameters). In this example, a function named "Clamp" is defined that takes 3 numbers and returns the first number bounded by the last two numbers. Here the type of double is explicitly specified, but optionally only a single column could be provided since a type of double is assumed if not specified.
The optional 4th parameter is a list of namespaces to import, either in distinct cells or as a comma-delimited list. These are what would appear after the "using" keyword at the top of a C# code file. Including the keyword "using" is supported but not necessary, so for example if the C# code wanted to use the .NET Stopwatch class then "System.Diagnostics" could be specified instead "using System.Diagnostics". Aliases are support by providing an equal sign (eg: diag = System.Diagnostics). The following imports are always included so do not need to be specified:
  System
  System.Linq
  System.Text
  System.Collections
  System.Collections.Generic
  System.Collections.Concurrent
  System.Threading
  System.Threading.Tasks
  Microsoft.CSharp.RuntimeBinder
  Microsoft.Office.Interop.Excel (*imported only if Excel object model referenced by user code)
The optional 5th parameter is a list of references to be added. These could be known system dlls (e.g. System.IO.Compression.dll) or could be the full path to a custom or 3rd-party library. If the path is a Web or FTP address, the method will attempt to copy the file locally to enable compilation. If a full path is provided and a closing angle bracket (&gt;) is used in place of a path delimiter, then in the code's build directory the directory structure below that point will be preserved. A reference prefixed with "[resource]" will be treated as a file to simply be copied to the build directory. If a proprietary or 3rd-party code library depends on other proprietary or 3rd-party code libraries, an attempt will be made to automatically discover those lower-level dependencies ...but if an exception related to a dependency not being found is observed, it can be resolved by referencing those dependencies explicitly. If debug (.pdb) files are referenced, they will be included locally and in distributions. The following references are always included so do not need to be specified:
  System.dll
  System.Core.dll
  Microsoft.CSharp.dll
  Microsoft.Office.Interop.Excel.dll  (*referenced only if Excel object model referenced by user code)
The optional 6th parameter is a list of compiler options to be passed as command line arguments to the C# compiler. Information about available C# compiler options can be found online. The options /langversion:5 and /optimize are set by default and will be added to any user-provided options unless the user explicitly sets these. It is fine but not necessary to precede options with a forward slash or hyphen.
Additional settings that impact the way the method is configured and invoked can be passed in the optional 7th parameter. The following settings are recognized:
  AsyncOnly -- if specified, the function can be invoked only by U.INVOKE_ASYNC, not by U.INVOKE or U.INVOKE_AS_MACRO
  LongRunning -- specify if defining a function that is expected to run for a long time or indefinitely in the background
  NoReturnValue -- specify if the function does not directly return any value
  ArrayReturnValue -- specify when the intent is to return a range of values asynchronously
  DoNotQueue -- if specified, then asynchronous calculations will not be queued if one previously triggered by the caller is still running
  MaxConcurrent=&lt;number&gt; -- the maximum number of calls to the function that can be running concurrently (default is unlimited)
  HasForms -- specify if the function will display any custom user-interfaces (is automatically set if System.Windows.Forms namespace included as an import)
  WarningsAsErrors -- if specified, compiler warnings will be treated as errors that cause the compilation to fail
  ShowFullError -- if specified, any compiler errors will be shown in full (by default only the first 255 characters of an error message are returned)
  Register -- if specified, the function will be registered with Excel and can be called directly like any other Excel method; not needed if RegisterAsync specified
  RegisterAsync -- if specified, the function registered with Excel will calculate asynchronously; not needed if Register and AsyncOnly are both already specified
  AddConfigParam -- if specified, registered functions will contain an optional final parameter that takes an invoke config as supported by U.INVOKE
  xlName=&lt;name&gt; -- if specified, this name will be used for Excel registration instead of the actual function name
  xlDescription=&lt;description&gt; -- if specified, this description will be displayed wherever Excel displays function descriptions
  x86 -- if specified and x64 not specified, 64-bit versions of Excel will not attempt to use the function
  x64 -- if specified and x86 not specified, 32-bit versions of Excel will not attempt to use the function
U.COMPILE returns a message that indicates the status of the compilation and the time last compiled. If there is a compilation error, the error is returned.</t>
        </r>
      </text>
    </comment>
    <comment ref="E16" authorId="0" shapeId="0" xr:uid="{EA57CC83-AE94-48F5-B342-93BA3EC960D7}">
      <text>
        <r>
          <rPr>
            <b/>
            <sz val="9"/>
            <color indexed="81"/>
            <rFont val="Tahoma"/>
            <family val="2"/>
          </rPr>
          <t>U.INVOKE calls methods created using U.COMPILE. The 1st parameter is the method name, and then up to 20 arguments can be provided. Here is a call to the Clamp method compiled above. More detail about U.INVOKE is available below.</t>
        </r>
      </text>
    </comment>
    <comment ref="B20" authorId="0" shapeId="0" xr:uid="{ECCEA2FF-3E53-435C-8694-D6C15C9BBF99}">
      <text>
        <r>
          <rPr>
            <b/>
            <sz val="9"/>
            <color indexed="81"/>
            <rFont val="Tahoma"/>
            <family val="2"/>
          </rPr>
          <t>These tables indicate the types and structures that can be used for parameters and return values. Any structure can be combined with any type ...for example, a function could receive parameters of type bool[] and int?[,] and return a value of double[]. When no type is specified, parameters are assumed to be double values.
If the user code works with other types or structures (e.g. DataFrames) and the result should be viewable in Excel, the code must convert the result into a supported type and structure and return that converted value.
Values provided as function arguments will be coerced into the proper type and structure where possible, and returned values will be coerced into a form suitable for display in Excel ...unless the function is called from another user function, in which case the value are returned untouched (so could be anything, not just these supported types and structures).
3-dimensional jagged arrays can be passed as a parameter from Excel by selecting multiple ranges surrounded by parentheses: each range selected will be a jagged array ([][]) within the structure in the order selected. If an input to a function will be a valid U topic or cache key that refers to a multi-page report and the code should receive every page, then the parameter should be declared as object[][][].
When a string parameter is passed a user-defined function, it by default it will resolve to the cached value if that parameter looks like a topic, cache key or clickval. In cases where that may be unintended, surround the parameter with "string(...)." For example, to prevent a parameter named "data" from resolving to some cache that may exist under that name, pass the parameter as string(data).</t>
        </r>
      </text>
    </comment>
    <comment ref="G52" authorId="0" shapeId="0" xr:uid="{2028FBA4-19DA-4362-9C8B-18D98F3AD7D9}">
      <text>
        <r>
          <rPr>
            <b/>
            <sz val="9"/>
            <color indexed="81"/>
            <rFont val="Tahoma"/>
            <family val="2"/>
          </rPr>
          <t>Here a simple implementation of the Black-Scholes option pricing model is shown and illustrates how user functions can call other user functions. The implementation depends on the CND function compiled below. As shown to the left, there are 2 ways to call other user-defined functions: with U.INVOKE("&lt;name&gt;", &lt;args&gt;) or by just prefixing the function name directly with "U." (U.CND in this example). Although C# is a case-sensitive language, the function names that call other user-defined are not case sensitive ...so, for example, "u.cnd" would work as well as "U.CND".
The parameters in this example are 3-columns wide -- if a value is provided as a 3rd value it is the default value for that parameter (unless a special "xl" setting as described below). Here the default option type is "Call" and there is no default for the other parameters. To make a null value or an empty string the default, explicitly use the words "null" or "empty" respectively (to make the actual word "null" a default value, escape it with a backslash: "\null"; ditto for empty). A default can be an array of values ([]) by including more columns filled with additional values. This example also shows how multiple parameters can be specified on a single line by separating the names with commas. In this example parameters S, X, T, r and v are all numeric inputs.
As seen to the left, C-style comments can be included within the code.</t>
        </r>
      </text>
    </comment>
    <comment ref="H63" authorId="0" shapeId="0" xr:uid="{44657CC2-8754-4405-8483-BB1C80334C02}">
      <text>
        <r>
          <rPr>
            <b/>
            <sz val="9"/>
            <color indexed="81"/>
            <rFont val="Tahoma"/>
            <family val="2"/>
          </rPr>
          <t>Option values can be computed by invoking the BS function.</t>
        </r>
      </text>
    </comment>
    <comment ref="H65" authorId="0" shapeId="0" xr:uid="{10F6E55E-B3F8-4D97-9C6B-61789065E490}">
      <text>
        <r>
          <rPr>
            <b/>
            <sz val="9"/>
            <color indexed="81"/>
            <rFont val="Tahoma"/>
            <family val="2"/>
          </rPr>
          <t>The option type was set as optional so could be omitted</t>
        </r>
      </text>
    </comment>
    <comment ref="H66" authorId="0" shapeId="0" xr:uid="{BB1C5AD2-B493-449F-9305-7E11AC7A6F0A}">
      <text>
        <r>
          <rPr>
            <b/>
            <sz val="9"/>
            <color indexed="81"/>
            <rFont val="Tahoma"/>
            <family val="2"/>
          </rPr>
          <t>Other parameters are not optional so an error if one not provided</t>
        </r>
      </text>
    </comment>
    <comment ref="G70" authorId="0" shapeId="0" xr:uid="{C243E853-07D4-451C-BF04-64CF6E459047}">
      <text>
        <r>
          <rPr>
            <b/>
            <sz val="9"/>
            <color indexed="81"/>
            <rFont val="Tahoma"/>
            <family val="2"/>
          </rPr>
          <t>Here is an implementation of a cumulative normal distribution called by the Black-Scholes function above.
Calling CND could also be done directly from the workbook using U.INVOKE.
The CND function only takes a single double value, so its argument would be passed by value. When one function calls another, reference types are passed by ref (so, for example, if an array of values is passed to a function and that function changes a value in the array it will also be changed in the array sent by the caller). However if the reference type needs to be coerced, then the receiving function will not have a reference to the same object passed by the caller.</t>
        </r>
      </text>
    </comment>
    <comment ref="G90" authorId="0" shapeId="0" xr:uid="{CA1522C2-D726-4AE5-B1BD-1748F5C4621E}">
      <text>
        <r>
          <rPr>
            <b/>
            <sz val="9"/>
            <color indexed="81"/>
            <rFont val="Tahoma"/>
            <family val="2"/>
          </rPr>
          <t>A function can optionally be registered with Excel so that appears explicitly like any other Excel method. To register a method, provide "register" as a setting or provide a name and/or description for the function and/or at least 1 parameter. In this example the inclusion of "register" is technically not needed since a function name and description are provided and also because Excel names and descriptions are provided for the parameters. If a function name contains a period (e.g. MYFUNC.VALUE(...)) it will also automatically be registered.
Here a method called OPT_VAL is registered with Excel because xlName is provided with OPT_VAL as its value. All this method does is call the BS method above (this is just for illustration; in practice there wouldn't need to be two different methods since the BS method above could have been registered directly). An xlDescription setting is provided, so that description will appear in the Excel Function Arguments dialog box and the IntelliSense popup when entering the function into a cell. If no xlName setting had been provided for the function, it would have been registered using the name OPTION_VALUE. (There are a couple reasons why one may want to register the method in Excel with a different name than the one it is compiled with. For example, Excel names support some characters that are not supported in C# method names.)
This example also shows how names and descriptions can optionally be applied to parameters by including xlName/xlDescription settings in the 3rd and/or 4th columns of the parameters range. When this is done, columns containing default values should be to the right of these settings (on a row-by-row basis, so if only a single parameter has an xlName setting then its default value will be in a different column than the defaults of other parameters in the range).
In this example, the registered method again makes the option type optional by setting "Call" as the default value. It has made this the final parameter, though, since it's a convention and best practice to place optional parameters after required ones.
Note that the code works even though the "return" keyword and final semicolon are missing and the casing of the U.BS method name is not correct.</t>
        </r>
      </text>
    </comment>
    <comment ref="I101" authorId="0" shapeId="0" xr:uid="{F4A3E807-F89B-4E9A-B8B7-8D0817A6E04E}">
      <text>
        <r>
          <rPr>
            <b/>
            <sz val="9"/>
            <color indexed="81"/>
            <rFont val="Tahoma"/>
            <family val="2"/>
          </rPr>
          <t>Here is the method being called using the registered name. In Excel's Function Arguments dialog box and IntelliSense, the final Call_Put parameter will appear in square brackets ([Call_Put]) to indicate that it is optional.</t>
        </r>
      </text>
    </comment>
    <comment ref="F112" authorId="0" shapeId="0" xr:uid="{33C978A6-2016-4CA8-8AE5-8444BC3E5AA8}">
      <text>
        <r>
          <rPr>
            <b/>
            <sz val="9"/>
            <color indexed="81"/>
            <rFont val="Tahoma"/>
            <family val="2"/>
          </rPr>
          <t>Here's an example that uses the .NET Stopwatch class in System.Diagnostics to return and accurate timing of a calculation. The function simply sums the numbers in a couple of ranges many times and returns the grand total and the time to calc in millis.
This example takes a parameter of type int[][][], so calls will fail if the user attempts to provide a value that is not an integer -- to see, try making one of the input values 2.5 or "a" or another non-integer value. The input could have instead been double[][][] and then it would accept non-integer numbers.
Note that this example also uses Excel's SUM function by calling xl.sum(&lt;value&gt;). All of Excel's analytic functions are available in the same way: prefix the Excel function name with "xl." and provide any parameters. In the BS function above, Excel's native NORM.S.DIST function could have been used ...as xl.Norm.S.Dist(d1, true)... instead of the custom CND function.
The message returned by this example is also logged to the standard U log file by calling U.Log(&lt;message&gt;). Most U methods are available to be called this way, though note that since they are designed to return values to a range of cells their return values are always type object[,].
Lastly, before returning it places the result into a global cache under the key "sum_time" by using U.SetGlobal("sum_time", msg). This cache is distinct from the cache used by U.CACHE and intended for use only by user functions. Any data type can be placed into the cache, and it will remain there until the user updates it by setting a new value for the specified key (or removes the cache entry by explicitly providing a value of null for the key). The keys of this special cache are not case-sensitive. A note about a corner case: if using U.CACHE in custom code and allowing the user to provide the cache key as parameter, the user must provide the parameter as "string(&lt;key&gt;)" ...that is, embed the parameter with "string(...)" ...otherwise the cache key will be resolved to the value in the cache on subsequent calls.
U add-in functions are designed to return values to Excel as a 2-dimensional array ([,]). If calling an add-in function from custom code and using the result, that result may need to be converted as necessary for consumption. For example, since a scalar result can be returned as [,] the user code may need to access the result as x[0,0] instead of just x in order to consume as desired.</t>
        </r>
      </text>
    </comment>
    <comment ref="E138" authorId="0" shapeId="0" xr:uid="{9F1A8F7F-B13F-46C1-899C-24FA33D084BB}">
      <text>
        <r>
          <rPr>
            <b/>
            <sz val="9"/>
            <color indexed="81"/>
            <rFont val="Tahoma"/>
            <family val="2"/>
          </rPr>
          <t>Here is a method that just returns the value of "sum_time" from the global cache by using U.GetGlobal(&lt;key&gt;). It will be blank until the method above is calculated and sets a value in the cache for the key "sum_time". Force a recalc of the DoStuff method above by changing any value, then manually recalc the Invoke method to the left and see that it returns the value that was cached.
When retrieving data from the global cache, a staleness check in seconds can be included with the key by appending an open angle bracket followed by a number of seconds (e.g. "&lt; 30" ...spaces are ignored). If the key provided to U.GetGlobal were key + "&lt; 30" then if the value cached for the key was set more than 30 seconds prior null would be returned instead of the cached value. The value would remain in the cache, so different callers can have different views of what is "stale" data. If for any reason one wishes to use a key that ends in the pattern "&lt;"+ number but does not want it to be treated as a staleness check, then escape the angle bracket with a backslash when calling U.GetGlobal (e.g. \&lt;30).</t>
        </r>
      </text>
    </comment>
    <comment ref="E149" authorId="0" shapeId="0" xr:uid="{E501720A-C34B-432F-9315-623F4A228F4F}">
      <text>
        <r>
          <rPr>
            <b/>
            <sz val="9"/>
            <color indexed="81"/>
            <rFont val="Tahoma"/>
            <family val="2"/>
          </rPr>
          <t>This is a method that just takes a long time to return the input value multiplied by 10. It is compiled here to illustrate inclusion of a timeout in the U.INVOKE call below.
As seen here, the lines of the code can optionally be placed in a column vector. They will be joined with a newline between them before the code is compiled.</t>
        </r>
      </text>
    </comment>
    <comment ref="E155" authorId="0" shapeId="0" xr:uid="{1F6AB95A-553A-46DF-9086-81BBF23C7796}">
      <text>
        <r>
          <rPr>
            <b/>
            <sz val="9"/>
            <color indexed="81"/>
            <rFont val="Tahoma"/>
            <family val="2"/>
          </rPr>
          <t>Arguments passed to U.INVOKE (and U.INVOKE_AS_MACRO and U.INVOKE_ASYNC) work just like arguments passed to other U methods: if the value is a valid topic or cache key, the associated data is what will be provided to the method. In all cases, an attempt is made to coerce the data into the type and structure specified for the parameter when the function was compiled. If any argument passed to U.INVOKE is a read-once cache key, the value returned by the function will be placed in the read-once cache and the associated read-once cache key will be returned.
U.INVOKE supports a multiple configuration options. The option can be set by making the first argument a "config(&lt;options&gt;)" value, where options are comma-delimited and in the form of "option[=value]". In this example, a timeout of 0.8 seconds is provided as an option -- if this is reduced to a lower value the function being called may timeout (try changing it to 0.2 and see). The "permissive" option is also provided, which allows the parameter to be passed even if it cannot be converted to the specified type. The type of "x" is double (number) since none is specified. If a value of "a" or some other non-numeric value is provided, that would normally cause an error. But since permissive is set, it will pass the default value of a double (0.0) when it cannot convert the input. Try changing the value of x to "abc" and see that the function returns 0.
Some options are really only relevant when calling a function asynchronously. Also some options do not require a value. The "permissive" flag does not actually require a value -- if it is present, it will set permissive to TRUE unless it explicitly has a value of False. So in this example the config could be shortened to "config(TimeoutInSeconds=.8, Permissive)".
See the table below and to the left for all available invoke options. These options also apply to methods registered with Excel.</t>
        </r>
      </text>
    </comment>
    <comment ref="E173" authorId="0" shapeId="0" xr:uid="{51F1AC69-1E02-4746-AE0B-CF70892A1F57}">
      <text>
        <r>
          <rPr>
            <b/>
            <sz val="9"/>
            <color indexed="81"/>
            <rFont val="Tahoma"/>
            <family val="2"/>
          </rPr>
          <t>If the first parameter to U.INVOKE is a report that contains compiled functions …either by their name or registered name… or native Excel functions as they would be stated in code, then a report will be returned where each field containing a function is replaced with the result of the function invocation. In this way, columns with complex logic can be appended to reports and evaluated all without ever actually displaying the report data in Excel, often resulting in truly massive efficiencies (here the input and result are rendered in cells for illustration).
In the example to the left, a "Value" column contains a reference to the BS function compiled above. The column contains the function only once, and by default the result would normally only calculate and change those fields ...but the special FillFunctions config setting is provided in the invocation, which causes the function to be copied to the empty cells below (and to the right, thought that does not apply in this example) before the functions in the report are evaluated (the logic used to fill the functions is identical to U.FILL_LABELS configured to copy functions in the data section of a report). Notice that, as a result, the report returned by U.INVOKE has those functions replaced with the result of their invocations.
Note how the parameters to the BS function are just column labels. By default the parameters are assumed to be column names or numbers, and the value passed to the function is the value of that column in the same row as the function call. If a parameter does not appear to be a valid column indicator it will be passed as is, though to avoid ambiguity it could be wrapped in a "val()" function (e.g. one may wish to hardcode an option expiry time of one year as 1 ...but that would be interpreted as column #1; that could be avoided by having "val(1)" in the function to ensure the 1 is what is passed as the function parameter instead of the value from the 1st column in the row). When passing parameters to Excel functions one may wish to ensure values are parsed -- that is achieved by using val() and passing a 2nd parameter of TRUE (e.g. a function parameter of "val(3.5, TRUE)" to pass the number 3.5 instead of the string "3.5").
In the lower example (below the dark gray line) notice how there is a different equation in each of the 1st two Value column rows. The first is the opt_val() equation just to show that registered names can also be used, with its parameters as (mostly) column numbers instead of column names again just to show both are supported. The second equation is also the bs function, but this time the parameters are enclosed in a col(), row() or rowcol() function. These work as follows (in all cases the indicators can be either labels or row/column numbers, and if blank will refer to the row/column containing the function):
  col(&lt;column indicator&gt;, [&lt;row offset&gt;]) - pulls val from specified column of either the calling row or, if a row offset is provided, from a row offset from the calling row by the amount specified
  row(&lt;row indicator&gt;, [&lt;column offset&gt;]) - pulls val from specified row of either the calling column or, if a column offset is provided, from a column offset from the calling column by the amount specified
  rowcol(&lt;row indicator&gt;, &lt;column indicator&gt;) - pulls a val from the cell located at the specified row and column
If one of these three functions is used for any parameter, then any/all parameters that do *not* use one of these functions will be treated as values to be passed along as is (that is, they will not be treated as column labels or numbers ...so when using these functions on any single parameter, they are generally used for all parameters except when the intent is to pass a hard-coded value).
In the lower example, there is a far right "Type Upper" column that illustrates how native Excel functions can be included in invokable reports. The function just trivially uses Excel's UPPER function to return the option type in all upper-case. Because an Excel function is used, the invocation must be done using a special Excel "macro context" to avoid Excel errors -- for that reason, U.INVOKE_AS_MACRO is used instead of U.INVOKE so that the proper execution context is present. If a macro context is required and U.INVOKE is used, a message will be returned prompting the user to use U.INVOKE_AS_MACRO instead.
Note how in the lower example some functions are dependent on the result of other invocations within the same report. Such dependencies will be automatically detected and computed in the correct order. If circular dependencies are detected then calculation of the report will fail. Calculation will also fail if the report contains any function that included the LongRunning setting when compiled.</t>
        </r>
      </text>
    </comment>
    <comment ref="E183" authorId="0" shapeId="0" xr:uid="{3966FC37-839C-4BA9-BD19-0329D5279710}">
      <text>
        <r>
          <rPr>
            <b/>
            <sz val="9"/>
            <color indexed="81"/>
            <rFont val="Tahoma"/>
            <family val="2"/>
          </rPr>
          <t>Here is the BS equation using mostly column numbers instead of labels. Immediately below is a version of the equation that uses row(), col() and rowcol() indicators to pull values from other parts of the report.</t>
        </r>
      </text>
    </comment>
    <comment ref="G215" authorId="0" shapeId="0" xr:uid="{CAF17E33-10BF-4C1E-A139-35D7D2A39AE4}">
      <text>
        <r>
          <rPr>
            <b/>
            <sz val="9"/>
            <color indexed="81"/>
            <rFont val="Tahoma"/>
            <family val="2"/>
          </rPr>
          <t>Here the function compiled is intended to be run only asynchronously, and that is enforced by the presence of the AsyncOnly compilation setting. The function does not return a value, but instead reports the memory usage of the process once per second for 10 seconds. To avoid a compilation error from the lack of a "return" statement, the NoReturnValue setting is included. This example only runs for about 10 seconds, but users could create "servers" like this that run indefinitely. Since this is a relatively long running function, the LongRunning setting is provided so that it receives a dedicated thread. There are also settings to ensure that at most a single instance of the method is running in the process at any given time, and if the method is recalculated while it is running it will not result in a follow-up run being queued to automatically run when the current run completes.</t>
        </r>
      </text>
    </comment>
    <comment ref="G222" authorId="0" shapeId="0" xr:uid="{0E1D1737-FE4C-44BF-9B2E-9A8B85D09FBB}">
      <text>
        <r>
          <rPr>
            <b/>
            <sz val="9"/>
            <color indexed="81"/>
            <rFont val="Tahoma"/>
            <family val="2"/>
          </rPr>
          <t>U.INVOKE_ASYNC is used to run compiled methods asynchronously. The method is an RTD method whose value can be updated from the function code by calling U.Update(&lt;val&gt;) -- see to the left how the method is periodically updated with a message stating the amount of memory used by the current process in Megabytes.
By default a given async function called from a given range ...or with a given AsyncId configured... will be allowed to run concurrently, and recalcs that occur will result in the recalc being queued (only the most recently queued invocation is executed when the current invocation completes). Users can choose to cancel the current invocation by providing the "cancel" invocation config, but note that U cannot guarantee that user's custom code will stop running. For that reason, long-running code should check the status of U.CancellationToken to see if a cancel has been requested and if so respond accordingly. See in this example how the method exists (via a return statement) if a cancellation is requested.
Not all functions called with U.INVOKE_ASYNC will send updates using U.Update(). Any compiled method can be called with U.INVOKE_ASYNC. In some cases it may be a function that could take a long time to derive a value, and it is called using U.INVOKE_ASYNC so that it does not cause Excel to freeze while it is calculating. When a regular function that returns a value is called via U.INVOKE_ASYNC, the method will update with the returned value when the function completes. In these cases if the method is canceled the user may want to have the code exit without causing the displayed value to change -- that can be done by returning null (if the desire is to make the calling cell blank, return an empty string instead of null).</t>
        </r>
      </text>
    </comment>
    <comment ref="G236" authorId="0" shapeId="0" xr:uid="{B86D4511-86E2-49C0-AE4E-E95E0F42DD9B}">
      <text>
        <r>
          <rPr>
            <b/>
            <sz val="9"/>
            <color indexed="81"/>
            <rFont val="Tahoma"/>
            <family val="2"/>
          </rPr>
          <t>It is possible to return a range of values asynchronously by including the ArrayReturnValue setting and calling the function asynchronously. This can be useful in cases where a function that returns multiple values is slow …possibly because it calls an external API... and risks creating a performance issue if called synchronously. In this example a row of 2 values is returned. Note that if called from a single cell the data would automatically resize in recent versions of Excel that support dynamic arrays, or the call could be nested in an U.PAD configured to automatically resize based on the size of the data so that resizing will work in any version of Excel.
Try uncommenting the MYAPI.SOME_VALS() method that returns an array result (if on a version of Excel that does not support dynamic arrays, make it an array formula across the 2 columns). See that it initially returns a message indicating the function was invoked async, and then after about the configured number of milliseconds it returns a value and time. The update is achieved by recalculating the range containing the method and returning the prior result, which would tend to result in a continuous cycle of recalculations if the value returned is always different (as it is in this example since a current time is part of the result). To prevent continuous recalculation, by default the last cached value will be returned if it exists for a given calling cell and set of parameters and the recalc is from the prior call of the method...in that case the custom method will not be invoked. To have the method continuously recalculate, make the setting "ArrayReturnValue=continuous"; to have the method always skip re-invocation of the function if a cached result exists, make the setting "ArrayReturnValue=cache" (providing just the setting "ArrayReturnValue" is the same as providing "ArrayReturnValue=recalc", which is the default behavior.</t>
        </r>
      </text>
    </comment>
    <comment ref="G250" authorId="0" shapeId="0" xr:uid="{0A564717-4857-4CBA-BF71-7803E038282F}">
      <text>
        <r>
          <rPr>
            <b/>
            <sz val="9"/>
            <color indexed="81"/>
            <rFont val="Tahoma"/>
            <family val="2"/>
          </rPr>
          <t>The current Excel instance is available as U.ExcelApp. This method returns the Excel version number. When user code accesses the Excel application, it must be run in a special Excel context. This is done automatically when code accessing the object model is invoked, therefore there is never any need to release COM objects or perform other COM-related cleanup in the code.</t>
        </r>
      </text>
    </comment>
    <comment ref="G254" authorId="0" shapeId="0" xr:uid="{E615DFCE-4186-473F-A2C3-1B598F595987}">
      <text>
        <r>
          <rPr>
            <b/>
            <sz val="9"/>
            <color indexed="81"/>
            <rFont val="Tahoma"/>
            <family val="2"/>
          </rPr>
          <t>Because code accessing the Excel application (and a few Runline methods) must be run in a special way, the methods must either be called using U.INVOKE_AS_MACRO, U.INVOKE_ASYNC or be registered with Excel and called using the registered name. Here the function that returns the Excel version number is invoked using INVOKE_ASYNC. U.INVOKE_ASYNC will always calculate at least once when a workbook opens unless the sheet was saved after an error was returned.</t>
        </r>
      </text>
    </comment>
    <comment ref="G257" authorId="0" shapeId="0" xr:uid="{9192CC12-F0BD-414B-A7D8-1C4ACAA0A4C1}">
      <text>
        <r>
          <rPr>
            <b/>
            <sz val="9"/>
            <color indexed="81"/>
            <rFont val="Tahoma"/>
            <family val="2"/>
          </rPr>
          <t>Functions that access the Excel application will still be run if U.INVOKE is used, but the result cannot be returned to the calling cell. A message is returned informing the user of the need to call the function another way to see the result. If the method contains the LongRunning invoke setting, then the standard response for invoking long-running functions is returned instead.</t>
        </r>
      </text>
    </comment>
    <comment ref="G260" authorId="0" shapeId="0" xr:uid="{1C4079C9-4FBA-4034-A77C-E39A89BC3140}">
      <text>
        <r>
          <rPr>
            <b/>
            <sz val="9"/>
            <color indexed="81"/>
            <rFont val="Tahoma"/>
            <family val="2"/>
          </rPr>
          <t>Here the function is run using U.INVOKE_AS_MACRO, which is a synchronous call that succeeds because the call is registered with the required Excel execution context. U.INVOKE_AS_MACRO should only be used when known to be needed.</t>
        </r>
      </text>
    </comment>
    <comment ref="G267" authorId="0" shapeId="0" xr:uid="{744FC126-5050-484D-867C-C88058B42699}">
      <text>
        <r>
          <rPr>
            <b/>
            <sz val="9"/>
            <color indexed="81"/>
            <rFont val="Tahoma"/>
            <family val="2"/>
          </rPr>
          <t>Supporting classes can be provided in the optional 8th parameter to U.COMPILE. In this example, a class called Scaler is used by the primary code to multiply two integer values together.
When supporting classes are provided, they must be complete class code but must not include using statements - all imports required by the primary code and supporting classes must be provided in the imports parameter.
Multiple classes can be provided by simply appending the class definitions vertically and passing the appended classes to the 8th parameter. The classes will be compiled in the same code file as the primary code, so classes and functions could be internal instead of publish.
Note that it is the user's responsibility to call class methods correctly from the primary code. In this example the supporting class only supports integers, but the function is configured to receive double type parameters ...so the primary code must perform the conversion to integers before passing to the supporting class.
If an error is reported during compilation, a line numbering in error messages will proceed immediately from the primary code to the class code; for example, if the primary code is 3 lines and an error message indicates an error on line 5, then the error is in the 2nd line of the class code.
Use of both U and native Excel methods within a class is supported.</t>
        </r>
      </text>
    </comment>
    <comment ref="N286" authorId="0" shapeId="0" xr:uid="{D9295F72-2A83-4465-894E-D8E2BE646CFB}">
      <text>
        <r>
          <rPr>
            <b/>
            <sz val="9"/>
            <color indexed="81"/>
            <rFont val="Tahoma"/>
            <family val="2"/>
          </rPr>
          <t>If U.COMPILE is called without any parameters provided …or with just the word "report" as the only parameter... then a report of all compiled methods is returned that contains various bits of relevant info.</t>
        </r>
      </text>
    </comment>
    <comment ref="G298" authorId="0" shapeId="0" xr:uid="{2EF5B939-FB27-4AA8-92AA-F44BEDD81376}">
      <text>
        <r>
          <rPr>
            <b/>
            <sz val="9"/>
            <color indexed="81"/>
            <rFont val="Tahoma"/>
            <family val="2"/>
          </rPr>
          <t>If U.COMPILE is called with just the word "globals" then a report is returned that shows information about data in the globals cache.</t>
        </r>
      </text>
    </comment>
    <comment ref="G309" authorId="0" shapeId="0" xr:uid="{16DB8F14-D8AB-4A36-8EED-53FAA8A66AE6}">
      <text>
        <r>
          <rPr>
            <b/>
            <sz val="9"/>
            <color indexed="81"/>
            <rFont val="Tahoma"/>
            <family val="2"/>
          </rPr>
          <t>Functions can optionally be written in Python instead of C#. All of the functionality described above is still available when Python is used. To indicate that the code is Python, simply include "Python" as a compiler setting.
This example that trivially adds a number to the current date illustrates a number of features:
  -Importing only desired subpackages is supported, as are import aliases; see datetime imports in example (for importing many full packages, those names could be provided as a comma-delimited list ...e.g. "sys,datetime,json"... or by spreading package names across a range of cells). Importing sys, datetime and decimal do not actually have to be specified, though, as they will be added by default.
  -Supporting Python methods can be provided. See the "scale_val" method in the example. Any provided methods are placed immediately above the main function in the generated Python code file
  -Calling Excel functions, native U functions and custom functions are all supported. See how the scale_val function calls the UseScaler function defined above and also the use of Excel's ABS function (xl.abs(...))
  -Functions created with Python can call functions created with C# and vice-versa
External Python code files can also be included as references and will be discoverable by the code. When the function is Python, references are handled a bit differently from C# functions. All specified references are copied to the build directory if they have a path, so there is no need to use the "[resource]" prefix to indicate that a file should be copied. However, if the function is dependent on any C/C++ libraries, those should still be prefixed with "[resource]" so that there will be no attempt to load them into the .NET CLR (see info about Python.net further down in this note).
Although not done in this example, functions created with Python can also be registered with Excel directly so that they can be called without use of U.INVOKE.
U is implemented using Python.net, making the full power of the .NET framework accessible from Python code. Any provided references ending in "dll" that are not marked as "[resource]" ...as well as references with no path... are presumed to be .NET libraries. When .NET libraries are referenced, the "import clr" statement and the clr.AddReference(&lt;ref&gt;) calls are automatically added so do not need to be included in the user's code. See Python.net documentation online for full details of leveraging the .NET framework from Python.
Pip and Conda can be used to install packages by including "pip(&lt;package&gt;,&lt;package&gt;,...)" and/or "conda(&lt;package&gt;,...)" as compiler settings; specific versions of packages can be installed in the usual Python way of including "=&lt;version&gt;" after the package name (using either 1 or 2 equal signs will work for both pip and conda). An attempt will always be made to update packages when no specific version is specified. When pip() or conda() installs are specified, including "Python" as a compiler setting explicitly is optional. Pip is included in the PATH variable of the virtual Python environment used to execute Python code, so users could alternatively choose to pip-install modules in code via a subprocess. For Anaconda/Miniconda environments, a conda install is always tried before pip even when pip(&lt;package&gt;) is specified. If installing a git repo with pip is supported, but note that when not installed as editable then pip will download and re-deploy the repo each time it is called. To prevent the potential for churning, use of the #egg= in the command to specify the package name is strongly recommended. When that is done, the add-in will only pip install the repo if it does not exist. To force an update in that case, include the string "[force]" anywhere in the pip parameter (it will be removed before pip is called).
If a tuple, numpy type or pandas DataFrame is returned from the Python function, it will be converted to an Excel-compatible type automatically. However, if the function returns tuples, numpy arrays, lists or pandas DataFrames whose elements are numpy types they will not be converted automatically by default (since it would be inefficient to always iterate the report when in most cases numpy types are not used). To have every element in such types automatically checked and converted from numpy types to Excel types include DeepTypeCheck as a setting in the 7th parameter. DeepTypeCheck can also be used to convert Python datetime and Decimal types that are in cells in a larger report to Excel-compatible types.
U add-in functions are designed to return values to Excel as a 2-dimensional array ([,]), which for Python code is converted to an array of arrays ([[]]). If calling an add-in function from custom code and using the result, that result may need to be converted as necessary for consumption. For example, since a scalar result can be returned as [[]] the user code may need to access the result as x[0][0] instead of just x in order to consume as desired.</t>
        </r>
      </text>
    </comment>
    <comment ref="B322" authorId="0" shapeId="0" xr:uid="{B81BD6E3-4C5A-4E3E-A718-A615FFE10B06}">
      <text>
        <r>
          <rPr>
            <b/>
            <u/>
            <sz val="9"/>
            <color indexed="81"/>
            <rFont val="Tahoma"/>
            <family val="2"/>
          </rPr>
          <t xml:space="preserve">Python Environments
</t>
        </r>
        <r>
          <rPr>
            <b/>
            <sz val="9"/>
            <color indexed="81"/>
            <rFont val="Tahoma"/>
            <family val="2"/>
          </rPr>
          <t>In order for Python code to execute, a compatible Python environment must exist on the machine. By default the required Python files will be retrieved and a user-specific environment created automatically ...so pre-installation of Python is not necessary (the U.COMPILE call is commented out in this example to avoid the 1-time slowness of retrieving a Python environment). In cases where firms are not configured to receive Python environments automatically, the add-in will attempt to discover a suitable environment ...favoring Anaconda/Miniconda installations over standard Python installations, and favoring user-specific installations over machine-wide installations.
Python environments can also be specified via configuration by providing paths as a json-array of strings in the python-environments config variable. Configured environments will take priority over other retrievable or discoverable environments. Configured environments can be to specific Python environments, or they can be to top-level Anaconda/Miniconda directories ...in which case the add-in will create and use an environment specific to the version of Python and bitness of Excel. If a configured directory is a specific Anaconda/Miniconda environment that does not exist, the environment name in the path will be used to create that environment. In all cases, an attempt will be made to install Python.net into the Python environment if not already present, with conda tried before pip where applicable. Configured paths may contain "{user}" in them (e.g.: C:\Users\{user}\Anaconda3) and the {user} portion will be replaced with the username of the current Windows user. The list of Python configurations can also include the keywords "no_pip" and/or "no_conda" to indicate that pip and/or conda installs are not allowed. The list can also contain "default=&lt;Python version&gt;" to override the default version of Python used. If the list contains "no_uptick" then the add-in will not attempt to retrieve or use Runline-provided Python environments. If Python is configured for debug, by default the add-in will attempt to run in release mode if running in debug mode fails; if "debug" is included in the list of Python configurations, then no attempt will be made to run in release mode up a failure. Python environments installed by Microsoft Store do not make critical libraries available to the add-in, therefore such installations are not supported. Standard installations from Python.org are recommended.
When configuring specific Python environments, path prefixes can be used to specify the environment to use for a given version of Python and/or Excel bitness. A prefix of [x86] indicates that the environment is to be used by 32-bit versions of Excel only; [x64] indicates use with only 64-bit Excel. Use of Python 3 is assumed, though can be made explicit by prefixing with a 3 (e.g.: [3x64]). Python 2 is supported, and configured environments can be correspondingly flagged (e.g.: [2x86]) ...but use of Python 2 is strongly discouraged at this point. Python version 3.8 is used when not otherwise specified. The prefixed Python version can be as specific as needed (e.g. [3.7.1x86]).
The Python compiler switch can also indicate a preferred version of Python to be used as a default when no environment is specified elsewhere (e.g. Python=3.5). It's important to note that only a single version of Python will be loaded per Excel process, and the versions available may be limited. So there is no guarantee that a specific version specified will be the one used. The log file will indicate which version of Python was loaded, and also whether some function is requesting use of a Python version different from what has been loaded. The directory loaded can also be confirmed by calling =U.FIND_FILE("python.exe", "Python") from any cell after a Python function has been called (the result may differ if called before Python is loaded, since the first Python function loaded may dictate the Python environment to use). A best practice is to ensure code is compatible with Python 3.8 and later.
Environment information can also be provided as pipe-delimited values in parentheses after the Python compiler switch. For example this:
  Python([x64]C:\Users\{user}\Python38|[x86]C:\Users\{user}\Python38-32)
...would specify which Python environment to use for x64 and x86 flavors of Excel, respectively. The no_pip and no_conda settings can also be included. Config file settings will take priority over any function-specific switch params, though, since a given function may be used on many machines where environments vary. In cases where a default Python version is set, just place the environments after that (e.g. Python=3.7.1(&lt;environments&gt;)).
Care is taken to ensure that a Python environment with a bitness that matches Excel is used is used, and a check is performed to ensure a found environment is compatible. However if the Python code itself has C dependencies, the add-in will not discover if they are the wrong bitness (and couldn't do anything about it except fail even if it did discover that). When calling C/C++ libraries from Python, the user must take care to ensure compatible versions of native libraries are bundled with functions ...potentially creating x86 and x64 versions of the function, each with the corresponding C dependencies... if necessary, or optionally detecting the bitness at runtime and dynamically loading the correct library accordingly.
Python Path environment variables can be provided by including pythonpath(&lt;semi-colon delimited path&gt;) in the list of compiler settings (6th param). Provided paths will be prepended to the sys.path variable in the Python environment. If a path contains a semicolon, escape it with a backslash so it does not look like a delimiter between multiple paths. Once a path is provided, it will remain in the Python environments sys.path variable. To reset the Python environment, set the first parameter to "Reset_Python_Environments" and do not set any other parameters.
If U.COMPILE is called with the first parameter set to "Clear_Python_Environments" and no other parameters are set, then user-specific Runline-provided Python environments will be deleted.</t>
        </r>
      </text>
    </comment>
    <comment ref="B355" authorId="0" shapeId="0" xr:uid="{26DF1AFF-27AF-47C7-953B-568B500B5DA5}">
      <text>
        <r>
          <rPr>
            <b/>
            <sz val="9"/>
            <color indexed="81"/>
            <rFont val="Tahoma"/>
            <family val="2"/>
          </rPr>
          <t>U.DISTRIBUTE_FUNCTIONS publishes compiled functions to the specified distribution topic. Any custom or 3rd-party libraries referenced by the function are automatically and securely included in the distribution. If the distribution fails, it returns a message indicating the reason for the failure, otherwise it returns a message confirming the successful distribution.
The first parameter to U.DISTRIBUTE_FUNCTIONS is a one-time use distribution ID. To receive a valid ID, first ensure that functions to be distributed are compiled in the current Excel instance, then calculate U.DISTRIBUTE_FUNCTIONS without any parameters set -- a messagebox will appear containing a unique 5-letter code that should be set as the 1st parameter.
The 2nd parameter should be set to the list containing the names of the functions being distributed, either with each name in a cell or as a comma-delimited list. Where any functions distributed together have a common dependency (as indicated by the filename of the dependency), that dependency will only be included once in the distribution; therefore those functions distributed together must depend on the same version of that dependency.
The 3rd parameter must be set to a valid version number (up to 4 integers delimited by periods) that will be associated with the distribution (e.g.: 1.0.4, 2.7.2.1, etc).
By default the functions are distributed by being published to the topic &lt;entity&gt;/FUNCTION_CHANNEL/DEFAULT, where &lt;entity&gt; is the entity of the publishing user. To publish the functions to a different topic, provide that topic in the optional 4th parameter. The group name of the topic must end in "FUNCTION_CHANNEL" (e.g. ABC/STAT_FUNCTION_CHANNEL/PROBABILITY_FUNCS).
To restrict the distribution to only certain recipients, set the list of recipients as the optional 5th parameter, either from a range of cells or as a comma-delimited list. Any username in the list that does not include the Runline entity will be given the same entity as the current user distributing the functions
The optional 6th parameter can be used to pass through any additional metadata the distributor wishes to add to the published report.
By default, subscribers who receive the distributed function will not be able to re-distribute it to other users. To allow subscribers to re-distribute functions, set the optional 7th parameter to TRUE.
Users can subscribe to the functions by subscribing to the distribution topic just like they would subscribe to any other U report topic, so the standard means of permissioning access to the report are available. When an update is received by a subscriber, the updated function will be immediately available in the receiving Excel instance ...with the updated version of the functions automatically replacing prior versions that may have already existed. In this way, updated analytics can be deployed without the need to even restart an Excel workbook (provided the distribution is not rejected based on a restriction configured by the subscriber). As with U.DISTRIBUTE_WORKBOOK, a subscriber will not be able to receive published functions unless the publisher has been registered as a "trusted distributor" and the publisher had been authenticated when the report was published (see doc on U.TRUSTED_DISTRIBUTOR for information about how to register a trusted distributor).
Since code is just text, one could alternatively just publish code in text form as they would any other data ...where a subscribing sheet uses U.COMPILE to automatically compile the code when an update is received. That can work fine for some simple scenarios, but there are a number of benefits to using U.DISTRIBUTE_FUNCTIONS instead: (a) the code is encrypted and not able to be viewed by subscribers; (b) libraries used by the function are automatically distributed along with the function; (c) redistribution of the function is prevented by default; (d) verification of the publisher as a "trusted distributor" is performed before the code is trusted; (e) nothing is required by a subscriber beyond subscribing for the topic in question; (f) the distributed functions will remain available to the subscriber even when the subscriber is offline.
U.DISTRIBUTE_FUNCTIONS can simplify the use of custom functions even when they are used by only the user who created the functions. By publishing the functions, workbooks need only subscribe to the distribution topic to make the functions available ...versus every Excel instance that wishes to use the custom functions needing to compile the functions explicitly.
A list of auto-subscribe topics can optionally be set via configuration as a comma-delimited list of topics so that functions distributed to those topics are always available even without explicitly subscribing in a workbook. Auto-subscribe topics can optionally be prefixed with [x86] or [x64] to indicate that they contain functions which assume a specific flavor of Excel; when so marked, auto-subscribe topics that are prefixed with an incompatible bitness will be ignored. If auto-subscribed topics are protected with secrets, the secret can be appended to the topic as [SECRET=&lt;secret&gt;]. For example, to auto-subscribe to topic ABC_CORP/OPTION_FUNCTION_CHANNEL/GREEKS that is protected with the secret "s3cret" ...and to do so only in 32-bit Excel... the setting would be "[x86]ABC_CORP/OPTION_FUNCTION_CHANNEL/GREEKS[SECRET=s3cret]". By default, functions in auto-subscribe topics are loaded when Excel launches; to delay the loading of a topic until some other U method is used, prefix the topic with "[delay]". Auto-subscribe topics can be encrypted so that topics are not visible in the config file; the utility for encrypting them is available upon request. If any item in the list is just the word "recalc" then a full recalc of the Excel instance is performed after functions are compiled and registered.
Auto-subscribe topics can also be created and removed using U.SUBSCRIBE by setting the final "auto_subscribe" parameter to TRUE or FALSE to enable or disable autosubscribe, respectively. To make the autosubscribe specific to a bitness of Excel set the parameter to 32 (or 86) to enable for only 32-bit Excel or to 64 to enable for only 64-bit Excel. Any autosubscribe settings created with U.SUBSCRIBE for a given topic will override a configured setting if one exists for that topic. If the auto_subscribe setting is TRUE and all other U.SUBSCRIBE parameters are empty, a report of all autosubscribe topics is returned. Whether set via configuration or using U.SUBSCRIBE, autosubscribe is only supported for FUNCTION_CHANNEL topics.</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Brian Pierce</author>
    <author>Runline LLC</author>
  </authors>
  <commentList>
    <comment ref="C4" authorId="0" shapeId="0" xr:uid="{00000000-0006-0000-3600-000001000000}">
      <text>
        <r>
          <rPr>
            <b/>
            <sz val="9"/>
            <color indexed="81"/>
            <rFont val="Tahoma"/>
            <family val="2"/>
          </rPr>
          <t>Returns username of logged-in Windows user. Set optional param to TRUE to include domain.</t>
        </r>
      </text>
    </comment>
    <comment ref="C6" authorId="0" shapeId="0" xr:uid="{00000000-0006-0000-3600-000002000000}">
      <text>
        <r>
          <rPr>
            <b/>
            <sz val="9"/>
            <color indexed="81"/>
            <rFont val="Tahoma"/>
            <family val="2"/>
          </rPr>
          <t>Returns NetBIOS name of the local machine. Set the optional parameter to TRUE to return the hostname instead.</t>
        </r>
      </text>
    </comment>
    <comment ref="C8" authorId="0" shapeId="0" xr:uid="{00000000-0006-0000-3600-000003000000}">
      <text>
        <r>
          <rPr>
            <b/>
            <sz val="9"/>
            <color indexed="81"/>
            <rFont val="Tahoma"/>
            <family val="2"/>
          </rPr>
          <t>Returns default Entity used to create U topics.</t>
        </r>
      </text>
    </comment>
    <comment ref="C10" authorId="0" shapeId="0" xr:uid="{00000000-0006-0000-3600-000004000000}">
      <text>
        <r>
          <rPr>
            <b/>
            <sz val="9"/>
            <color indexed="81"/>
            <rFont val="Tahoma"/>
            <family val="2"/>
          </rPr>
          <t>Returns host:port of U HubServer.</t>
        </r>
      </text>
    </comment>
    <comment ref="C12" authorId="0" shapeId="0" xr:uid="{00000000-0006-0000-3600-000005000000}">
      <text>
        <r>
          <rPr>
            <b/>
            <sz val="9"/>
            <color indexed="81"/>
            <rFont val="Tahoma"/>
            <family val="2"/>
          </rPr>
          <t xml:space="preserve">Returns the current authentication status: TRUE if successfully authenticated, FALSE if not. If the sheet has published or received large data then it returns 2 values separated by a pipe character: the status of the main connection and of the large report connection.
In some cases automatic Windows Authentication may fail, such as when connecting via a VPN in some network configurations. In those cases an auth token can be passed manually via this method to authenticate with the server. Tokens can be generated in UWeb. The saved token can be deleted by passing "delete" as the 1st parameter.
</t>
        </r>
      </text>
    </comment>
    <comment ref="C19" authorId="0" shapeId="0" xr:uid="{00000000-0006-0000-3600-000006000000}">
      <text>
        <r>
          <rPr>
            <b/>
            <sz val="9"/>
            <color indexed="81"/>
            <rFont val="Tahoma"/>
            <family val="2"/>
          </rPr>
          <t>Returns the current server connection status: TRUE if connected, FALSE if not. If the sheet has published or received large data then it returns 2 values separated by a pipe character: the status of the main connection and of the large report connection.</t>
        </r>
      </text>
    </comment>
    <comment ref="C24" authorId="0" shapeId="0" xr:uid="{00000000-0006-0000-3600-000007000000}">
      <text>
        <r>
          <rPr>
            <b/>
            <sz val="9"/>
            <color indexed="81"/>
            <rFont val="Tahoma"/>
            <family val="2"/>
          </rPr>
          <t>For environments where Active Directory (AD) is not used and therefore automatic authentication is not available, users can persist their Runline password to an encrypted, user-specific local file using U.SAVE_CREDENTIALS. The logged-in Windows user and the persisted password will be used to authenticate the user when AD authentication fails. The optional 3rd parameter can be set to the password, but it is recommended to leave this blank -- then a secure dialog for password entry will be displayed. To delete a saved password, call the method with the first two parameters empty and the 3rd parameter set to "delete".
This method can also be used to persist credentials for Web resources like FTP sites. Set the 1st "resource" parameter to the URL of the domain, and set the 2nd parameter to the applicable username (the Windows username is used if no username specified). The optional 4th parameter can be set to a private key ...or path to a private key file... to be used with SFTP. Private keys must be in the standard SSH format; PuTTY private keys (.ppk files) are not supported (info is available online about how to convert .ppk files to standard SSH private keys using PuTTY).
If the 3rd parameter is blank, a dialog will appear prompting the user to enter a password. The password could alternatively be set explicitly in the 3rd parameter. To indicate that no password is required for the resource, set the 3rd parameter to "[none]" (or leave it blank and cancel out of the password entry box that appears). If the 3rd parameter is set to "delete" then any saved password for the resource in the first parameter will be deleted.
To retrieve a report of credentials currently saved for the user, call =U.SAVE_CREDENTIALS(TRUE). Note it is only a single parameter whose value is the boolean TRUE. Passwords and keys are not displayed in the report.</t>
        </r>
      </text>
    </comment>
    <comment ref="B27" authorId="1" shapeId="0" xr:uid="{982BB61D-E488-436A-8B47-DEFA4E0C5F48}">
      <text>
        <r>
          <rPr>
            <b/>
            <sz val="9"/>
            <color indexed="81"/>
            <rFont val="Tahoma"/>
            <family val="2"/>
          </rPr>
          <t>Credentials are encrypted and persisted to a user-specific directory. In rare cases when remoting into a machine, mounting of the user directories could be delayed such that the password file cannot be found. If this behavior is observed, contact Runline support for instructions on how to work around the issue.</t>
        </r>
      </text>
    </comment>
    <comment ref="C38" authorId="0" shapeId="0" xr:uid="{00000000-0006-0000-3600-000008000000}">
      <text>
        <r>
          <rPr>
            <b/>
            <sz val="9"/>
            <color indexed="81"/>
            <rFont val="Tahoma"/>
            <family val="2"/>
          </rPr>
          <t>Returns directory with config files.</t>
        </r>
      </text>
    </comment>
    <comment ref="C40" authorId="0" shapeId="0" xr:uid="{00000000-0006-0000-3600-000009000000}">
      <text>
        <r>
          <rPr>
            <b/>
            <sz val="9"/>
            <color indexed="81"/>
            <rFont val="Tahoma"/>
            <family val="2"/>
          </rPr>
          <t>Returns version of U Add-In loaded. If the optional parameter is set to TRUE then the add-in will launch the add-in updater application if available.
If called from a multi-cell range or if the optional parameter is set to "detail" then a report with additional info is returned. The additional info includes the version numbers for Excel, the installed .NET Framework version and also the current Office Theme.</t>
        </r>
      </text>
    </comment>
    <comment ref="C47" authorId="0" shapeId="0" xr:uid="{00000000-0006-0000-3600-00000A000000}">
      <text>
        <r>
          <rPr>
            <b/>
            <sz val="9"/>
            <color indexed="81"/>
            <rFont val="Tahoma"/>
            <family val="2"/>
          </rPr>
          <t>If present in a workbook, U.ADDINS will install or uninstall a specified add-in. The first parameter is the name or full path of the addin, and the 2nd parameter is TRUE to install it or FALSE to uninstall it. In this way, add-ins that tend to create stability issues can be automatically added and removed so they are only present for workbooks that actually need them.
Any changes to installed add-ins apply to the entire instance of Excel, so to any workbooks running in that instance. Also note that any changes made will be persisted when Excel is closed and re-opened.</t>
        </r>
      </text>
    </comment>
    <comment ref="C57" authorId="0" shapeId="0" xr:uid="{714E1938-AD74-4213-929A-1D2A7DC3BBFB}">
      <text>
        <r>
          <rPr>
            <b/>
            <sz val="9"/>
            <color indexed="81"/>
            <rFont val="Tahoma"/>
            <family val="2"/>
          </rPr>
          <t>Excel registers which add-ins are loaded when the Excel instance is closed. For this reason, an add-in that is added to a given instance can cause the add-in to be registered and loaded on all subsequently opened Excel instances. A common case is that users want to ensure certain add-ins are only loaded when actually needed. To accomplish this, such add-ins can be added to a "blacklist" by providing their names in the 1st parameter and the word "blacklist" in the 2nd parameter. Whenever a new Excel instance is opened, add-ins on the blacklist are uninstalled automatically if they are found to be installed ...unless they are explicitly installed by an U.ADDINS call in that instance of Excel, in which case they are not uninstalled. A blacklist can be cleared by passing "clear" in the 1st parameter and "blacklist" in the 2nd parameter, and a report of the current add-ins on the blacklist can be returned by not setting the 1st parameter and having "blacklist" in the 2nd parameter.</t>
        </r>
      </text>
    </comment>
    <comment ref="D62" authorId="0" shapeId="0" xr:uid="{00000000-0006-0000-3600-00000B000000}">
      <text>
        <r>
          <rPr>
            <b/>
            <sz val="9"/>
            <color indexed="81"/>
            <rFont val="Tahoma"/>
            <family val="2"/>
          </rPr>
          <t>U.ADDINS optionally can return a report showing the names and paths of all installed add-ins by not setting any parameters. If the first parameter is set to TRUE and the 2nd parameter is not set, then the names and paths of available add-ins that are not installed are included in the report.</t>
        </r>
      </text>
    </comment>
    <comment ref="C68" authorId="0" shapeId="0" xr:uid="{00000000-0006-0000-3600-00000C000000}">
      <text>
        <r>
          <rPr>
            <b/>
            <sz val="9"/>
            <color indexed="81"/>
            <rFont val="Tahoma"/>
            <family val="2"/>
          </rPr>
          <t>Returns the Windows Process ID of the Excel instance.</t>
        </r>
      </text>
    </comment>
    <comment ref="C71" authorId="0" shapeId="0" xr:uid="{00000000-0006-0000-3600-00000D000000}">
      <text>
        <r>
          <rPr>
            <b/>
            <sz val="9"/>
            <color indexed="81"/>
            <rFont val="Tahoma"/>
            <family val="2"/>
          </rPr>
          <t>Converts a path with a mapped drive to a network path. Returns input unchanged if it does not contain a mapped drive.</t>
        </r>
      </text>
    </comment>
    <comment ref="C75" authorId="0" shapeId="0" xr:uid="{00000000-0006-0000-3600-00000E000000}">
      <text>
        <r>
          <rPr>
            <b/>
            <sz val="9"/>
            <color indexed="81"/>
            <rFont val="Tahoma"/>
            <family val="2"/>
          </rPr>
          <t>If present in any cell in any book in open instance of Excel, deep logging is generated. A filter param can be provided that limits messages generated to those with an Runline topic that contains the specified filter(s) as a substring.
For performance reasons, deep logging should not be left in a sheet indefinitely. The deep logging will automatically disable itself after 30 minutes. If logging is needed longer, a special filter value of "hours(x)" can be provided, where x is the number of hours the deep logging will be enabled before it automatically disables.</t>
        </r>
      </text>
    </comment>
    <comment ref="C81" authorId="0" shapeId="0" xr:uid="{00000000-0006-0000-3600-00000F000000}">
      <text>
        <r>
          <rPr>
            <b/>
            <sz val="9"/>
            <color indexed="81"/>
            <rFont val="Tahoma"/>
            <family val="2"/>
          </rPr>
          <t>U.HELP returns a report with some basic info about where to find help using U.</t>
        </r>
      </text>
    </comment>
    <comment ref="B88" authorId="0" shapeId="0" xr:uid="{00000000-0006-0000-3600-000010000000}">
      <text>
        <r>
          <rPr>
            <b/>
            <sz val="9"/>
            <color indexed="81"/>
            <rFont val="Tahoma"/>
            <family val="2"/>
          </rPr>
          <t>U.RTD_THROTTLE_MILLIS will return the current RTD throttle in milliseconds.
A throttle in milliseconds can be provided as the first optional parameter, and that value will be applied immediately to the current Excel instance. The value provided must be between 25 and 60000. If the optional 2nd parameter is provided set to TRUE, then the throttle will only impact how quickly U report updates are received in the current instance of Excel. If the 2nd parameter is provided and set explicitly to FALSE, then the throttle will impact the entire current Excel instance and will also be persisted as Excel's default RTD throttle in the Windows registry.
When the method is a workbook with a valid first parameter, it will be applied as soon as the workbook is opened; the throttle will no longer be applied if the method is deleted from the workbook.</t>
        </r>
      </text>
    </comment>
    <comment ref="C96" authorId="0" shapeId="0" xr:uid="{00000000-0006-0000-3600-000011000000}">
      <text>
        <r>
          <rPr>
            <b/>
            <sz val="9"/>
            <color indexed="81"/>
            <rFont val="Tahoma"/>
            <family val="2"/>
          </rPr>
          <t>When called over a range of cells, U.RTD_THROTTLE_MILLIS returns a report showing the state of various RTD settings, both in the Windows registry and from any U.RTD_THROTTLE_MILLIS calls.</t>
        </r>
      </text>
    </comment>
    <comment ref="B103" authorId="0" shapeId="0" xr:uid="{00000000-0006-0000-3600-000012000000}">
      <text>
        <r>
          <rPr>
            <b/>
            <sz val="9"/>
            <color indexed="81"/>
            <rFont val="Tahoma"/>
            <family val="2"/>
          </rPr>
          <t>Many admin methods (those marked as RTD on the Index tab of this workbook) will automatically recalculate when a worksheet is opened provided it is in auto recalc mode. If a sheet is opened in manual recalc mode, the admin methods will recalc when the sheet first recalculates. In this way there is not a risk of a "stale" username, for example, that had been saved with the sheet remaining incorrect when opened by a new user.
These methods are able to recalculate when Excel opens because they are RTD methods. For that reason, they should never be nested inside of array formula methods that span multiple cells, as doing so will result in the method being re-evaluated for each cell in the array. These methods should be placed into their own cells and referenced by other methods.</t>
        </r>
      </text>
    </comment>
    <comment ref="B113" authorId="0" shapeId="0" xr:uid="{00000000-0006-0000-3600-000013000000}">
      <text>
        <r>
          <rPr>
            <b/>
            <sz val="9"/>
            <color indexed="81"/>
            <rFont val="Tahoma"/>
            <family val="2"/>
          </rPr>
          <t>U.LOG will write provided messages to the standard U log file located in C:\Runline\Logs\U\ directory. U creates a new log file for each windows process, and the process ID is in the log file name. U.PROCESSID() can be used to discover the Windows process ID of any given Excel instance. The method returns the time of last logging.
If a multi-cell range is provided as the message, it is logged as comma-delimited values. If the optional 2nd parameter is set to TRUE, then the same message will be re-logged even if provided repeatedly. By default, messages are not logged unless they have changed or at least 10 minutes has elapsed since the last log.</t>
        </r>
      </text>
    </comment>
    <comment ref="B119" authorId="0" shapeId="0" xr:uid="{00000000-0006-0000-3600-000014000000}">
      <text>
        <r>
          <rPr>
            <b/>
            <sz val="9"/>
            <color indexed="81"/>
            <rFont val="Tahoma"/>
            <family val="2"/>
          </rPr>
          <t>U.GET_PROCESSES returns a report of all processes running on the current machine that the logged-in user is permissioned to see. It is intended to be called over a matrix of cells. The returned report does not update in real-time, and this method should not be called continuously. Because there can be many processes running on a machine, and the check of each may fail with a permission error, generating the report can be relatively slow (several seconds or more) and CPU-intensive. The method is a convenience method that is intended to be used relatively infrequently and not as part of real-time logic.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H7" authorId="0" shapeId="0" xr:uid="{00000000-0006-0000-0600-000001000000}">
      <text>
        <r>
          <rPr>
            <b/>
            <sz val="9"/>
            <color indexed="81"/>
            <rFont val="Tahoma"/>
            <family val="2"/>
          </rPr>
          <t>U.VAPPEND stacks selected ranges vertically.
The method supports ten explicit range parameters ...but see below that an unlimited number of ranges can be appended by including multiple ranges in any given parameters.</t>
        </r>
      </text>
    </comment>
    <comment ref="H15" authorId="0" shapeId="0" xr:uid="{00000000-0006-0000-0600-000002000000}">
      <text>
        <r>
          <rPr>
            <b/>
            <sz val="9"/>
            <color indexed="81"/>
            <rFont val="Tahoma"/>
            <family val="2"/>
          </rPr>
          <t>To send many ranges in a single parameter, separate individual ranges with a comma and surround them all with parentheses as seen in the 2nd parameter in this example (not actually necessary here since the 3rd range could be passed as a 3rd regular parameter ...but needed if more than ten ranges will be stacked). Ranges referenced this way must all be on the same sheet (tab) in the workbook. To nest ranges from many different tabs just nest U.VAPPEND calls inside of other U.VAPPEND calls as needed.
U.VAPPEND method will use whatever rows are provided to it, even if those rows contain only blanks and/or errors. Here I nest the U.VAPPEND in a parameter-less U.VFILTER call, which removes any such rows.</t>
        </r>
      </text>
    </comment>
    <comment ref="I27" authorId="0" shapeId="0" xr:uid="{00000000-0006-0000-0600-000003000000}">
      <text>
        <r>
          <rPr>
            <b/>
            <sz val="9"/>
            <color indexed="81"/>
            <rFont val="Tahoma"/>
            <family val="2"/>
          </rPr>
          <t>The width of the result will be the same as the widest input range. Cells from narrower ranges are filled with an empty string.</t>
        </r>
      </text>
    </comment>
    <comment ref="H44" authorId="0" shapeId="0" xr:uid="{00000000-0006-0000-0600-000004000000}">
      <text>
        <r>
          <rPr>
            <b/>
            <sz val="9"/>
            <color indexed="81"/>
            <rFont val="Tahoma"/>
            <family val="2"/>
          </rPr>
          <t>If a referenced range contains only cells that look like U topics and cache keys, then the reports associated with those topics/keys will be retrieved and their pages will be appended instead of the actual topic names themselves.</t>
        </r>
      </text>
    </comment>
    <comment ref="H60" authorId="0" shapeId="0" xr:uid="{00000000-0006-0000-0600-000005000000}">
      <text>
        <r>
          <rPr>
            <b/>
            <sz val="9"/>
            <color indexed="81"/>
            <rFont val="Tahoma"/>
            <family val="2"/>
          </rPr>
          <t>If a page indicator (page number or name for topics, page number for cache keys) is appended to the topic/key, then only those pages will be appended. Here the 2nd page from each cached report is grabbed.</t>
        </r>
      </text>
    </comment>
    <comment ref="H73" authorId="0" shapeId="0" xr:uid="{00000000-0006-0000-0600-000006000000}">
      <text>
        <r>
          <rPr>
            <b/>
            <sz val="9"/>
            <color indexed="81"/>
            <rFont val="Tahoma"/>
            <family val="2"/>
          </rPr>
          <t>In many cases, the data being appended may all have the same labels that should only appear once at the top of the result. If the first parameter contains a valid "config()" value, the specified config settings will indicate how the ranges in the remaining parameters should be appended.
In this example, the config param contains only the special flag "labels" to let U.VAPPEND know that the ranges contain labels. If there are multiple rows of labels, that could have optionally been specified, for example as config(labels=2) to indicate 2 rows of labels (the labels flag defaults to setting a single row of labels when not specified ...this example could have had config(labels=1)</t>
        </r>
      </text>
    </comment>
    <comment ref="H84" authorId="0" shapeId="0" xr:uid="{00000000-0006-0000-0600-000007000000}">
      <text>
        <r>
          <rPr>
            <b/>
            <sz val="9"/>
            <color indexed="81"/>
            <rFont val="Tahoma"/>
            <family val="2"/>
          </rPr>
          <t>When a range contains any value that is not a topic or cache key (or blank), by default the values from that range will be returned as is. This can be undesirable in some cases, for example when trying to retrieve values from many dated snapshot reports and a single snapshot does not exist. Here one of the keys not correspond to a known cache key, so no cached data is pulled.</t>
        </r>
      </text>
    </comment>
    <comment ref="H93" authorId="0" shapeId="0" xr:uid="{00000000-0006-0000-0600-000008000000}">
      <text>
        <r>
          <rPr>
            <b/>
            <sz val="9"/>
            <color indexed="81"/>
            <rFont val="Tahoma"/>
            <family val="2"/>
          </rPr>
          <t>The special config input in the first parameter can be used to specify that the input range is  intended to be all topics and/or cache keys, and therefore cached data should be returned even if some entries do not correspond to known report topics or cache keys. This is done by setting the "topics" (or "caches") flag  in config().
In this example, the topics are again set (this time specifying the number of label rows explicitly, which is unnecessary but done just for variety in the example) and also the "topics" flag is set. Now the cached data from known cache keys is returned and the entry that is not a topic or cache key is ignored.</t>
        </r>
      </text>
    </comment>
    <comment ref="H107" authorId="0" shapeId="0" xr:uid="{00000000-0006-0000-0600-000009000000}">
      <text>
        <r>
          <rPr>
            <b/>
            <sz val="9"/>
            <color indexed="81"/>
            <rFont val="Tahoma"/>
            <family val="2"/>
          </rPr>
          <t>In some cases there may be a need to indicate that all entries are intended to be report topics or cache keys, and that every one must be present or else the method should fail. This can be done by setting the value of the "topics" flag to "all".
The topics flag can also take a value of "false" to indicate that a range explicitly does *NOT* contain any report topics or cache keys -- that setting can be used to force the method to use the values passed in, even if they look like report topics or cache keys.
The config flag "files" functions just like "topics" but is used to indicate that each cell contains the path of a file to be read. Using files=all does for files what topics=all does for topics and cache keys.</t>
        </r>
      </text>
    </comment>
    <comment ref="H119" authorId="0" shapeId="0" xr:uid="{00000000-0006-0000-0600-00000A000000}">
      <text>
        <r>
          <rPr>
            <b/>
            <sz val="9"/>
            <color indexed="81"/>
            <rFont val="Tahoma"/>
            <family val="2"/>
          </rPr>
          <t>In some cases the data being appended may not have the same columns, or may have the same columns but in different order. The config flag "match" can be used to ensure appended rows are aligned by common label. Columns are returned in the order in which they appear from the first report appended through the last.
When match is set, it will assume the data must have at least a 1 row of labels. If the labels are multiple rows deep, match will still work but the extra labels must be specified.</t>
        </r>
      </text>
    </comment>
    <comment ref="K132" authorId="0" shapeId="0" xr:uid="{00000000-0006-0000-0600-00000B000000}">
      <text>
        <r>
          <rPr>
            <b/>
            <sz val="9"/>
            <color indexed="81"/>
            <rFont val="Tahoma"/>
            <family val="2"/>
          </rPr>
          <t>In some cases different ranges may have differences in the labels, such that the match does not function as desired.</t>
        </r>
      </text>
    </comment>
    <comment ref="H142" authorId="0" shapeId="0" xr:uid="{00000000-0006-0000-0600-00000C000000}">
      <text>
        <r>
          <rPr>
            <b/>
            <sz val="9"/>
            <color indexed="81"/>
            <rFont val="Tahoma"/>
            <family val="2"/>
          </rPr>
          <t>To correct cases of mismatched labels, the "match" config can optionally be assigned a symbol mapping in the format of &lt;from&gt;:&lt;to&gt; with individual mappings delimited by a pipe character ('|'). Here the label "Sym" is mapped to "Symbol" and the label "Val" to "Value" -- now the match is able to align columns as desired.
In this example U string methods are used to construct the config, but they could also just be hard-coded. Also, the config string itself could optionally be hard-coded as the first parameter in U.VAPPEND.</t>
        </r>
      </text>
    </comment>
    <comment ref="J155" authorId="0" shapeId="0" xr:uid="{00000000-0006-0000-0600-00000D000000}">
      <text>
        <r>
          <rPr>
            <b/>
            <sz val="9"/>
            <color indexed="81"/>
            <rFont val="Tahoma"/>
            <family val="2"/>
          </rPr>
          <t>In some cases label columns may contain blanks, and for the match to occur properly those blanks need to be filled appropriately. In this example there are a handful of inconsistencies between and within reports, and also the first row of labels usually has a blank when its value is the same as the last label to its left.
Labels can be filled automatically (whether or not match is used) by specifying "fill" in the labels setting (eg: labels=fill). In this case both the number of label rows and the fill indicator need to be specified -- that can be done by including both in the labels value, separated by a pipe character ('|'). Also in this case label mappings required to make the match work as desired are applied.</t>
        </r>
      </text>
    </comment>
    <comment ref="J163" authorId="0" shapeId="0" xr:uid="{00000000-0006-0000-0600-00000E000000}">
      <text>
        <r>
          <rPr>
            <b/>
            <sz val="9"/>
            <color indexed="81"/>
            <rFont val="Tahoma"/>
            <family val="2"/>
          </rPr>
          <t>If desired, labels could optionally be trimmed again after the match is performed by using U.FILL_LABELS with the trim parameter set to TRUE.</t>
        </r>
      </text>
    </comment>
    <comment ref="G175" authorId="0" shapeId="0" xr:uid="{00000000-0006-0000-0600-00000F000000}">
      <text>
        <r>
          <rPr>
            <b/>
            <sz val="9"/>
            <color indexed="81"/>
            <rFont val="Tahoma"/>
            <family val="2"/>
          </rPr>
          <t>There may be times when the combined result is a very large array, and the user wants to cache the result for efficient processing by subsequent methods. This can be done by specifying a config flag of "cache". In this example, the result is cached to the key "appended". If the cache flag exists but no name is specified, then the data is written to a read-once cache.
Using the cache flag is more efficient than nesting in an U.CACHE method because if nested the data must be returned to the Excel layer before it is sent back down to the add-in in U.CACHE.</t>
        </r>
      </text>
    </comment>
    <comment ref="H185" authorId="0" shapeId="0" xr:uid="{495064FF-A10C-48E3-B718-8A2302E1FFC4}">
      <text>
        <r>
          <rPr>
            <b/>
            <sz val="9"/>
            <color indexed="81"/>
            <rFont val="Tahoma"/>
            <family val="2"/>
          </rPr>
          <t>There may be times when one wishes to cache a multi-page report, but one or more of the pages is derived and not a reference to a range. That can be done by setting the "pages" config flag. Here a 2-page report is cached with the key "2matrices". Page 2 of the cache is displayed, showing that it contains replaced labels (so is derived and not a range reference). If no cache key is provided, then... if the report is less than 2 pages long it will be returned and nothing will be cached, otherwise it will be cached as a read-once cache and the read-once cache key will be returned (necessary because a multi-page report cannot be returned to Excel directly). If one of the appended values is itself a multi-page report, all of its pages will be added. An optional "prune" config can be added -- if that is included, then any pages having no data will be removed from the resulting multi-page report. When the "pages" config flag is set, U.VAPPEND and U.HAPPEND function exactly the same way so it does not matter which is used.</t>
        </r>
      </text>
    </comment>
    <comment ref="H199" authorId="0" shapeId="0" xr:uid="{1756F9B8-757D-4A1E-A69B-7368285A29B0}">
      <text>
        <r>
          <rPr>
            <b/>
            <sz val="9"/>
            <color indexed="81"/>
            <rFont val="Tahoma"/>
            <family val="2"/>
          </rPr>
          <t>There may be cases where appended ranges may have rows at the bottom that contain only blanks and/or errors. To have such bottom-most rows removed from each range so that they are not included within the result, include "trim" config flag in the first parameter.
In this example, see how bottom rows from each range containing only blanks and/or errors (in red to the left) are excluded from the result.
When the trim config flag is set in U.HAPPEND, it is rightmost columns containing only blanks and/or errors that are removed.</t>
        </r>
      </text>
    </comment>
    <comment ref="I216" authorId="0" shapeId="0" xr:uid="{00000000-0006-0000-0600-000010000000}">
      <text>
        <r>
          <rPr>
            <b/>
            <sz val="9"/>
            <color indexed="81"/>
            <rFont val="Tahoma"/>
            <family val="2"/>
          </rPr>
          <t>U.HAPPEND functions exactly like U.VAPPEND, except that it concatenates ranges horizontally instead of vertically.
In this example the U.HAPPEND call is nested in a parameter-less U.HFILTER call to remove any columns containing only blanks and/or errors.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S7" authorId="0" shapeId="0" xr:uid="{00000000-0006-0000-0700-000001000000}">
      <text>
        <r>
          <rPr>
            <b/>
            <sz val="9"/>
            <color indexed="81"/>
            <rFont val="Tahoma"/>
            <family val="2"/>
          </rPr>
          <t>U.VFILTER filters rows based on specified criteria. Here the data is filtered for rows where the Symbol column is equal to "IBM" and the Side column is equal to "S" (not case-sensitive). The original order of the rows is retained in the result.</t>
        </r>
      </text>
    </comment>
    <comment ref="W8" authorId="0" shapeId="0" xr:uid="{00000000-0006-0000-0700-000002000000}">
      <text>
        <r>
          <rPr>
            <b/>
            <sz val="9"/>
            <color indexed="81"/>
            <rFont val="Tahoma"/>
            <family val="2"/>
          </rPr>
          <t>Basic equality filters go into a 2-column matrix with the column on the left and the value on the right. Only rows that pass all filters are returned in results.
Arbitrarily many filter conditions are supported.
If filtering the values in a column vector, including the column indicator is optional (column 1 assumed if not specified).</t>
        </r>
      </text>
    </comment>
    <comment ref="W18" authorId="0" shapeId="0" xr:uid="{00000000-0006-0000-0700-000003000000}">
      <text>
        <r>
          <rPr>
            <b/>
            <sz val="9"/>
            <color indexed="81"/>
            <rFont val="Tahoma"/>
            <family val="2"/>
          </rPr>
          <t>Column numbers can also be specified instead of column labels, as may be needed if the data does not have column labels. Or a mix of column labels and column numbers can be used, as seen here. Negative column numbers can be specified, in which case the counting is from the right (the special string "last()" can be used and is the same as -1).</t>
        </r>
      </text>
    </comment>
    <comment ref="W28" authorId="0" shapeId="0" xr:uid="{00000000-0006-0000-0700-000004000000}">
      <text>
        <r>
          <rPr>
            <b/>
            <sz val="9"/>
            <color indexed="81"/>
            <rFont val="Tahoma"/>
            <family val="2"/>
          </rPr>
          <t>If a column is specified twice, it becomes an OR condition. Here the Symbol column is given twice (once as a column label and once as a column number), so a row will pass the filter if it contains either of the specified values.</t>
        </r>
      </text>
    </comment>
    <comment ref="S38" authorId="0" shapeId="0" xr:uid="{00000000-0006-0000-0700-000005000000}">
      <text>
        <r>
          <rPr>
            <b/>
            <sz val="9"/>
            <color indexed="81"/>
            <rFont val="Tahoma"/>
            <family val="2"/>
          </rPr>
          <t xml:space="preserve">Here only rows whose symbol matches the pattern "*Jun*" (not case-sensitive) are returned.
</t>
        </r>
      </text>
    </comment>
    <comment ref="W38" authorId="0" shapeId="0" xr:uid="{00000000-0006-0000-0700-000006000000}">
      <text>
        <r>
          <rPr>
            <b/>
            <sz val="9"/>
            <color indexed="81"/>
            <rFont val="Tahoma"/>
            <family val="2"/>
          </rPr>
          <t>Wildcard values can be used. An asterisk (*) matches zero or many characters, and a question mark (?) matches exactly 1 character.
To match a data value that actually contains an asterisk or question mark, escape that character in the filter with a backslash. For example, to match "Why?" set a filter value of "Why\?" so that the question mark in the filter is not treated as a wildcard.</t>
        </r>
      </text>
    </comment>
    <comment ref="W48" authorId="0" shapeId="0" xr:uid="{00000000-0006-0000-0700-000007000000}">
      <text>
        <r>
          <rPr>
            <b/>
            <sz val="9"/>
            <color indexed="81"/>
            <rFont val="Tahoma"/>
            <family val="2"/>
          </rPr>
          <t>To use regular expressions instead of simple wildcards, prefix the value with "[regex]" as seen here. In this example, brokers whose names contain the pattern O then exactly 4 other characters then E are returned.
This simplistic case could have been achieved using simple wildcards with *O????E*, but in more complicated scenarios the power of regular expressions may be needed.
Note that with both regular expressions and wildcards, string line start and end marks are automatically applied. In this example, the regex string is ^(\r\n|\n)*.*O.{4}E.*(\r\n|\n)*\Z</t>
        </r>
      </text>
    </comment>
    <comment ref="S59" authorId="0" shapeId="0" xr:uid="{00000000-0006-0000-0700-000008000000}">
      <text>
        <r>
          <rPr>
            <b/>
            <sz val="9"/>
            <color indexed="81"/>
            <rFont val="Tahoma"/>
            <family val="2"/>
          </rPr>
          <t>Any filter can be turned into an exclusion filter by setting the optional 3rd "IsExclusion" parameter to TRUE. Here the method returns rows where the broker is NOT equal to either "broker_a" or "broker_b".</t>
        </r>
      </text>
    </comment>
    <comment ref="W59" authorId="0" shapeId="0" xr:uid="{00000000-0006-0000-0700-000009000000}">
      <text>
        <r>
          <rPr>
            <b/>
            <sz val="9"/>
            <color indexed="81"/>
            <rFont val="Tahoma"/>
            <family val="2"/>
          </rPr>
          <t>This example also illustrates yet another way that OR conditions can be specified: by providing a comma-delimited list in the 2nd column of the filter params.
If you want to do a list-based filter where one of the items actually has a comma in it, then use a backslash to escape the comma so it is not treated as a delimiter. For example, of a filter list has the two items "ACME, LLC" and "IBM" then the list should be provided as "ACME\, LLC, IBM".</t>
        </r>
      </text>
    </comment>
    <comment ref="S70" authorId="0" shapeId="0" xr:uid="{00000000-0006-0000-0700-00000A000000}">
      <text>
        <r>
          <rPr>
            <b/>
            <sz val="9"/>
            <color indexed="81"/>
            <rFont val="Tahoma"/>
            <family val="2"/>
          </rPr>
          <t>Records for broker TOM are included even though filter list technically has " TOM" (with leading space)</t>
        </r>
      </text>
    </comment>
    <comment ref="W70" authorId="0" shapeId="0" xr:uid="{00000000-0006-0000-0700-00000B000000}">
      <text>
        <r>
          <rPr>
            <b/>
            <sz val="9"/>
            <color indexed="81"/>
            <rFont val="Tahoma"/>
            <family val="2"/>
          </rPr>
          <t>U will ignore any whitespace around individual entries in a comma-delimited list of values. In this example there is a space after the comma and before "tom" ...but see that records with Broker = TOM are still included to the left. See example immediately below if the intent is to include the whitespace in the match.</t>
        </r>
      </text>
    </comment>
    <comment ref="S79" authorId="0" shapeId="0" xr:uid="{00000000-0006-0000-0700-00000C000000}">
      <text>
        <r>
          <rPr>
            <b/>
            <sz val="9"/>
            <color indexed="81"/>
            <rFont val="Tahoma"/>
            <family val="2"/>
          </rPr>
          <t>Records for broker "TOM" are excluded because the filter list explicitly says to retain whitespace (the leading blank in " tom")</t>
        </r>
      </text>
    </comment>
    <comment ref="X79" authorId="0" shapeId="0" xr:uid="{00000000-0006-0000-0700-00000D000000}">
      <text>
        <r>
          <rPr>
            <b/>
            <sz val="9"/>
            <color indexed="81"/>
            <rFont val="Tahoma"/>
            <family val="2"/>
          </rPr>
          <t>When U sees a list, it will look for an optional 3rd column. If a 3rd column is provided and contains the boolean value TRUE, then any whitespace around items in the list will be kept. In this example records that have Broker = "TOM" no longer pass the filter because the filter parameter is " TOM" with the leading whitespace.</t>
        </r>
      </text>
    </comment>
    <comment ref="X91" authorId="0" shapeId="0" xr:uid="{00000000-0006-0000-0700-00000E000000}">
      <text>
        <r>
          <rPr>
            <b/>
            <sz val="9"/>
            <color indexed="81"/>
            <rFont val="Tahoma"/>
            <family val="2"/>
          </rPr>
          <t>Filter lists can also be provided in explicit ranges passed to any of the final 3 optional parameters. In this example the 2nd parameter is just a single column, but then 2 lists are passed in the ending optional params. U will apply the lists provided to the corresponding columns: List 1 is applied to the "Symbol" column because that is the first column listed, and List 2 is applied to the "Broker" column because that is the 2nd column listed.</t>
        </r>
      </text>
    </comment>
    <comment ref="X102" authorId="0" shapeId="0" xr:uid="{00000000-0006-0000-0700-00000F000000}">
      <text>
        <r>
          <rPr>
            <b/>
            <sz val="9"/>
            <color indexed="81"/>
            <rFont val="Tahoma"/>
            <family val="2"/>
          </rPr>
          <t>The use of filter lists in ranges can be combined with other types of filters. If the 2nd parameter is more than 1 column wide but a given filter should still use an explicit list, then any additional columns in that row must contain only a comma.
This example is essentially the same as immediately above, but the "Broker" column filter is an equality filter rather than a 1-item list filter. The Symbol filter is still supposed to refer to the list, and to make it do that a comma is provided in the 2nd column (if it is some value other than a comma, U will interpret it as meaning that Symbol must equal that value).
If there is an unlikely need to provide a comma in the 2nd column as an actual filter value, not a list reference indicator, then escape it with a backslash (i.e.: \,).</t>
        </r>
      </text>
    </comment>
    <comment ref="S119" authorId="0" shapeId="0" xr:uid="{00000000-0006-0000-0700-000010000000}">
      <text>
        <r>
          <rPr>
            <b/>
            <sz val="9"/>
            <color indexed="81"/>
            <rFont val="Tahoma"/>
            <family val="2"/>
          </rPr>
          <t>Here the rows are returned where NEITHER the symbol nor broker column contain an "a" (neither matches the pattern *a*). It returns the ones that don't match because the optional IsExclusion parameter is set to TRUE.</t>
        </r>
      </text>
    </comment>
    <comment ref="W119" authorId="0" shapeId="0" xr:uid="{00000000-0006-0000-0700-000011000000}">
      <text>
        <r>
          <rPr>
            <b/>
            <sz val="9"/>
            <color indexed="81"/>
            <rFont val="Tahoma"/>
            <family val="2"/>
          </rPr>
          <t>OR conditions can be applied across columns by including multiple columns in a single cell separated by a comma. In this example the filter would return rows where either the Symbol OR the Broker column contain an "a" character ...but as noted to the left, the exclusion filter is set to invert the result.
If a column label actually has a comma in it, then escape the comma with a backslash in the filter params so it is not treated as a delimiter (e.g.: ACME\, LLC).</t>
        </r>
      </text>
    </comment>
    <comment ref="S129" authorId="0" shapeId="0" xr:uid="{00000000-0006-0000-0700-000012000000}">
      <text>
        <r>
          <rPr>
            <b/>
            <sz val="9"/>
            <color indexed="81"/>
            <rFont val="Tahoma"/>
            <family val="2"/>
          </rPr>
          <t>Here the rows are returned where columns 2 through 5 have a 3 in their values AND the P&amp;L column has a 1 in its value.</t>
        </r>
      </text>
    </comment>
    <comment ref="W129" authorId="0" shapeId="0" xr:uid="{00000000-0006-0000-0700-000013000000}">
      <text>
        <r>
          <rPr>
            <b/>
            <sz val="9"/>
            <color indexed="81"/>
            <rFont val="Tahoma"/>
            <family val="2"/>
          </rPr>
          <t>The columns checked when an OR condition is applied across columns can be specified as a range of columns whose delimiter is a hyphen. Values on either side of the hyphen can be column labels or column numbers. In this example, the first filter is columns between columns "broker" (the 2nd column) and the 5th column that contain a "3" anywhere in their values. Such or filters can of course be part of a larger set of filter params -- in this case the data is also filtered to rows that have a "1" in their P&amp;L column values.
If an asterisk (*) is used as the column indicator, then the OR condition is applied to all columns in the data. A double asterisk (**) will also apply the check to all columns, but indicates that the first row has labels and so will be returned even if no rows pass the filter.</t>
        </r>
      </text>
    </comment>
    <comment ref="S145" authorId="0" shapeId="0" xr:uid="{00000000-0006-0000-0700-000014000000}">
      <text>
        <r>
          <rPr>
            <b/>
            <sz val="9"/>
            <color indexed="81"/>
            <rFont val="Tahoma"/>
            <family val="2"/>
          </rPr>
          <t>By default, filters representing columns that do not exist will be ignored. Here the "Trader" column in the filter params does not exist, so that filter is ignored.</t>
        </r>
      </text>
    </comment>
    <comment ref="W147" authorId="0" shapeId="0" xr:uid="{00000000-0006-0000-0700-000015000000}">
      <text>
        <r>
          <rPr>
            <b/>
            <sz val="9"/>
            <color indexed="81"/>
            <rFont val="Tahoma"/>
            <family val="2"/>
          </rPr>
          <t xml:space="preserve">"Trader" column does not exist in the data.
</t>
        </r>
      </text>
    </comment>
    <comment ref="S153" authorId="0" shapeId="0" xr:uid="{00000000-0006-0000-0700-000016000000}">
      <text>
        <r>
          <rPr>
            <b/>
            <sz val="9"/>
            <color indexed="81"/>
            <rFont val="Tahoma"/>
            <family val="2"/>
          </rPr>
          <t>Here the optional 4th parameter "Expect All Columns" parameter is set to TRUE. Now no row passes the filters since no row has a "Trader" column. In this case I nested the call in U.PAD to prevent Excel from copying down the titles in the range (which is Excel's default behavior).
Here the same filter params are hard-coded into the formula using Excel's array syntax.</t>
        </r>
      </text>
    </comment>
    <comment ref="S164" authorId="0" shapeId="0" xr:uid="{00000000-0006-0000-0700-000017000000}">
      <text>
        <r>
          <rPr>
            <b/>
            <sz val="9"/>
            <color indexed="81"/>
            <rFont val="Tahoma"/>
            <family val="2"/>
          </rPr>
          <t>Here all rows are returned where the Broker name is between "Alan" and "Brian" inclusive when sorted alphanumerically (not case-sensitive).</t>
        </r>
      </text>
    </comment>
    <comment ref="X164" authorId="0" shapeId="0" xr:uid="{00000000-0006-0000-0700-000018000000}">
      <text>
        <r>
          <rPr>
            <b/>
            <sz val="9"/>
            <color indexed="81"/>
            <rFont val="Tahoma"/>
            <family val="2"/>
          </rPr>
          <t>If the filter params are 3 columns wide and the 2nd column is not a list, then they are a range filter instead of an equality filter. All functionality related to OR conditions, exclusion filters, wildcards, etc also function as expected with range filters.
A 2nd column containing commas will only be interpreted as a list if the 3rd column is blank, a comma (',' or 'not(,)') or a boolean value.</t>
        </r>
      </text>
    </comment>
    <comment ref="S174" authorId="0" shapeId="0" xr:uid="{00000000-0006-0000-0700-000019000000}">
      <text>
        <r>
          <rPr>
            <b/>
            <sz val="9"/>
            <color indexed="81"/>
            <rFont val="Tahoma"/>
            <family val="2"/>
          </rPr>
          <t>Here all rows are returned where the P&amp;L is between negative infinity and -50 inclusive.</t>
        </r>
      </text>
    </comment>
    <comment ref="X174" authorId="0" shapeId="0" xr:uid="{00000000-0006-0000-0700-00001A000000}">
      <text>
        <r>
          <rPr>
            <b/>
            <sz val="9"/>
            <color indexed="81"/>
            <rFont val="Tahoma"/>
            <family val="2"/>
          </rPr>
          <t>If both the filter values are numeric and the values in the column are numeric, then range filtering will be based on a numeric sort rather than an alphanumeric sort.
Also, if one side of a range sort is left blank, then it will treat the range as unbounded on that side.</t>
        </r>
      </text>
    </comment>
    <comment ref="S184" authorId="0" shapeId="0" xr:uid="{00000000-0006-0000-0700-00001B000000}">
      <text>
        <r>
          <rPr>
            <b/>
            <sz val="9"/>
            <color indexed="81"/>
            <rFont val="Tahoma"/>
            <family val="2"/>
          </rPr>
          <t>Here all rows are returned where the P&amp;L is between negative infinity and -50 inclusive AND the symbol is equal to AAPL.</t>
        </r>
      </text>
    </comment>
    <comment ref="X184" authorId="0" shapeId="0" xr:uid="{00000000-0006-0000-0700-00001C000000}">
      <text>
        <r>
          <rPr>
            <b/>
            <sz val="9"/>
            <color indexed="81"/>
            <rFont val="Tahoma"/>
            <family val="2"/>
          </rPr>
          <t>Range and equality filters can be mixed by using 3 columns; where an equality is desired just set the high and low range values to be the same.</t>
        </r>
      </text>
    </comment>
    <comment ref="W195" authorId="0" shapeId="0" xr:uid="{7B5F11EC-DC7F-4A32-9157-C829F07618D3}">
      <text>
        <r>
          <rPr>
            <b/>
            <sz val="9"/>
            <color indexed="81"/>
            <rFont val="Tahoma"/>
            <family val="2"/>
          </rPr>
          <t>A "not(&lt;value&gt;)" function can be placed around a filter value, in which case a data value will pass if it does not match the enclosed value. The 'not' function can also enclose comma-delimited lists, in which case a value will pass provided it does not match any value in that list. Set the filter parameter value to "not(,)" to change a list referenced in a list parameter to a "not any" list. In this example, row are returned where the Symbol is IBM and the Broker does not start with 'B'.
The not function simplifies cases where inclusion and exclusion filtering must be mixed, but in most cases it is better to set the 4th "is_exclusion" parameter to TRUE to create an exclusion filter.</t>
        </r>
      </text>
    </comment>
    <comment ref="S206" authorId="0" shapeId="0" xr:uid="{00000000-0006-0000-0700-00001D000000}">
      <text>
        <r>
          <rPr>
            <b/>
            <sz val="9"/>
            <color indexed="81"/>
            <rFont val="Tahoma"/>
            <family val="2"/>
          </rPr>
          <t>Filter params can alternatively be laid out horizontally, with each separated by commas within parentheses in the U.VFILTER call. This can be convenient when having filters that vary for each row and you want to be able to easily copy formulas down. It is also another way to mix range filters and equality filters (make some 3 columns wide and others 2 columns wide). This example is identical to the one just above it, just with the filter params arranged horizontally.</t>
        </r>
      </text>
    </comment>
    <comment ref="S216" authorId="0" shapeId="0" xr:uid="{00000000-0006-0000-0700-00001E000000}">
      <text>
        <r>
          <rPr>
            <b/>
            <sz val="9"/>
            <color indexed="81"/>
            <rFont val="Tahoma"/>
            <family val="2"/>
          </rPr>
          <t xml:space="preserve">If only a single column is provided for filter params, the method will return those rows where the specified columns are not blank or empty
…UNLESS there are also lists provided in the final 3 optional parameters, in which case the corresponding lists will be used where available. For example, if 2 filter lists were given in this example then the "Broker" column would be filtered based on the first list given (since it is the first column listed); the "Symbol" column would be filtered based on the 2nd list given; and the "Quantity" column filter will return rows where that column's value is not blank or empty since there is no list for it to reference.
</t>
        </r>
      </text>
    </comment>
    <comment ref="S224" authorId="0" shapeId="0" xr:uid="{00000000-0006-0000-0700-00001F000000}">
      <text>
        <r>
          <rPr>
            <b/>
            <sz val="9"/>
            <color indexed="81"/>
            <rFont val="Tahoma"/>
            <family val="2"/>
          </rPr>
          <t>If no filter params at all are provided, then rows containing only blanks and/or errors will be filtered out (4th and 9th rows in this example).</t>
        </r>
      </text>
    </comment>
    <comment ref="V240" authorId="0" shapeId="0" xr:uid="{00000000-0006-0000-0700-000020000000}">
      <text>
        <r>
          <rPr>
            <b/>
            <sz val="9"/>
            <color indexed="81"/>
            <rFont val="Tahoma"/>
            <family val="2"/>
          </rPr>
          <t>If an asterisk (*) is specified as the column indicator, a row will pass the filter if any column in the row passes. Here rows that contain an 8 in any column are returned.
The special double asterisk (**) is used here to indicate explicitly that the first row of the table contains labels that should be included in the result. If a single asterisk were used, the labels row would be filtered out because no value in that row contains an 8.</t>
        </r>
      </text>
    </comment>
    <comment ref="V249" authorId="0" shapeId="0" xr:uid="{00000000-0006-0000-0700-000021000000}">
      <text>
        <r>
          <rPr>
            <b/>
            <sz val="9"/>
            <color indexed="81"/>
            <rFont val="Tahoma"/>
            <family val="2"/>
          </rPr>
          <t>To filter rows where *every* column passes the filter criteria instead if just *any* column, surround the comma-delimited list of columns that must pass the filter in an and() function, for example and(symbol,broker).
The asterisk syntax can also be used with the and() function. In this example rows are returned if every column contains either a blank, a 2, a 5 or a 'b'. As with the example above, the double asterisk is used to indicate that the table has labels which should be returned.</t>
        </r>
      </text>
    </comment>
    <comment ref="V258" authorId="0" shapeId="0" xr:uid="{00000000-0006-0000-0700-000022000000}">
      <text>
        <r>
          <rPr>
            <b/>
            <sz val="9"/>
            <color indexed="81"/>
            <rFont val="Tahoma"/>
            <family val="2"/>
          </rPr>
          <t>The and() function can be combined seamlessly with other parameters following all the usual rules, and also column labels and/or numbers can be used.
In this example, rows are returned if both the P&amp;L and Current Delta columns contain a zero OR if the symbol column contains a zero ...AND the side column contains a 'b' or an 's'.</t>
        </r>
      </text>
    </comment>
    <comment ref="V267" authorId="0" shapeId="0" xr:uid="{6A40EE60-1D76-493F-95D2-7EA97991F3A4}">
      <text>
        <r>
          <rPr>
            <b/>
            <sz val="9"/>
            <color indexed="81"/>
            <rFont val="Tahoma"/>
            <family val="2"/>
          </rPr>
          <t>If an OR filter condition is needed where the filter values should be different for different columns, then include "or()" within the list of columns for each row that makes up the OR condition. Here, rows will be returned if either the symbol starts with 'A' or the broker ends with "_B". The "or()" function can be placed anywhere within the list of columns do, so for example the first row could equally have been "or(),symbol".</t>
        </r>
      </text>
    </comment>
    <comment ref="V276" authorId="0" shapeId="0" xr:uid="{1DC4F82C-EA85-4EAB-8850-46239BAE78B3}">
      <text>
        <r>
          <rPr>
            <b/>
            <sz val="9"/>
            <color indexed="81"/>
            <rFont val="Tahoma"/>
            <family val="2"/>
          </rPr>
          <t>The "or()" function takes a parameter for specifying an "or key." In this way, different groups of OR conditions can be specified. In this example, the first 2 rows of filter params are grouped into a single OR condition because they share an or key (a blank), and the last 2 rows of the filter condition are grouped because they share an or key (the number 1). So rows that match the filter are those where either the symbol starts with 'A' or the broker ends with "_B"  *AND*  where either the quantity is 100 or the P&amp;L is -7.
Simply for variation, the "or(1)" is placed at the start of the list of columns in the last filter param row.</t>
        </r>
      </text>
    </comment>
    <comment ref="V287" authorId="0" shapeId="0" xr:uid="{00000000-0006-0000-0700-000023000000}">
      <text>
        <r>
          <rPr>
            <b/>
            <sz val="9"/>
            <color indexed="81"/>
            <rFont val="Tahoma"/>
            <family val="2"/>
          </rPr>
          <t>U.VFILTER supports functions that modify the value used in the filter logic. In this contrived example, the filter parameters indicate that the truncated value of the "Trade Price" column must equal 142. Other functions currently supported are sign(), remainder() and len() though more will be added over time. Excel errors are assigned a length of -1 when len() is used. The function match_case() is also supported, which will make string filters case-sensitive.
The special functions skip(n) and take(n) are applied to the final result before it is returned. The skip function will remove the specified number of rows from the top (or bottom if the n is negative) and the take will return the specified number of rows from the top (or bottom if n is negative). If both are present, the skip is always applied before the take. Any value in the 2nd column is ignored for skip and take. A 2nd parameter of true (e.g. skip(n,true)) can be included, in which case the skip/take is applied to the orthogonal vector (to columns for VFILTER and to rows for HFILTER). Variants of skip/take with and without the additional parameter can be provided in a single call.</t>
        </r>
      </text>
    </comment>
    <comment ref="S305" authorId="0" shapeId="0" xr:uid="{00000000-0006-0000-0700-000024000000}">
      <text>
        <r>
          <rPr>
            <b/>
            <sz val="9"/>
            <color indexed="81"/>
            <rFont val="Tahoma"/>
            <family val="2"/>
          </rPr>
          <t>To receive the row numbers of the rows that pass the filter, instead of the rows themselves, include the special get_index() method in the list of filter params. Any columns to the right of get_index() must be empty.
One common use case for get_index() is discovering specific rows before or after which to insert other rows using U.VINSERT. That method requires row differentials, not absolute row numbers. To have U.VFILTER return the differentials between row numbers instead of the row numbers themselves, use get_index(diffs).</t>
        </r>
      </text>
    </comment>
    <comment ref="S313" authorId="0" shapeId="0" xr:uid="{21DA2FD5-112A-4338-B8FE-2B128E42672D}">
      <text>
        <r>
          <rPr>
            <b/>
            <sz val="9"/>
            <color indexed="81"/>
            <rFont val="Tahoma"/>
            <family val="2"/>
          </rPr>
          <t>To return both the row number and the result row, use get_index(1) (or get_index(true)). See that to the left the row number is prepended to the result rows. Row differences could be prepended instead by using get_index(1,diff) (or get_index(diff,1)). To have row numbers (or diffs) appended to the end of the result, use -1.</t>
        </r>
      </text>
    </comment>
    <comment ref="V340" authorId="0" shapeId="0" xr:uid="{00000000-0006-0000-0700-000025000000}">
      <text>
        <r>
          <rPr>
            <b/>
            <sz val="9"/>
            <color indexed="81"/>
            <rFont val="Tahoma"/>
            <family val="2"/>
          </rPr>
          <t>For U.HFILTER, the orientation of the filter parameters does not change.</t>
        </r>
      </text>
    </comment>
    <comment ref="O341" authorId="0" shapeId="0" xr:uid="{00000000-0006-0000-0700-000026000000}">
      <text>
        <r>
          <rPr>
            <b/>
            <sz val="9"/>
            <color indexed="81"/>
            <rFont val="Tahoma"/>
            <family val="2"/>
          </rPr>
          <t>U.HFILTER functions exactly like U.VFILTER but operates horizontally on columns of data instead vertically on rows of data.
Here, the data is identical to the data at the top of this sheet, just transposed so that trade records are spread across columns instead of rows.</t>
        </r>
      </text>
    </comment>
    <comment ref="P356" authorId="0" shapeId="0" xr:uid="{00000000-0006-0000-0700-000027000000}">
      <text>
        <r>
          <rPr>
            <b/>
            <sz val="9"/>
            <color indexed="81"/>
            <rFont val="Tahoma"/>
            <family val="2"/>
          </rPr>
          <t>U.GRID_FILTER performs both a vertical and horizontal filter on a grid of data. It differs form a linear combination of U.VFILTER and U.HFILTER in the following ways:
 --it always returns values from the top row and leftmost column because they are presumed to contain labels.
 --the "expect all rows(columns)" flag is true by default (it can be set to false via the optional 7th parameter)
  --all rows and columns can be used for filtering even if they are, themselves, filtered out of results (if an U.VFILTER is nested in an U.HFILTER, rows removed by U.VFILTER would not be available to U.HFILTER for use in filter params)
U.GRID_FILTER filter supports the full range of filtering functionality provided by U.VFILTER and U.HFILTER, including using filter ranges and lists, wildcards, and specifying the filter is an exclusion filter (exclusion can be set for both rows and columns or either independently). The syntax of the filter params is the same as for U.VFILTER and U.HFILTER with one difference: if the filter param does not appear to refer to a valid row/column, then it will assume the filter param contains only values and will apply them to the first row/column. In this example, the stocks are filtered by a list and the dates by a range. The Date param could optionally have been just 2 columns wide and had just the dates, and the 1 would have been assumed.</t>
        </r>
      </text>
    </comment>
    <comment ref="W356" authorId="0" shapeId="0" xr:uid="{00000000-0006-0000-0700-000028000000}">
      <text>
        <r>
          <rPr>
            <b/>
            <sz val="9"/>
            <color indexed="81"/>
            <rFont val="Tahoma"/>
            <family val="2"/>
          </rPr>
          <t>For U.GRID_FILTER params are the same as U.VFILTER and U.HFILTER params. The row and column filters can apply distinct types of filtering as in this example.</t>
        </r>
      </text>
    </comment>
    <comment ref="P377" authorId="0" shapeId="0" xr:uid="{00000000-0006-0000-0700-000029000000}">
      <text>
        <r>
          <rPr>
            <b/>
            <sz val="9"/>
            <color indexed="81"/>
            <rFont val="Tahoma"/>
            <family val="2"/>
          </rPr>
          <t>If the provided sort param contains a value that is not a valid index number but does appear once in the outermost label vector, the method will assume the user intends to apply the filter to the grid vector containing that value. In this case "FB" is provided in the columns filter param, and since FB looks like a row label in the data the grid is filtered to include only columns where the row with the label "FB" has a value between 185 and 186.</t>
        </r>
      </text>
    </comment>
    <comment ref="P389" authorId="0" shapeId="0" xr:uid="{00000000-0006-0000-0700-00002A000000}">
      <text>
        <r>
          <rPr>
            <b/>
            <sz val="9"/>
            <color indexed="81"/>
            <rFont val="Tahoma"/>
            <family val="2"/>
          </rPr>
          <t>Or conditions are also supported just as in U.VFILTER and U.HFILTER. In this example, only columns where the value in row AAPL or row GM contain a zero are returned.
Note that 2/27/18 is not returned for AAPL because the trailing zero displayed in 175.90 does not actually exist in the data.</t>
        </r>
      </text>
    </comment>
    <comment ref="P398" authorId="0" shapeId="0" xr:uid="{00000000-0006-0000-0700-00002B000000}">
      <text>
        <r>
          <rPr>
            <b/>
            <sz val="9"/>
            <color indexed="81"/>
            <rFont val="Tahoma"/>
            <family val="2"/>
          </rPr>
          <t>An asterisk (*) can be used to indicate that the filter param applies to any row/column in the data range. This example is just like the one above, except a row filter is also added that returns only those rows where any data column has a value between 44 and 152.
A double asterisk (**) behaves similarly but will also include the row and column labels when checking for a match.</t>
        </r>
      </text>
    </comment>
    <comment ref="P407" authorId="0" shapeId="0" xr:uid="{00000000-0006-0000-0700-00002C000000}">
      <text>
        <r>
          <rPr>
            <b/>
            <sz val="9"/>
            <color indexed="81"/>
            <rFont val="Tahoma"/>
            <family val="2"/>
          </rPr>
          <t>If no filter params at all are provided, then those rows and columns containing only empty cells are removed. In this example all values for column 9/30/18 are blank so that column is removed. Also all values for row SPX are blank so that row is removed.</t>
        </r>
      </text>
    </comment>
    <comment ref="P415" authorId="0" shapeId="0" xr:uid="{00000000-0006-0000-0700-00002D000000}">
      <text>
        <r>
          <rPr>
            <b/>
            <sz val="9"/>
            <color indexed="81"/>
            <rFont val="Tahoma"/>
            <family val="2"/>
          </rPr>
          <t>The exclusion parameter is still supported when no other filter parameters are set. This example has it set, so is the inverse of the example immediately above: columns and rows where all value are blank are returned.</t>
        </r>
      </text>
    </comment>
    <comment ref="P426" authorId="0" shapeId="0" xr:uid="{00000000-0006-0000-0700-00002E000000}">
      <text>
        <r>
          <rPr>
            <b/>
            <sz val="9"/>
            <color indexed="81"/>
            <rFont val="Tahoma"/>
            <family val="2"/>
          </rPr>
          <t>Here is a scenario that could not be easily solved with a combination of U.VFILTER and U.HFILTER. Suppose the desire is to return those symbols where there was a position as of 12/31/2017 but only for dates where a hedge was in place. The issue is that there was no hedge in place as of 12/31/2017. So if the data is VFILTERED to remove rows with no position on 12/31/2017, then the SPX row would be removed and could not subsequently be used by an HFIILTER to filter for the desired columns. Similarly, if an HFILTER is done first then the 12/31/2017 column would be removed and not available to a subsequent VFILTER to filter for the desired rows.
As seen here, U.GRID_FILTER will determine the rows and columns to remove based on data in the entire grid, and is therefore able to return the desired result in this scenario (sidebar: I am using the syntax of just passing a label name as a param for both the row and column filters -- that will return those columns/rows where the value is not blank for the specified row/column, just as in U.VFILTER and U.HFILTER).</t>
        </r>
      </text>
    </comment>
    <comment ref="P442" authorId="0" shapeId="0" xr:uid="{00000000-0006-0000-0700-00002F000000}">
      <text>
        <r>
          <rPr>
            <b/>
            <sz val="9"/>
            <color indexed="81"/>
            <rFont val="Tahoma"/>
            <family val="2"/>
          </rPr>
          <t>U.GRID_FILTER supports labels that are multiple vectors deep.</t>
        </r>
      </text>
    </comment>
    <comment ref="P454" authorId="0" shapeId="0" xr:uid="{00000000-0006-0000-0700-000030000000}">
      <text>
        <r>
          <rPr>
            <b/>
            <sz val="9"/>
            <color indexed="81"/>
            <rFont val="Tahoma"/>
            <family val="2"/>
          </rPr>
          <t>If the grid labels are themselves labeled, those labels can be used in setting the filter parameters.
To ensure that the value portion of the grid is properly detected, it is recommended to use column names instead of numbers when a grid contain labels for its row and/or column labels.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K7" authorId="0" shapeId="0" xr:uid="{00000000-0006-0000-0800-000001000000}">
      <text>
        <r>
          <rPr>
            <b/>
            <sz val="9"/>
            <color indexed="81"/>
            <rFont val="Tahoma"/>
            <family val="2"/>
          </rPr>
          <t>U.VLOOKUP finds the first row in a data range whose values match specified lookup values, and it then returns the specified return columns from that row. As seen in this example, U.VLOOKUP supports multiple lookup columns. This is unlike Excel's VLOOKUP which only looks up a single column's value. If no return columns are specified ...as in this example... then U.VLOOKUP will return all columns from the range of data that are not lookup value columns. In this case return columns will be in their original order.
As seen here, U.VLOOKUP will detect if both the data range and lookup values have common column labels, and if so it will use those labels to determine the proper columns in the data range on which to perform the lookups.</t>
        </r>
      </text>
    </comment>
    <comment ref="K19" authorId="0" shapeId="0" xr:uid="{00000000-0006-0000-0800-000002000000}">
      <text>
        <r>
          <rPr>
            <b/>
            <sz val="9"/>
            <color indexed="81"/>
            <rFont val="Tahoma"/>
            <family val="2"/>
          </rPr>
          <t>This example performs the same lookup as the first example, except the return columns are specified explicitly by setting the optional 4th parameter. The return columns could be specified in any vertical or horizontal range of cells, or they could be hard-coded into the equation. Here a range of labels directly above the call to U.VLOOKUP is referenced -- this is a common setup, and in this case it is desirable to have the columns dropped from the result of U.VLOOKUP (so that they are not repeated). Setting the optional 5th parameter to TRUE will cause labels, if any exist, to be dropped from results.
This example also shows how return columns are returned in the order specified.</t>
        </r>
      </text>
    </comment>
    <comment ref="M27" authorId="0" shapeId="0" xr:uid="{00000000-0006-0000-0800-000003000000}">
      <text>
        <r>
          <rPr>
            <b/>
            <sz val="9"/>
            <color indexed="81"/>
            <rFont val="Tahoma"/>
            <family val="2"/>
          </rPr>
          <t>If the list of specified return columns is the single boolean value TRUE, then all columns from the data range will be returned in result including those used in the lookup.
If the list of specified return columns is the single boolean value FALSE, then a single column of row numbers that indicate the location of the matching row will be returned.</t>
        </r>
      </text>
    </comment>
    <comment ref="M36" authorId="0" shapeId="0" xr:uid="{00000000-0006-0000-0800-000004000000}">
      <text>
        <r>
          <rPr>
            <b/>
            <sz val="9"/>
            <color indexed="81"/>
            <rFont val="Tahoma"/>
            <family val="2"/>
          </rPr>
          <t>If the data has labels but the lookup columns up do not have labels, the lookup columns will be applied to the leftmost data columns in order. If lookup column params are provided (as in this example), then lookup columns will first be applied to the columns in the lookup column params in the order listed; if there are more lookup columns than lookup column params, the remaining lookup columns will be applied to leftmost data columns that are not already specified in the lookup column params. As seen in this example, when lookup values do not contain labels then the results do not contain labels, which is necessary for placing results in the same row as the values being lookup up.
In this case there was really no need to include the default lookup type of zero in the lookup column params. A reference to just the 2 cells containing the column names could have been provided in the 3rd parameter, or the column labels could have been hard-coded into the equation using Excel's array syntax ({"Strategy";"Symbol"}) or even as comma-delimited values ("Strategy,Symbol"). Column numbers (2 for Strategy and 1 for Symbol) could also have been used and all of these forms would still work. Note that both 0 and "default" refer to the default lookup type (a blank would also refer to the default lookup type). If the lookup columns are all exact match lookups, they could also be provided as a row of values with a lookup column label in each cell.</t>
        </r>
      </text>
    </comment>
    <comment ref="K56" authorId="0" shapeId="0" xr:uid="{00000000-0006-0000-0800-000005000000}">
      <text>
        <r>
          <rPr>
            <b/>
            <sz val="9"/>
            <color indexed="81"/>
            <rFont val="Tahoma"/>
            <family val="2"/>
          </rPr>
          <t>When data does not contain labels, column numbers can be used to specify lookup and return columns. This is similar to how Excel's VLOOKUP function works, except that U.VLOOKUP supports having more than one lookup and return column as needed. Column numbers can be used even when labels are available, though use of labels is recommended in that case. Negative column numbers can be specified, in which case the counting is from the right (the special string "last()" can be used and is the same as -1).
In this example the lookup columns are not contiguous, so they are passed in the first parameter surrounded by parentheses and separated by a comma. The lookup column params indicate that the 1st of the lookup columns should be applied to column 3 in the data range, and the 2nd of the lookup columns should be applied to column 1.
Lookup columns can optionally be provided as a comma-delimited list (e.g.: "3,1" in this example, but could be "symbol,strategy" also). Any 2nd or 3rd columns in the lookup columns parameter (see example two down) will be applied to each column specified in the list.</t>
        </r>
      </text>
    </comment>
    <comment ref="L69" authorId="0" shapeId="0" xr:uid="{00000000-0006-0000-0800-000006000000}">
      <text>
        <r>
          <rPr>
            <b/>
            <sz val="9"/>
            <color indexed="81"/>
            <rFont val="Tahoma"/>
            <family val="2"/>
          </rPr>
          <t>By default U.VLOOKUP will only consider return columns that actually exist in the source data and lookup columns. In many cases there may be a desire to return a column for each specified return column whether or not that column exists, usually so that data will line up with other data in the sheet. This can be accomplished by passing a 2nd range in the return columns parameter that is a single cell with the value TRUE. In this example the return columns param specifies column 5, but no 5th column exists in the data. Because TRUE is passed as a 2nd range to the return columns parameter, a column of #N/A values is inserted before the Price column (because the return column of 5 was listed before the Price return column, which is column 4). Even when TRUE is passed as a 2nd range, any invalid columns that would be to the far right of the report will be dropped since they do not impact the alignment of valid columns. To retain even invalid columns that are in the right-most columns of the result, make the 2nd range 2 columns wide and pass TRUE in both cells.</t>
        </r>
      </text>
    </comment>
    <comment ref="K84" authorId="0" shapeId="0" xr:uid="{00000000-0006-0000-0800-000007000000}">
      <text>
        <r>
          <rPr>
            <b/>
            <sz val="9"/>
            <color indexed="81"/>
            <rFont val="Tahoma"/>
            <family val="2"/>
          </rPr>
          <t>If lookup values are passed in but no lookup columns are specified, or if fewer lookup column params are specified than there are lookup columns, U.VLOOKUP will apply those lookup values to the leftmost columns in the data range. In the above example indicating the 1st column in the lookup columns params was technically optional. Here is the same lookup with only the 3rd column specified. Two columns of lookup values are passed in, but only a single lookup column in the data range is specified (column 3), so the 2nd column of lookup values will be applied to the leftmost column in the data range that was not already used for a lookup ...which is column 1.</t>
        </r>
      </text>
    </comment>
    <comment ref="J94" authorId="0" shapeId="0" xr:uid="{00000000-0006-0000-0800-000008000000}">
      <text>
        <r>
          <rPr>
            <b/>
            <sz val="9"/>
            <color indexed="81"/>
            <rFont val="Tahoma"/>
            <family val="2"/>
          </rPr>
          <t xml:space="preserve">Sometimes the value to be looked up is not known exactly. The way a lookup value is matched to a value in the data column can be modified by including a 2nd column in the lookup columns parameter, where the 2nd value specifies how that column is matched. In this example, the value of 12 indicates that a match will be done against the value that is nearest to and lesser than the lookup value, but not exactly equal to it.
By default matches are only done on exact matches (but not case sensitive). Also type conversions occur in doing matches by default, so for example the string "02" will match the number 2 because they both convert to the number 2.
A full list of supported lookup type values is given in the table to the left.
Note that Excel's native VLOOKUP function does not do type conversion, so a string value of "23" will not match a numeric 23. If you wish to perform a lookup where values must be the same type in order to match, then include a 3rd column in the lookup columns parameter and set its value to TRUE.
The optional 2nd and 3rd columns in the lookup columns parameter can vary for each lookup column specified. If a value in the 2nd column is not recognized it will revert to default match type of exact ...which can be explicitly specified by 0 (zero).
The name of a lookup type can optionally be used instead of numeric lookup types. In this example "nearest_lesser_not_exact" could have been specified instead of the number 12. </t>
        </r>
      </text>
    </comment>
    <comment ref="H98" authorId="0" shapeId="0" xr:uid="{00000000-0006-0000-0800-000009000000}">
      <text>
        <r>
          <rPr>
            <b/>
            <sz val="9"/>
            <color indexed="81"/>
            <rFont val="Tahoma"/>
            <family val="2"/>
          </rPr>
          <t>This table lists valid values for the optional 2nd column of the lookup columns parameter, which if provided designates how a match will be performed. It can be retrieved by passing "types" as the only parameter into any of the lookup methods.
For string and wildcard matches (negative number values), the lookup value is immediately converted to a string before the lookup is performed. That means that a lookup value of the number 23 will NOT match with a string value "023" in a data column but it WILL still match with a string value of "23". If the desire is to never have numeric values match with string values, then provide the 3rd column in the lookup column parameter and set its value to TRUE.
For wildcard matches, asterisks ("*") in a lookup value will match with any number of characters in a data column value, and question marks ("?") in a lookup value will match with exactly 1 character in a data column value. If a wildcard match is used and you want to match a literal asterisk or question mark, precede the character with a backslash in the lookup value to escape it (e.g.: to lookup "why?" have a lookup value of "why\?") -- note this is only needed for wildcard lookup types, since by default * and ? are not treated as wildcard characters.
If greater matching flexibility is required, lookup values can be true regular expressions. For both regex and wildcard matches, string start/end marks are automatically ended as well as line start/end marks, so the match must be made against an entire value or an entire line in the value if the value contains multiple lines.</t>
        </r>
      </text>
    </comment>
    <comment ref="J131" authorId="0" shapeId="0" xr:uid="{00000000-0006-0000-0800-00000A000000}">
      <text>
        <r>
          <rPr>
            <b/>
            <sz val="9"/>
            <color indexed="81"/>
            <rFont val="Tahoma"/>
            <family val="2"/>
          </rPr>
          <t>When matching against non-exact numeric values, the match is made in the context of other lookup values that may be specified.
Here's an example where one might be trying to get the last trade for each symbol just before 3:00 PM. For the entire data set, the time that meets that criteria is 2:59:59 PM and only an IBM trade occurs at that time. However, a value is still returned for AAPL ...even though no trade occurs for AAPL at 2:59:59 PM... because it is evaluated against a time of 2:59:54 PM, which is the record immediately before but not equal to 3:00:00 PM that has symbol = AAPL.</t>
        </r>
      </text>
    </comment>
    <comment ref="J139" authorId="0" shapeId="0" xr:uid="{00000000-0006-0000-0800-00000B000000}">
      <text>
        <r>
          <rPr>
            <b/>
            <sz val="9"/>
            <color indexed="81"/>
            <rFont val="Tahoma"/>
            <family val="2"/>
          </rPr>
          <t>If the intent is to only return rows where a non-exact numeric match only matches a "global" value (i.e., ignoring other lookup values that may be specified) then enclose the Lookup Type value in the special "all()" method.
This example is the same as the one immediately above, except that the LookupType is enclosed in the "all()" method. Because of this, all rows will only be matched if they contain a Time value of 2:59:59 PM ...which is the nearest time before 3:00:00 PM across ALL rows regardless of Symbol. Because there is no AAPL trade at that time, a match cannot be made and #N/A is returned.
The lookup type could have been all(nearest_lesser_not_exact) and it would still have worked, since using the names of lookup types instead of their numbers is supported.</t>
        </r>
      </text>
    </comment>
    <comment ref="J152" authorId="0" shapeId="0" xr:uid="{00000000-0006-0000-0800-00000C000000}">
      <text>
        <r>
          <rPr>
            <b/>
            <sz val="9"/>
            <color indexed="81"/>
            <rFont val="Tahoma"/>
            <family val="2"/>
          </rPr>
          <t>If no lookup columns are provided at all, then any return columns specified will be returned in full in the order specified.</t>
        </r>
      </text>
    </comment>
    <comment ref="J164" authorId="0" shapeId="0" xr:uid="{00000000-0006-0000-0800-00000D000000}">
      <text>
        <r>
          <rPr>
            <b/>
            <sz val="9"/>
            <color indexed="81"/>
            <rFont val="Tahoma"/>
            <family val="2"/>
          </rPr>
          <t>Lookup column params can optionally be laid out horizontally. To do so, separate individual param rows by commas and include all in parentheses.
This example also illustrates use of string and wildcard matches. The symbol is set to a case-sensitive string match and the strategy matches any value that ends in "A" or "a" (because it is a case-insensitive wildcard match). No match is found for IBM because there is no row in the data where the Symbol column is "IBM" (all caps) AND the Strategy column ends in "A" or "a".
Note that true regular expression matches are also supported if simple wildcards are not sufficient for a complex lookup.</t>
        </r>
      </text>
    </comment>
    <comment ref="L178" authorId="0" shapeId="0" xr:uid="{00000000-0006-0000-0800-00000E000000}">
      <text>
        <r>
          <rPr>
            <b/>
            <sz val="9"/>
            <color indexed="81"/>
            <rFont val="Tahoma"/>
            <family val="2"/>
          </rPr>
          <t>By default U.VLOOKUP finds the single data row that matches the lookup values and returns it. Like with Excel's native VLOOKUP, this means that the result is generally aligned with the lookup values (i.e., in the same row).
If the optional 7th parameter ("return all matches") is set to TRUE, then U.VLOOKUP will return all rows that match the lookup values in the order of the lookup values. In this example the lookup values are "STRATEGY_A" and "STRATEGY_B". Since there are multiple rows that match each, and the 7th parameter is set to TRUE, all rows for each match are returned.</t>
        </r>
      </text>
    </comment>
    <comment ref="L187" authorId="0" shapeId="0" xr:uid="{00000000-0006-0000-0800-00000F000000}">
      <text>
        <r>
          <rPr>
            <b/>
            <sz val="9"/>
            <color indexed="81"/>
            <rFont val="Tahoma"/>
            <family val="2"/>
          </rPr>
          <t xml:space="preserve">Typically the columns returned from U.VLOOKUP are from the data table passed as the 2nd parameter. But there may be times when additional columns from the table of lookup values passed as the first parameter are also needed in the result. Columns from the table of lookup values can be included in the list of returned values like any other. When labels are used, the column will typically have the same column name as the corresponding column label in the data table. To explicitly identify that the column comes form the lookup values, append an asterisk ("*") to the end of the column indicator (whether providing a column number or a column name). For example, a list of return columns could include "date*" and "date" to return the "date" column from both the lookup values and the data table in the results (note that it would generally only be meaningful to include both when the match type is something other than "exact" ...since if the match type is exact then the two columns will have the same values). In the unlikely case where appending * to a column name would create an ambiguity (e.g.: a lookup column named "date" and a data column named "date*" ...and desire is to return the data column "date*") then the asterisk can be escaped ("date\*") to get the data column.
If the return columns contains exactly 2 cells and both are the boolean value TRUE, then all columns from both the lookup values table and the data table will be returned (lookup values to the left).
One may need to return additional columns from the table of lookup values ...but not want those values to factor into the lookup logic (in effect a database-style join). In that case, you can apply a match type of "anything" denoted by an asterisk ("*"). By indicating that a column of lookup values will match with anything, it can be included in the first parameter ...and so available to be returned... but it will not have any practical effect on the matching logic. In the example to the left, the column "Owner" from the lookup values is returned in the results. Normally its inclusion as a lookup value would result in no matches because no Owner column even exists in the data table. But a match type of "anything" has been specified, so only the Strategy column is used in the matching logic. Here the lookup column parameter of "*" (anything) and the return columns were hard-coded, but they could have been placed in cells and referenced. The only practical use for the "anything" match type is to make columns available for return in this way. Note that because an Owner column only exists in the table of lookup values, there was no need to append an asterisk to its name when specifying it as a return column (since no ambiguity regarding its location).
</t>
        </r>
      </text>
    </comment>
    <comment ref="L207" authorId="0" shapeId="0" xr:uid="{ECEF5EED-A1FC-4B2F-A74E-CCD52C2E88A9}">
      <text>
        <r>
          <rPr>
            <b/>
            <sz val="9"/>
            <color indexed="81"/>
            <rFont val="Tahoma"/>
            <family val="2"/>
          </rPr>
          <t>The optional 7th parameter can also take the special values "above(n)" and/or "below(n)" where n is the number of rows above and/or below the match to return, respectively, in addition to the match. Here a single row beneath each matched row is returned in addition to the matched row. Both can be included by having the above() and below() settings separated by commas or in different cells, and the "all matches" can also still optionally be included by include TRUE in either the comma-delimited string or in a cell containing the settings. To prevent rows from being included in the results muliple times, set the optional 6th parameter to TRUE.</t>
        </r>
      </text>
    </comment>
    <comment ref="K222" authorId="0" shapeId="0" xr:uid="{00000000-0006-0000-0800-000010000000}">
      <text>
        <r>
          <rPr>
            <b/>
            <sz val="9"/>
            <color indexed="81"/>
            <rFont val="Tahoma"/>
            <family val="2"/>
          </rPr>
          <t>By default, U.VLOOKUP will return the same data row for the same set of lookup values if lookup values are repeated, where the data row returned is the first one found that matches the lookup values. See here how the same row is consistently returned for a given symbol being looked up.</t>
        </r>
      </text>
    </comment>
    <comment ref="K232" authorId="0" shapeId="0" xr:uid="{00000000-0006-0000-0800-000011000000}">
      <text>
        <r>
          <rPr>
            <b/>
            <sz val="9"/>
            <color indexed="81"/>
            <rFont val="Tahoma"/>
            <family val="2"/>
          </rPr>
          <t>By setting the optional 6th parameter to TRUE, a given data row will only be matched once. This example is the same as above except that the optional 6th parameter is set to TRUE. Now the first occurrence of AAPL returns the first data row with that symbol, and the 2nd occurrence of AAPL returns the 2nd data row that matches. The same is true for the other symbols. Note that the 2nd occurrence of MSFT in the list of lookup values returns an error: because the data rows contain only a single row with MSFT as the symbol, and that row is already matched to the 2nd lookup value, there is no unmatched data row left to match this 2nd occurrence of MSFT in the lookup values.</t>
        </r>
      </text>
    </comment>
    <comment ref="K242" authorId="0" shapeId="0" xr:uid="{00000000-0006-0000-0800-000012000000}">
      <text>
        <r>
          <rPr>
            <b/>
            <sz val="9"/>
            <color indexed="81"/>
            <rFont val="Tahoma"/>
            <family val="2"/>
          </rPr>
          <t>The optional 8th parameter can be used to have something other than an #N/A error returned for failed matches. Here is the same example as above, but with a blank returned for the failed MSFT lookup.
If the 8th parameter is a column vector of values, then when a match fails the value returned will be the fail value in the corresponding row as the lookup value that failed to match ...or the last specified fail value if the fail row is beyond the number of fail values provided.</t>
        </r>
      </text>
    </comment>
    <comment ref="J255" authorId="0" shapeId="0" xr:uid="{00000000-0006-0000-0800-000013000000}">
      <text>
        <r>
          <rPr>
            <b/>
            <sz val="9"/>
            <color indexed="81"/>
            <rFont val="Tahoma"/>
            <family val="2"/>
          </rPr>
          <t>In some cases, users may want to have a column returned whose values are taken from various other columns. A "new" return column can be created by including the new() method within the list of columns to return. The new() function supports the following parameters:
  -Base: the column whose values will be checked to determine which other column's value will be output in each row of the new column
  -Map: the rules that associate a base value (or range of values) with a particular column from which to grab the new column's output value
  -Label (optional): the column label for the newly created column (a default label is applied if none is provided and the returned results includes column labels)
  -Default (optional): the value to return if no Map condition is found for the base value. If not specified, the value from the Base column is returned
The Map value is a collection of mappings in the form of {value or range}:{column} where the {value or range} can be a specific base value to match (wildcard characters are supported) or a range of values (indicated by a hyphen: e.g.: 75-87 means the value from the base column would match if it is between 75 and 87 inclusive). If there is a need to use a hyphen that is not meant to indicate a range, escape the hyphen with a backslash (e.g.: abc\-2 would match the string "abc-2"). Open-ended ranges are supported by having a hyphen without a 2nd value as in the "93-" mapping in this example. The individual mappings in the Map parameter are separated by a pipe character ('|'). Mappings are checked in the order provided, and the first mapping that matches is applied. Therefore, to have a "default" column's value used when a base value does not match a mapping simply include a final mapping of *:{column} ...since the wildcard * would map every possible base value. Map values can be prefixed with [regex] like in U.VFILTER to indicate that a regular expression match should be applied. Also the entire map value or either side of a map range can be inside of a match_case() function to indicate that the match should be case-sensitive (use of match_case() could be used for force an alphanumeric range comparison on range values that look like numbers).
Column indicators in the Base and Map parameters can be either column numbers or column names, and using an asterisk to specify that the column is in the lookup values instead of the data range is supported.
If the Default value can be parsed into a number, boolean, datetime or Excel error then it will be parsed. To return the default value as a string instead of the parsed type, escape the default value with a backslash (e.g.: make the default "\#N/A" instead of "#N/A" to have the string "#N/A" returned instead of an actual Excel #N/A error).
In this example, a specific reward is returned from a different column for each person based on that person's last score. Arbitrarily high scores will match the unbounded "93 or above" ("93-") mapping. A score that is below 75 will not match any mapping, so the default value of "coal" will be returned since that default is specified. If a default had not been provided, the value from the Base column would be returned (so in this example, if no default were set then Bob's reward would have shown as 72 instead of as "coal").</t>
        </r>
      </text>
    </comment>
    <comment ref="H295" authorId="0" shapeId="0" xr:uid="{00000000-0006-0000-0800-000014000000}">
      <text>
        <r>
          <rPr>
            <b/>
            <sz val="9"/>
            <color indexed="81"/>
            <rFont val="Tahoma"/>
            <family val="2"/>
          </rPr>
          <t>U.HLOOKUP functions exactly like U.VLOOKUP but operates horizontally on columns of data instead vertically on rows of data.
Here, the data is identical to the data at the top of this sheet, just transposed so that trade records are spread across columns instead of rows.</t>
        </r>
      </text>
    </comment>
    <comment ref="K303" authorId="0" shapeId="0" xr:uid="{00000000-0006-0000-0800-000015000000}">
      <text>
        <r>
          <rPr>
            <b/>
            <sz val="9"/>
            <color indexed="81"/>
            <rFont val="Tahoma"/>
            <family val="2"/>
          </rPr>
          <t>U.GRID_LOOKUP returns the intersection of specified rows and columns, assuming that row and column labels exist in the first column and first row, respectively.</t>
        </r>
      </text>
    </comment>
    <comment ref="M311" authorId="0" shapeId="0" xr:uid="{00000000-0006-0000-0800-000016000000}">
      <text>
        <r>
          <rPr>
            <b/>
            <sz val="9"/>
            <color indexed="81"/>
            <rFont val="Tahoma"/>
            <family val="2"/>
          </rPr>
          <t>U.GRID_LOOKUP can take arrays of values for row labels and/or column labels and will return the first found intersection of each or #N/A if no such intersection exists.
The full range of lookup types available in U.VLOOKUP and U.HLOOKUP are available in U.GRID_LOOKUP by setting the optional row and/or column lookup type values in the 4th and 5th parameters, respectively. In this example the date 3/7/2018 does not occur in the matrix of data, but a lookup type of "nearest or exact" is specified so values from 3/5/18 ...the nearest date value... are returned. As seen here, when a given set of labels (row or column) is only 1-deep, there is no need to explicitly specify the column (or row) number associated with the lookup type value since it is assumed to be 1.</t>
        </r>
      </text>
    </comment>
    <comment ref="N322" authorId="0" shapeId="0" xr:uid="{00000000-0006-0000-0800-000017000000}">
      <text>
        <r>
          <rPr>
            <b/>
            <sz val="9"/>
            <color indexed="81"/>
            <rFont val="Tahoma"/>
            <family val="2"/>
          </rPr>
          <t>Row labels and/or column labels can be multiple levels deep. Here both the row labels and the column labels are 2-levels deep. When labels are more than 1-level deep and the labels themselves are not labeled (see below), they must be in the same order as they appear in the grid of data if no label params are specified.
By default an exact match (case-insensitive) is done for each label column/row, but different lookup types can optionally be specified for each level of the label. Here the 2nd row of column labels is set to be "nearest or exact" so values are found even though the exact look-up dates don't exist in the data grid; also the 2nd column of row labels is set to use a case-insensitive wildcard match.
Note that when columns are deep and the labels are not themselves labeled, then lookup type values must contain the row/column number to which the lookup type applies. Also note that since the label level whose lookup type is being modified in each case is the 2nd row/column of labels, I've also included the 1st row in the lookup params with a default value of 0 (exact case-insensitive match). That is necessary to have the 2nd level of row/column lookup values applied to the 2nd-level of labels in the grid instead of the first (the logic for how lookup params are used is the same as in U.VLOOKUP ...but applied independently for column labels and row labels ...so without specifying that 1st row exact match in the Col Label Params, it would be the 1st row of labels with HSBC and GS that is used in the "exact_or_nearest" match against row 2 in the grid of data ...but row 2 in the grid of data is the date labels, so the match would fail).</t>
        </r>
      </text>
    </comment>
    <comment ref="N341" authorId="0" shapeId="0" xr:uid="{00000000-0006-0000-0800-000018000000}">
      <text>
        <r>
          <rPr>
            <b/>
            <sz val="9"/>
            <color indexed="81"/>
            <rFont val="Tahoma"/>
            <family val="2"/>
          </rPr>
          <t>When the grid labels, themselves, have labels then the lookup labels do not need to be in the same order as in the data grid since the labels will be used to identify the correct lookup vector. The labels can also be used in any sort parameters provided, and the sort parameters can then also appear in any order. Here the sort parameter for the "time" column is above the "symbol" column sort param, and the lookup still works even though that is not the order in the grid.</t>
        </r>
      </text>
    </comment>
    <comment ref="N350" authorId="0" shapeId="0" xr:uid="{00000000-0006-0000-0800-000019000000}">
      <text>
        <r>
          <rPr>
            <b/>
            <sz val="9"/>
            <color indexed="81"/>
            <rFont val="Tahoma"/>
            <family val="2"/>
          </rPr>
          <t>If the input grid has labels for its labels, then those labels can be used in sort params even if the selected lookup labels do not themselves include labels. However, in that case the order of the sort params must match the order of the provided lookup labels so that lookups are applied to the correct grid label vector.
In this case the lookup works even though there are no labels in the lookup values provided. However, if the order of the "time" and "symbol" row lookup parameters were reversed, this example would break (while the one just above would still work because the provided labels are used to perform the correct match).</t>
        </r>
      </text>
    </comment>
    <comment ref="N367" authorId="0" shapeId="0" xr:uid="{00000000-0006-0000-0800-00001A000000}">
      <text>
        <r>
          <rPr>
            <b/>
            <sz val="9"/>
            <color indexed="81"/>
            <rFont val="Tahoma"/>
            <family val="2"/>
          </rPr>
          <t>There may be a need to include the row and column labels in the result, for example if the output is being published without actually being rendered in a range of cells. As shown here, this can be done by setting the optional 6th parameter to TRUE.</t>
        </r>
      </text>
    </comment>
    <comment ref="M375" authorId="0" shapeId="0" xr:uid="{00000000-0006-0000-0800-00001B000000}">
      <text>
        <r>
          <rPr>
            <b/>
            <sz val="9"/>
            <color indexed="81"/>
            <rFont val="Tahoma"/>
            <family val="2"/>
          </rPr>
          <t>If the optional 7th parameter is set, then the specified value will be returned for failed lookups instead of the default fail value of an #N/A error. Here a blank is returned for the failed lookup on date 3/7/2018.</t>
        </r>
      </text>
    </comment>
    <comment ref="K382" authorId="0" shapeId="0" xr:uid="{3FD83387-92C4-4156-8283-988A204A1839}">
      <text>
        <r>
          <rPr>
            <b/>
            <sz val="9"/>
            <color indexed="81"/>
            <rFont val="Tahoma"/>
            <family val="2"/>
          </rPr>
          <t>U.GRID_LOOKUP has a special form that enables replacing individual cells within the grid. This is done by setting the first parameter to the special "replace()" function. A full report with values to be replaced is passed as the 2nd parameter -- the row and column labels to be looked up will be taken from that. Values found in the 3rd parameter are inserted into the report where row and column labels match. Other U.GRID_LOOKUP parameters function as they always do.
By default the depth of column and row labels as assumed to be 1 if no parameters are provided. The replace() function can take optional parameters as follows:
  replace([num_row_labels], [num_col_labels], [ignore_blanks], [ignore_errors])
If only a single number is provided, it will be treated as the number of row labels. If a single bool is provided, it will be cause both errors and blanks in the looked up values to be ignored. When ignoring blanks and errors, the value in the original report cell will be retained in cases where a lookup value is found but its value is a blank/error. Regardless of any parameter settings for the replace function, any cell in the 3rd parameter containing the special value "ignore()" (case-sensitive) will not overwrite the value in the original report; see the MSFT value for 3/5/2018 in this example. (In the unlikely event of wanting to have the string "ignore()" inserted, escape it with a backslash.) If the replace parameter function contains the word "fill" at any location ("replace(fill)"), then the value in the original report will only be updated if it contains a blank or an error. If zero is explicitly specified as the number of row and column labels, then the replacement is done based on cell location in the grid rather than based on any row/column lookups.
By default the full report inclusive of labels is returned when replace logic is invoked. To drop labels from the result, explicitly set the 6th param to FALSE.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<sst xmlns="http://schemas.openxmlformats.org/spreadsheetml/2006/main" count="10158" uniqueCount="3928">
  <si>
    <t>Method</t>
  </si>
  <si>
    <t>Description</t>
  </si>
  <si>
    <t>Symbol</t>
  </si>
  <si>
    <t>ABC</t>
  </si>
  <si>
    <t>XYZ</t>
  </si>
  <si>
    <t>Desk1</t>
  </si>
  <si>
    <t>PnL</t>
  </si>
  <si>
    <t>Last Price</t>
  </si>
  <si>
    <t>Delta</t>
  </si>
  <si>
    <t>Publish Call</t>
  </si>
  <si>
    <t>Dummy Risk Data</t>
  </si>
  <si>
    <t>Report Group</t>
  </si>
  <si>
    <t>Report Name</t>
  </si>
  <si>
    <t>PnL_and_Prices</t>
  </si>
  <si>
    <t>Market Prices</t>
  </si>
  <si>
    <t>Metadata</t>
  </si>
  <si>
    <t>Key</t>
  </si>
  <si>
    <t>Value</t>
  </si>
  <si>
    <t>Is Final</t>
  </si>
  <si>
    <t>Reviewer</t>
  </si>
  <si>
    <t>Tom Smith</t>
  </si>
  <si>
    <t>Desk2</t>
  </si>
  <si>
    <t>Limit Breached</t>
  </si>
  <si>
    <t>PnL_And_Prices</t>
  </si>
  <si>
    <t>Subscribe Call</t>
  </si>
  <si>
    <t>GET</t>
  </si>
  <si>
    <t>Get Metadata Call</t>
  </si>
  <si>
    <t>send_tim</t>
  </si>
  <si>
    <t>SECURITY</t>
  </si>
  <si>
    <t>Desk3</t>
  </si>
  <si>
    <t>Final</t>
  </si>
  <si>
    <t>Publish Metadata</t>
  </si>
  <si>
    <t>Get Metadata</t>
  </si>
  <si>
    <t>MoreData</t>
  </si>
  <si>
    <t>StillMoreData</t>
  </si>
  <si>
    <t>Dummy More Data</t>
  </si>
  <si>
    <t>Dummy Still More Data</t>
  </si>
  <si>
    <t>WWW</t>
  </si>
  <si>
    <t>ZZZ</t>
  </si>
  <si>
    <t>blah</t>
  </si>
  <si>
    <t>Topic Call</t>
  </si>
  <si>
    <t>Publishing Multi-Page Reports</t>
  </si>
  <si>
    <t>Attaching User-Defined Metadata</t>
  </si>
  <si>
    <t>Subscribing to Real-Time Updates</t>
  </si>
  <si>
    <t>Retrieving Static Reports</t>
  </si>
  <si>
    <t>Displaying the Content of Multi-Page Reports</t>
  </si>
  <si>
    <t>Displaying Metadata</t>
  </si>
  <si>
    <t>Creates properly formatted metadata for restricting view access to reports</t>
  </si>
  <si>
    <t>Creates properly formatted metadata for restricting publish rights to reports</t>
  </si>
  <si>
    <t>Returns a fully qualified topic from a report group and report name</t>
  </si>
  <si>
    <t>Attaching a Secret to a Report</t>
  </si>
  <si>
    <t>Accessing a Report That Has a Report Secret Attached</t>
  </si>
  <si>
    <t>Attaching an Indirect Secret to a Report</t>
  </si>
  <si>
    <t>Applying a Single Secret to Many Reports</t>
  </si>
  <si>
    <t>Valuation Date</t>
  </si>
  <si>
    <t>More User-Defined Metadata</t>
  </si>
  <si>
    <t>Restricting Access to Viewing Reports</t>
  </si>
  <si>
    <t>Restrict Access to Publishing Reports</t>
  </si>
  <si>
    <t>Here is what the publish secret helper methods generate:</t>
  </si>
  <si>
    <t>Here is what the secret helper methods generate:</t>
  </si>
  <si>
    <t>mysecret</t>
  </si>
  <si>
    <t>*note: see the SECURITY tab for illustrations of how to restrict access to reports</t>
  </si>
  <si>
    <t>Quantity</t>
  </si>
  <si>
    <t>Price</t>
  </si>
  <si>
    <t>REGION</t>
  </si>
  <si>
    <t>Trades</t>
  </si>
  <si>
    <t>Discovering a Region of Cells</t>
  </si>
  <si>
    <t>PASTE</t>
  </si>
  <si>
    <t>Source Range</t>
  </si>
  <si>
    <t>Target Range</t>
  </si>
  <si>
    <t>Paste Call</t>
  </si>
  <si>
    <t/>
  </si>
  <si>
    <t>Pasting Data</t>
  </si>
  <si>
    <t>Target Range 1</t>
  </si>
  <si>
    <t>Target Range 2</t>
  </si>
  <si>
    <t>Source Range 1</t>
  </si>
  <si>
    <t>Source Range 2</t>
  </si>
  <si>
    <t>a</t>
  </si>
  <si>
    <t>b</t>
  </si>
  <si>
    <t>c</t>
  </si>
  <si>
    <t>x</t>
  </si>
  <si>
    <t>y</t>
  </si>
  <si>
    <t>z</t>
  </si>
  <si>
    <t>Pasting Multi-Page Data</t>
  </si>
  <si>
    <t>Pasting Real-Time Reports</t>
  </si>
  <si>
    <t>PAD</t>
  </si>
  <si>
    <t>Padding Any Range of Data</t>
  </si>
  <si>
    <t>Row Vector</t>
  </si>
  <si>
    <t>Column Vector</t>
  </si>
  <si>
    <t>Tabular</t>
  </si>
  <si>
    <t>Scalar</t>
  </si>
  <si>
    <t>Native Excel Behavior</t>
  </si>
  <si>
    <t>e</t>
  </si>
  <si>
    <t>Rows</t>
  </si>
  <si>
    <t>Returning Unique Rows of Data</t>
  </si>
  <si>
    <t>Retrieving Unique Columns of Data</t>
  </si>
  <si>
    <t>Columns</t>
  </si>
  <si>
    <t>Returns the username of the currently logged-in Windows user</t>
  </si>
  <si>
    <t>ADMIN</t>
  </si>
  <si>
    <t>VAGGREGATE</t>
  </si>
  <si>
    <t>VFILTER</t>
  </si>
  <si>
    <t>Broker</t>
  </si>
  <si>
    <t>Current Delta</t>
  </si>
  <si>
    <t>Trade Price</t>
  </si>
  <si>
    <t>Current Price</t>
  </si>
  <si>
    <t>P&amp;L</t>
  </si>
  <si>
    <t>AAPL</t>
  </si>
  <si>
    <t>IBM</t>
  </si>
  <si>
    <t>IBM Jun17 160C</t>
  </si>
  <si>
    <t>BROKER_A</t>
  </si>
  <si>
    <t>BOB_THE_BROKER</t>
  </si>
  <si>
    <t>Side</t>
  </si>
  <si>
    <t>AAPL Jun17 140P</t>
  </si>
  <si>
    <t>BROKER_B</t>
  </si>
  <si>
    <t>Keys</t>
  </si>
  <si>
    <t>Cols to Sum</t>
  </si>
  <si>
    <t>Cols To Avg</t>
  </si>
  <si>
    <t>Weight Cols</t>
  </si>
  <si>
    <t>Aggregation Params</t>
  </si>
  <si>
    <t>CANCEL</t>
  </si>
  <si>
    <t>TEST</t>
  </si>
  <si>
    <t>TRADES</t>
  </si>
  <si>
    <t>Publish</t>
  </si>
  <si>
    <t>Subscribe</t>
  </si>
  <si>
    <t>HAGGREGATE</t>
  </si>
  <si>
    <t>Filter Params</t>
  </si>
  <si>
    <t>Column</t>
  </si>
  <si>
    <t>S</t>
  </si>
  <si>
    <t>*jun*</t>
  </si>
  <si>
    <t>*a*</t>
  </si>
  <si>
    <t>Symbol,Broker</t>
  </si>
  <si>
    <t>Trader</t>
  </si>
  <si>
    <t>Johnny</t>
  </si>
  <si>
    <t>Low Value</t>
  </si>
  <si>
    <t>High Value</t>
  </si>
  <si>
    <t>Alan</t>
  </si>
  <si>
    <t>Brian</t>
  </si>
  <si>
    <t>Range Filter</t>
  </si>
  <si>
    <t>Equality Filter</t>
  </si>
  <si>
    <t>HFILTER</t>
  </si>
  <si>
    <t>Broker,Side</t>
  </si>
  <si>
    <t>UUID</t>
  </si>
  <si>
    <t>Returns a Universally Unique Identifier (UUID) when first called, then returns the same UUID on each subsequent recalc</t>
  </si>
  <si>
    <t>Pastes values into the specified target range(s)</t>
  </si>
  <si>
    <t>Selects the Excel region around the referenced cell or range</t>
  </si>
  <si>
    <t>Multiple Users Publishing To Same Topic With All Inputs Preserved</t>
  </si>
  <si>
    <t>Paste</t>
  </si>
  <si>
    <t>Position</t>
  </si>
  <si>
    <t>CSCO</t>
  </si>
  <si>
    <t>INTC</t>
  </si>
  <si>
    <t>EQ_POSITIONS</t>
  </si>
  <si>
    <t>419791E38</t>
  </si>
  <si>
    <t>935341E52</t>
  </si>
  <si>
    <t>4367046E5</t>
  </si>
  <si>
    <t>441060AG5</t>
  </si>
  <si>
    <t>14149YAR9</t>
  </si>
  <si>
    <t>Cusips In CSV</t>
  </si>
  <si>
    <t>Cusips As Parsed By Excel</t>
  </si>
  <si>
    <t>Encrypted_PnL</t>
  </si>
  <si>
    <t>Here is what the encrypt helper method generates:</t>
  </si>
  <si>
    <t>Concatenating Ranges Vertically</t>
  </si>
  <si>
    <t>Tom</t>
  </si>
  <si>
    <t>Dick</t>
  </si>
  <si>
    <t>Mary</t>
  </si>
  <si>
    <t>Jo</t>
  </si>
  <si>
    <t>Beth</t>
  </si>
  <si>
    <t>Range 1</t>
  </si>
  <si>
    <t>Range 2</t>
  </si>
  <si>
    <t>Range 3</t>
  </si>
  <si>
    <t>Narrower Range 2</t>
  </si>
  <si>
    <t>Wider Range 3</t>
  </si>
  <si>
    <t>Concatenating Ranges Horizontally</t>
  </si>
  <si>
    <t>Concatenates an arbitrary number of ranges vertically(/horizontally)</t>
  </si>
  <si>
    <t>Aggregates rows(/columns) by summing and weighted-averaging specified value rows(/columns) where values match in specified key columns(/rows)</t>
  </si>
  <si>
    <t>Returns rows(/columns) from specified range that pass specified AND and OR filter criteria</t>
  </si>
  <si>
    <t>Returns the unique rows(/columns) from a specified range sorted alphanumerically or by order of first appearance</t>
  </si>
  <si>
    <t>FILTER</t>
  </si>
  <si>
    <t>APPEND</t>
  </si>
  <si>
    <t>INCREMENT</t>
  </si>
  <si>
    <t>AMZN</t>
  </si>
  <si>
    <t>GOOG</t>
  </si>
  <si>
    <t>Increment</t>
  </si>
  <si>
    <t>Non-numeric value here</t>
  </si>
  <si>
    <t>FB</t>
  </si>
  <si>
    <t>Total Pos</t>
  </si>
  <si>
    <t xml:space="preserve">Increments the values in one range by values entered in another </t>
  </si>
  <si>
    <t>TIME</t>
  </si>
  <si>
    <t>Capturing Dated Snapshots</t>
  </si>
  <si>
    <t>Desk4</t>
  </si>
  <si>
    <t>Rollover Time</t>
  </si>
  <si>
    <t>Days Forward</t>
  </si>
  <si>
    <t>Will calculate any specified method upon recalculation of a specified trigger parameter</t>
  </si>
  <si>
    <t>DO</t>
  </si>
  <si>
    <t>EFG</t>
  </si>
  <si>
    <t>sign(Quantity)</t>
  </si>
  <si>
    <t>Returns rows(/columns) from specified range sorted by specified sort criteria; supports any number of ascending/descending and list-based nested sort levels</t>
  </si>
  <si>
    <t>SORT</t>
  </si>
  <si>
    <t>Sort Params</t>
  </si>
  <si>
    <t>Order</t>
  </si>
  <si>
    <t>Bob</t>
  </si>
  <si>
    <t>Sally</t>
  </si>
  <si>
    <t>Modifier</t>
  </si>
  <si>
    <t>Symbol Order</t>
  </si>
  <si>
    <t>*,Tom</t>
  </si>
  <si>
    <t>Broker Order</t>
  </si>
  <si>
    <t>Side Order</t>
  </si>
  <si>
    <t>Quantity Order</t>
  </si>
  <si>
    <t>B</t>
  </si>
  <si>
    <t>*</t>
  </si>
  <si>
    <t>Sa*y</t>
  </si>
  <si>
    <t>I*M*</t>
  </si>
  <si>
    <t>T*</t>
  </si>
  <si>
    <t>S??ly</t>
  </si>
  <si>
    <t>B*</t>
  </si>
  <si>
    <t>HSORT</t>
  </si>
  <si>
    <t>VSORT</t>
  </si>
  <si>
    <t>Column Order</t>
  </si>
  <si>
    <t>More Rows</t>
  </si>
  <si>
    <t>broker_a,broker_b</t>
  </si>
  <si>
    <t>List 1</t>
  </si>
  <si>
    <t>List 2</t>
  </si>
  <si>
    <t>,</t>
  </si>
  <si>
    <t>List</t>
  </si>
  <si>
    <t>CONCAT</t>
  </si>
  <si>
    <t>SPLIT</t>
  </si>
  <si>
    <t>ED</t>
  </si>
  <si>
    <t>Month</t>
  </si>
  <si>
    <t>Year</t>
  </si>
  <si>
    <t>H</t>
  </si>
  <si>
    <t>CSV</t>
  </si>
  <si>
    <t>Company</t>
  </si>
  <si>
    <t>ABC Corp</t>
  </si>
  <si>
    <t>Year Founded</t>
  </si>
  <si>
    <t>State</t>
  </si>
  <si>
    <t>DE</t>
  </si>
  <si>
    <t>ABC, Inc</t>
  </si>
  <si>
    <t>Details</t>
  </si>
  <si>
    <t>Input</t>
  </si>
  <si>
    <t>ABC Corp,2014,DE</t>
  </si>
  <si>
    <t>ABC\, Inc,2014,DE</t>
  </si>
  <si>
    <t>Name=&gt;Bob,Age=&gt;14</t>
  </si>
  <si>
    <t>Concatenates the values of multiple cells into a single string, optionally separated by a specified delimiter</t>
  </si>
  <si>
    <t>Splits the value of a single cell into multiple columns using specified delimiters</t>
  </si>
  <si>
    <t>Creates a sequence of values with specified start and of specified length, optionally removing values that look like weekend dates or specified holiday dates</t>
  </si>
  <si>
    <t>SEQUENCE</t>
  </si>
  <si>
    <t>Start</t>
  </si>
  <si>
    <t>Interval</t>
  </si>
  <si>
    <t>Length</t>
  </si>
  <si>
    <t>Skip Weekends</t>
  </si>
  <si>
    <t>Vals to skip</t>
  </si>
  <si>
    <t>ay</t>
  </si>
  <si>
    <t>Looks up and returns rows(/columns) from specified data range using one or more specified lookup values, and returns specified columns(/rows)</t>
  </si>
  <si>
    <t>LOOKUP</t>
  </si>
  <si>
    <t>VLOOKUP</t>
  </si>
  <si>
    <t>HLOOKUP</t>
  </si>
  <si>
    <t>Strategy</t>
  </si>
  <si>
    <t>MSFT</t>
  </si>
  <si>
    <t>STRATEGY_A</t>
  </si>
  <si>
    <t>STRATEGY_B</t>
  </si>
  <si>
    <t>Data Range</t>
  </si>
  <si>
    <t>Lookup Columns</t>
  </si>
  <si>
    <t>Lookup Params</t>
  </si>
  <si>
    <t>Return Columns</t>
  </si>
  <si>
    <t>Time</t>
  </si>
  <si>
    <t>Lookup Type</t>
  </si>
  <si>
    <t>Lookup Values</t>
  </si>
  <si>
    <t>Lookup Column Param</t>
  </si>
  <si>
    <t>0 (or blank)</t>
  </si>
  <si>
    <t>Return Column Param</t>
  </si>
  <si>
    <t>*A</t>
  </si>
  <si>
    <t>strat_A</t>
  </si>
  <si>
    <t>Strategy-A</t>
  </si>
  <si>
    <t>STRATEGY_a</t>
  </si>
  <si>
    <t>strategy</t>
  </si>
  <si>
    <t>ibm</t>
  </si>
  <si>
    <t>AGGREGATE</t>
  </si>
  <si>
    <t>UNIQUE</t>
  </si>
  <si>
    <t>all(12)</t>
  </si>
  <si>
    <t>SUBRANGE</t>
  </si>
  <si>
    <t>Range of Data</t>
  </si>
  <si>
    <t>A</t>
  </si>
  <si>
    <t>C</t>
  </si>
  <si>
    <t>Returns the specified subset of a selected range; can be used to trim bottom-most rows / right-most columns containing only blanks and/or errors</t>
  </si>
  <si>
    <t>Qty</t>
  </si>
  <si>
    <t>Item Number</t>
  </si>
  <si>
    <t>a thing</t>
  </si>
  <si>
    <t>another thing</t>
  </si>
  <si>
    <t>something else</t>
  </si>
  <si>
    <t>a big thing</t>
  </si>
  <si>
    <t>a little thing</t>
  </si>
  <si>
    <t>yet another thing</t>
  </si>
  <si>
    <t>BOB</t>
  </si>
  <si>
    <t>TOM</t>
  </si>
  <si>
    <t>bob, tom</t>
  </si>
  <si>
    <t>Do Not Trim</t>
  </si>
  <si>
    <t>Sets metadata that applies specified names to individual pages in report</t>
  </si>
  <si>
    <t>Page Names</t>
  </si>
  <si>
    <t>MarketPrices</t>
  </si>
  <si>
    <t>PnL_and_Prices2</t>
  </si>
  <si>
    <t>PnL_And_Prices2</t>
  </si>
  <si>
    <t>RiskMetrics</t>
  </si>
  <si>
    <t>Parses datetime values out of strings</t>
  </si>
  <si>
    <t>PARSE DATETIME</t>
  </si>
  <si>
    <t>It is May 4th, 2018</t>
  </si>
  <si>
    <t>5/4/2018</t>
  </si>
  <si>
    <t>Inputs</t>
  </si>
  <si>
    <t>Meet me at 11:00 AM, ok?</t>
  </si>
  <si>
    <t>Meeting: Jan 4 at 3:00 PM</t>
  </si>
  <si>
    <t>20171125</t>
  </si>
  <si>
    <t>2017-11-25</t>
  </si>
  <si>
    <t>4 May 2018</t>
  </si>
  <si>
    <t>expiry = 05/04/18</t>
  </si>
  <si>
    <t>at 2017-11-15T13:04:41Z</t>
  </si>
  <si>
    <t>at 2017-11-15T13:04:41-02:00</t>
  </si>
  <si>
    <t>Returns the Windows process ID of the Excel instance</t>
  </si>
  <si>
    <t>2017::11::25</t>
  </si>
  <si>
    <t>201711</t>
  </si>
  <si>
    <t>1511595031865</t>
  </si>
  <si>
    <t>report_group</t>
  </si>
  <si>
    <t>report_name</t>
  </si>
  <si>
    <t>report_data</t>
  </si>
  <si>
    <t>[metadata]</t>
  </si>
  <si>
    <t>[environment]</t>
  </si>
  <si>
    <t>Parameter</t>
  </si>
  <si>
    <t>Required</t>
  </si>
  <si>
    <t>Yes</t>
  </si>
  <si>
    <t>No</t>
  </si>
  <si>
    <t>The contents, typically a range of cells, of the report being published</t>
  </si>
  <si>
    <t>*Enter formula in a cell and click on "fx" button to left of Excel's formula bar to see this list of parameters</t>
  </si>
  <si>
    <t>OFFSET</t>
  </si>
  <si>
    <t>Column1</t>
  </si>
  <si>
    <t>Column2</t>
  </si>
  <si>
    <t>Column3</t>
  </si>
  <si>
    <t>SUMMARY</t>
  </si>
  <si>
    <t>Offset Params</t>
  </si>
  <si>
    <t>Height</t>
  </si>
  <si>
    <t>Width</t>
  </si>
  <si>
    <t>Topics Report</t>
  </si>
  <si>
    <t>Sends specified control setting(s) to specified workbook, which are automatically applied if the workbook is open and control-enabled</t>
  </si>
  <si>
    <t>Launches specified workbooks in new Excel processes, enables them to be controlled, and applies any known control settings (e.g. window size and location)</t>
  </si>
  <si>
    <t>EXCEL CONTROL</t>
  </si>
  <si>
    <t>Workbooks</t>
  </si>
  <si>
    <t>C:\MyFolder\blah.xlsx</t>
  </si>
  <si>
    <t>C:\MyFolder\blah2.xlsx</t>
  </si>
  <si>
    <t>Control Name</t>
  </si>
  <si>
    <t>Full path to workbook ("wb") to be controlled; if just filename with extension, folder of current wb is searched; if missing, current wb is assumed</t>
  </si>
  <si>
    <t>The sheet in specified wb to activate</t>
  </si>
  <si>
    <t>Sets wb distance in pixels from top of screen (ignored if minimized or maximized is true); default is 0</t>
  </si>
  <si>
    <t>Sets wb distance in pixels from left of screen (ignored if minimized or maximized is true); default is 0</t>
  </si>
  <si>
    <t>Sets wb height in pixels (ignored if minimized or maximized is true); default is half of screen height</t>
  </si>
  <si>
    <t>Sets wb width in pixels (ignored if minimized or maximized is true); default is half of screen width</t>
  </si>
  <si>
    <t>Wb is maximized if set to true; default is false</t>
  </si>
  <si>
    <t>Wb is minimized if set to true (ignored if maximized is true); default is false</t>
  </si>
  <si>
    <t>The row number to which active sheet is scrolled; default is 1</t>
  </si>
  <si>
    <t>The column number to which active sheet is scrolled; default is 1</t>
  </si>
  <si>
    <t>The zoom setting of active sheet (value between 10 and 400; between 10% and 400% also accepted); default is 100 (100%)</t>
  </si>
  <si>
    <t>If set to false then Excel will not allow user interaction but can still be controlled; default is true</t>
  </si>
  <si>
    <t>If set to false then the Excel window will be invisible but will still function; default is true</t>
  </si>
  <si>
    <t>If set to true then several control elements are set to false …unless they are explicitly set to true… to maximize viewing area of active sheet; default is false</t>
  </si>
  <si>
    <t>If set to false then headings on active sheet are hidden; default is true</t>
  </si>
  <si>
    <t>If set to false then gridlines on active sheet are hidden; default is true</t>
  </si>
  <si>
    <t>If set to false then the Excel menu is hidden; default is true</t>
  </si>
  <si>
    <t>If set to false then the Excel status bar is hidden; default is true</t>
  </si>
  <si>
    <t>If set to false then the Excel formula bar is hidden; default is true</t>
  </si>
  <si>
    <t>If set to false then worksheet tabs are hidden; default is true</t>
  </si>
  <si>
    <t>If set to false then the vertical scrollbar is hidden; default is true</t>
  </si>
  <si>
    <t>If set to false then the horizontal scrollbar is hidden; default is true</t>
  </si>
  <si>
    <t>If set to false then the Excel ruler is hidden; default is true</t>
  </si>
  <si>
    <t>If set to false then the Excel outline is hidden; default is true</t>
  </si>
  <si>
    <t>If set to false or true then comment indicators are hidden or displayed, respectively, in all sheets; default is not set</t>
  </si>
  <si>
    <t>If set to false then zero values in cells are not displayed; default is true</t>
  </si>
  <si>
    <t>If set to false then whitespace is not displayed; default is true</t>
  </si>
  <si>
    <t>If set to true then the wb will be set to manual recalc mode; default is false</t>
  </si>
  <si>
    <t>If set to true then the wb will be set to automatic recalc except for tables mode (ignored if manual calc mode is true); default is false</t>
  </si>
  <si>
    <t>If set to true then all other control settings will be ignored until disable control is reset to false; default is false</t>
  </si>
  <si>
    <t>If set to true then wb will be recalculated once then setting is reverted to false (ignored if calc full is true); default is false</t>
  </si>
  <si>
    <t>If set to true then wb will be brought in front of any other Windows apps that may be covering it once then setting is reverted to false; default is false</t>
  </si>
  <si>
    <t>If set to true then wb will be fully recalculated once then setting is reverted to false; default is false</t>
  </si>
  <si>
    <t>If set to true then wb will be saved then setting is reverted to false; default is false</t>
  </si>
  <si>
    <t>If set to true then wb will be closed (after being saved if save is true) then setting is reverted to false; default is false</t>
  </si>
  <si>
    <t>If set to true then Excel application will be exited without alerts (after wb is saved and/or closed if save or close is true, respectively) then setting is reverted to false; default is false</t>
  </si>
  <si>
    <t>If set to true then control settings from last time the wb was saved are applied then setting is reverted to false; default is false</t>
  </si>
  <si>
    <t>If set to true then control settings from time wb was opened are applied then setting is reverted to false; default is false</t>
  </si>
  <si>
    <t>WorkbookName</t>
  </si>
  <si>
    <t>blah2.xlsx</t>
  </si>
  <si>
    <t>FromTop</t>
  </si>
  <si>
    <t>FromLeft</t>
  </si>
  <si>
    <t>Clean</t>
  </si>
  <si>
    <t>Visible</t>
  </si>
  <si>
    <t>BringToFront</t>
  </si>
  <si>
    <t>Save</t>
  </si>
  <si>
    <t>Close</t>
  </si>
  <si>
    <t>If set to false then Excel alert windows are not displayed; default is true; (CAUTION: if set to false, Excel will not prompt user to save changes when closing the wb)</t>
  </si>
  <si>
    <t>If set to true then the wb will display formulas instead of calculated results; default is false</t>
  </si>
  <si>
    <t>Values</t>
  </si>
  <si>
    <t>CLICKVALS</t>
  </si>
  <si>
    <t>Range Name</t>
  </si>
  <si>
    <t>TestVals</t>
  </si>
  <si>
    <t>TestVals2</t>
  </si>
  <si>
    <t>Apple</t>
  </si>
  <si>
    <t>The group of reports to which the report belongs</t>
  </si>
  <si>
    <t>The name of the report, which is unique within the report group</t>
  </si>
  <si>
    <t>The group of reports to which the report being published belongs.
Can be any name determined by publisher</t>
  </si>
  <si>
    <t>The name given to the report.
Can be any name determined by publisher, but must be unique within the specified report group</t>
  </si>
  <si>
    <t>Depends</t>
  </si>
  <si>
    <t>The name of the report, which is unique within the report group.
This field is optional if the first field is set to a full topic</t>
  </si>
  <si>
    <t>[report_page]</t>
  </si>
  <si>
    <t>The name or index number of the page in the report to retrieve.
The first page of the report is retrieved by default.</t>
  </si>
  <si>
    <t>Used to receive notifications of updates to reports published by Excel or another application</t>
  </si>
  <si>
    <t>Used to retrieve reports published by Excel or another application</t>
  </si>
  <si>
    <t>Used to publish data reports out of Excel for consumption by other Excel workbooks and applications that may be running on the same machine or other machines</t>
  </si>
  <si>
    <t>params</t>
  </si>
  <si>
    <t>Links to Params</t>
  </si>
  <si>
    <t>*click on method name below to go to an illustration of usage; click on params link to right to see a list of method parameters</t>
  </si>
  <si>
    <t>[metadata_key]</t>
  </si>
  <si>
    <t>[convert_types]</t>
  </si>
  <si>
    <t>The name or partial name of the specific metadata entry whose value, if the entry exists, will be returned.
If not set then a report of all metadata entries is returned</t>
  </si>
  <si>
    <t>Used to retrieve the metadata of reports published by Excel or another application</t>
  </si>
  <si>
    <t>MultiRange</t>
  </si>
  <si>
    <t>Helper method used to create properly formatted metadata for applying names to individual pages of reports being published</t>
  </si>
  <si>
    <t>page_names</t>
  </si>
  <si>
    <t>The range or comma-delimited list containing the names to be applied.
Names are applied to pages in the order provided (e.g.: the first name provided is applied to the first page of the report)</t>
  </si>
  <si>
    <t>If set to TRUE then the report will not be published until the existing report data is definitively pasted into the workbook; therefore if set to TRUE it will prevent newly created topics from ever being published</t>
  </si>
  <si>
    <t>[topic_exists]</t>
  </si>
  <si>
    <t>Helper method used to create properly formatted metadata that prevents the publication of stale data saved with a workbook when it is opened.
Used in situations where multiple users concurrently update the same topic</t>
  </si>
  <si>
    <t>Helper method used to create properly formatted metadata that, when present, results in the capture of date-stamped snapshots of published reports</t>
  </si>
  <si>
    <t>[rollover_time]</t>
  </si>
  <si>
    <t>[days_forward]</t>
  </si>
  <si>
    <t>If set, the datestamp applied to publishes occurring after this specified time will be the following weekday by default</t>
  </si>
  <si>
    <t>The number of days forward to roll the snapshot date.
If not set, by default the snapshot is rolled to the next weekday.
Only meaningful of rollover_time is set</t>
  </si>
  <si>
    <t>Returns a report containing details of known topics seen by the current instance of Excel</t>
  </si>
  <si>
    <t>(none)</t>
  </si>
  <si>
    <t>secret</t>
  </si>
  <si>
    <t>The secret to be applied to publishes or included in requests to subscribe to a report and/or get its data or metadata</t>
  </si>
  <si>
    <t>Helper method used to create properly formatted metadata for applying a secret to a report being published or a request to retrieve a report or its metadata.
Secrets are used to restrict view access to reports</t>
  </si>
  <si>
    <t>Helper method used to create properly formatted metadata for applying a publish secret to a report being published.
Publish secrets are used to restrict publish rights to reports</t>
  </si>
  <si>
    <t>publish_secret</t>
  </si>
  <si>
    <t>[publish_secret_prior]</t>
  </si>
  <si>
    <t>Additional metadata to be applied to report being published.
If specified this metadata is combined with the pub_secret metadata into a single list of metadata entries</t>
  </si>
  <si>
    <t>Additional metadata to be applied to request.
If specified this metadata is combined with the secret metadata into a single list of metadata entries</t>
  </si>
  <si>
    <t>The secret to be applied to publishes</t>
  </si>
  <si>
    <t>The prior publish secret applied to the report.
Used when changing or removing a publish secret to prove to server publisher has publish rights</t>
  </si>
  <si>
    <t>Helper method for creating properly formatted topic strings</t>
  </si>
  <si>
    <t>data</t>
  </si>
  <si>
    <t>[key_columns]</t>
  </si>
  <si>
    <t>[columns_to_sum]</t>
  </si>
  <si>
    <t>[columns_to_avg]</t>
  </si>
  <si>
    <t>[ignore_errors]</t>
  </si>
  <si>
    <t>[drop_columns]</t>
  </si>
  <si>
    <t>If set to TRUE then non-numeric values will be ignored when aggregating values.
By default non-numeric values in aggregated columns result in an error</t>
  </si>
  <si>
    <t>The next range or ranges to be appended.
Handling of valid topics is same as for top_range</t>
  </si>
  <si>
    <t>Dynamically appends ranges of data together.
(All params are individually optional, but at least 1 must be set to get any result)</t>
  </si>
  <si>
    <t>Dynamically aggregates rows of data
(Descriptions use "column" and "row" consistent with the vertical flavor of the function; flip these terms to describe the horizontal flavor)</t>
  </si>
  <si>
    <t>Dynamically filters rows of data
(Descriptions use "column" and "row" consistent with the vertical flavor of the function; flip these terms to describe the horizontal flavor)</t>
  </si>
  <si>
    <t>[filters]</t>
  </si>
  <si>
    <t>[is_exclusion]</t>
  </si>
  <si>
    <t>[expect_all_columns]</t>
  </si>
  <si>
    <t>[filter_list]</t>
  </si>
  <si>
    <t>range</t>
  </si>
  <si>
    <t>If set to TRUE then all columns specified in filters are expected to be present and if not then no rows will be returned in result.
By default filters are only applied if indicated column exists in the data</t>
  </si>
  <si>
    <t>A list or lists of values to be used as the basis for list-based filtering
Lists are applied to list-based filters in the order specified</t>
  </si>
  <si>
    <t>Looks up specified values in another specified range of data
(Descriptions use "column" and "row" consistent with the vertical flavor of the function; flip these terms to describe the horizontal flavor)</t>
  </si>
  <si>
    <t>lookup_values</t>
  </si>
  <si>
    <t>data_range</t>
  </si>
  <si>
    <t>[lookup_columns]</t>
  </si>
  <si>
    <t>[return_columns]</t>
  </si>
  <si>
    <t>[drop_labels]</t>
  </si>
  <si>
    <t>[row_matches_once]</t>
  </si>
  <si>
    <t>[all_matches]</t>
  </si>
  <si>
    <t>Indicates the columns in the data range in which to search for specified lookup values.
If not set then leftmost columns are used as lookup columns</t>
  </si>
  <si>
    <t>If set to TRUE and the data range contains columns labels, then the column labels will be dropped from the result</t>
  </si>
  <si>
    <t>If set to TRUE then a given row in the data range will only be matched against a single row in lookup values.
By default identical lookup values can match with the same data row</t>
  </si>
  <si>
    <t>Dynamically sorts rows of data
(Descriptions use "column" and "row" consistent with the vertical flavor of the function; flip these terms to describe the horizontal flavor)</t>
  </si>
  <si>
    <t>[sort_params]</t>
  </si>
  <si>
    <t>[sort_list]</t>
  </si>
  <si>
    <t>The range containing the filter criteria applied to columns in data range.
Rows passing all filter criteria will be returned in result.
If not set, then rows containing only blanks and/or errors are filtered out</t>
  </si>
  <si>
    <t>A list or lists of values to be used as the basis for list-based sorting
Lists are applied to list-based sort criteria in the order specified</t>
  </si>
  <si>
    <t>start_range</t>
  </si>
  <si>
    <t>[first_row]</t>
  </si>
  <si>
    <t>[first_column]</t>
  </si>
  <si>
    <t>[last_row]</t>
  </si>
  <si>
    <t>[last_column]</t>
  </si>
  <si>
    <t>Returns a contiguous subset of the specified range</t>
  </si>
  <si>
    <t>The label or index of the first row of the subrange to be returned.
If not specified then the first row containing any value that is not a blank or an error is the first row in returned subrange</t>
  </si>
  <si>
    <t>The label or index of the first column of the subrange to be returned
If not specified then the first column containing any value that is not a blank or an error is the first column in returned subrange</t>
  </si>
  <si>
    <t>The label or index of the last row of the subrange to be returned
If not specified then the last row containing any value that is not a blank or an error is the last row in returned subrange</t>
  </si>
  <si>
    <t>The label or index of the last column of the subrange to be returned
If not specified then the last column containing any value that is not a blank or an error is the last column in returned subrange</t>
  </si>
  <si>
    <t>[retain_order]</t>
  </si>
  <si>
    <t>Returns the unique rows in a range of data
(Descriptions use "column" and "row" consistent with the vertical flavor of the function; flip these terms to describe the horizontal flavor)</t>
  </si>
  <si>
    <t>Concatenates the values of multiple cells in a row into a single string</t>
  </si>
  <si>
    <t>substrings</t>
  </si>
  <si>
    <t>[delimiter]</t>
  </si>
  <si>
    <t>[ignore_blanks]</t>
  </si>
  <si>
    <t>[escape_delimiter]</t>
  </si>
  <si>
    <t>The row of cells whose values will be concatenated</t>
  </si>
  <si>
    <t>The delimiter to be placed between values.
Can be a single character or many characters.
By default no delimiter is used</t>
  </si>
  <si>
    <t>If set to TRUE then cells containing blanks are ignored.
Only meaningful if a delimiter is specified</t>
  </si>
  <si>
    <t>If set to TRUE then any cell values that match delimiter are escaped with a backslash ('\'). Only meaningful if a delimiter is specified.
By default values matching a specified delimiter are not escaped</t>
  </si>
  <si>
    <t>Splits the text value of a cell into a row of cells</t>
  </si>
  <si>
    <t>input</t>
  </si>
  <si>
    <t>[delimiters]</t>
  </si>
  <si>
    <t>[escape_char]</t>
  </si>
  <si>
    <t>workbooks</t>
  </si>
  <si>
    <t>Launches specified workbooks in dedicated processes and with control enabled</t>
  </si>
  <si>
    <t>settings</t>
  </si>
  <si>
    <t>Sends specified control settings to other Excel workbooks which receive and process them in real-time if they are open and control-enabled</t>
  </si>
  <si>
    <t>The list of settings and values to be sent to specified workbook.
Settings are applied to current workbook no WorkbookName specified.
Special value of TRUE will revert many settings in current workbook to default values</t>
  </si>
  <si>
    <t>workbook_name</t>
  </si>
  <si>
    <t>Returns a list of available control settings</t>
  </si>
  <si>
    <t>[apply_current_settings]</t>
  </si>
  <si>
    <t>If set to TRUE then any saved settings for workbooks in the current instance of Excel are ignored and overwritten by current settings.
By default any saved settings are applied when control is enabled</t>
  </si>
  <si>
    <t>Enables workbooks in an instance of Excel to be controlled by other workbooks if not already enabled.
When control is enabled in this way, it can be disabled by deleting this method</t>
  </si>
  <si>
    <t>Evaluates any method when a specified trigger parameter recalculates</t>
  </si>
  <si>
    <t>expression</t>
  </si>
  <si>
    <t>trigger</t>
  </si>
  <si>
    <t>[keep_nulls]</t>
  </si>
  <si>
    <t>If set to TRUE then any empty values returned by expression will be returned as empty values, which Excel renders as a zero.
By default empty values are replaced with blank strings</t>
  </si>
  <si>
    <t>name</t>
  </si>
  <si>
    <t>[row_shift]</t>
  </si>
  <si>
    <t>[column_shift]</t>
  </si>
  <si>
    <t>values</t>
  </si>
  <si>
    <t>increments</t>
  </si>
  <si>
    <t>[log_range]</t>
  </si>
  <si>
    <t>The range whose values will be incremented</t>
  </si>
  <si>
    <t>Increments cells in the value of one range by the value of corresponding cells in another</t>
  </si>
  <si>
    <t>The range of cells to which a log of increment activity is written.
By default no log of activity is captured</t>
  </si>
  <si>
    <t>Returns the values of a range that is offset a specified number of rows and columns from a starting range.
Non-volatile version of Excel's native OFFSET method.</t>
  </si>
  <si>
    <t>row_offset</t>
  </si>
  <si>
    <t>column_offset</t>
  </si>
  <si>
    <t>[height]</t>
  </si>
  <si>
    <t>[width]</t>
  </si>
  <si>
    <t>[as_range_ref]</t>
  </si>
  <si>
    <t>[allow_ref_errors]</t>
  </si>
  <si>
    <t>The number of columns to shift from start_range.
Set to zero if not a valid number</t>
  </si>
  <si>
    <t>The number of rows to shift from start_range.
Set to zero if not a valid number</t>
  </si>
  <si>
    <t>The height of the range to be returned.
If not set the range returned has the same height as the start_range</t>
  </si>
  <si>
    <t>The width of the range to be returned.
If not set the range returned has the same width as the start_range</t>
  </si>
  <si>
    <t>If set to TRUE then a #REF error will be returned if the specified offsets would move the range outside of Excel's sheet boundaries.
By default the returned range shrinks when it hits a sheet boundary</t>
  </si>
  <si>
    <t>target</t>
  </si>
  <si>
    <t>[max_columns]</t>
  </si>
  <si>
    <t>[max_rows]</t>
  </si>
  <si>
    <t>[recursive]</t>
  </si>
  <si>
    <t>[page_filter]</t>
  </si>
  <si>
    <t>Pastes the values of specified data into specified location(s) in workbook.
Causes undo history in sheet(s) receiving pasted values to be lost (only those sheets; undo history for other sheets in workbook is retained)</t>
  </si>
  <si>
    <t>The range(s) in the workbook into which the data values will be pasted</t>
  </si>
  <si>
    <t>If set to an array of page numbers and/or page names, only the specified pages will be used when pasting into target range(s)</t>
  </si>
  <si>
    <t>[keep_empty_strings]</t>
  </si>
  <si>
    <t>[keep_error_vectors]</t>
  </si>
  <si>
    <t>[look_up]</t>
  </si>
  <si>
    <t>[look_left]</t>
  </si>
  <si>
    <t>Discovers a region of cells in Excel that is entirely surrounded by blank cells, errors and/or the boundary of the worksheet</t>
  </si>
  <si>
    <t>anchor_range</t>
  </si>
  <si>
    <t>The range around which the resulting region will be detected.
At least this specified range_ref is always returned in result even if not technically a region itself</t>
  </si>
  <si>
    <t>If set to TRUE then a reference to the detected region is returned.
By default the values of the detected region are returned</t>
  </si>
  <si>
    <t>If set to TRUE then empty strings will be treated as not-empty values and therefore a vector of empty strings will not act as a region boundary.
By default cells containing empty strings are treated as empty cells</t>
  </si>
  <si>
    <t>If set to TRUE then errors will be treated as not-empty values and therefore a vector of errors will not act as a region boundary.
By default cells containing errors are treated as empty cells</t>
  </si>
  <si>
    <t>Returns a Universally Unique ID (UUID) the first time the cell is calculated, and continues to return the same UUID on each subsequent recalculation</t>
  </si>
  <si>
    <t>[do_not_roll]</t>
  </si>
  <si>
    <t>Returns the current date.
Always recalculates when workbook opens and after midnight.
Non-volatile version of Excel's native TODAY method</t>
  </si>
  <si>
    <t>If set to TRUE then the date will not automatically update after midnight</t>
  </si>
  <si>
    <t>Returns the current time.
Always recalculates once when the workbook opens.
Non-volatile version of Excel's native NOW method</t>
  </si>
  <si>
    <t>[update_interval]</t>
  </si>
  <si>
    <t>[format]</t>
  </si>
  <si>
    <t>[ignore_timezones]</t>
  </si>
  <si>
    <t>Creates Excel datetime values from datetimes in other formats</t>
  </si>
  <si>
    <t>The value(s) to be converted into Excel datetimes</t>
  </si>
  <si>
    <t>If set to TRUE then any timezone information detected will be ignored</t>
  </si>
  <si>
    <t>start_val</t>
  </si>
  <si>
    <t>[interval]</t>
  </si>
  <si>
    <t>[length]</t>
  </si>
  <si>
    <t>[skip]</t>
  </si>
  <si>
    <t>Creates a sequence of numbers</t>
  </si>
  <si>
    <t>The first number in the sequence to be created.
Set to zero if invalid</t>
  </si>
  <si>
    <t>The values to omit from the sequence if they otherwise would occur</t>
  </si>
  <si>
    <t>Returns the username of the logged-in Windows user.
Always recalculates once when workbook is opened</t>
  </si>
  <si>
    <t>Returns the Windows process ID of the Excel instance.
Always recalculates once when workbook is opened</t>
  </si>
  <si>
    <t>TF_Toggle</t>
  </si>
  <si>
    <t>Click Me</t>
  </si>
  <si>
    <t>click_range</t>
  </si>
  <si>
    <t>Setting Value of Clicked Cell</t>
  </si>
  <si>
    <t>Larry</t>
  </si>
  <si>
    <t>Sandy</t>
  </si>
  <si>
    <t>Cycle_Names</t>
  </si>
  <si>
    <t>Ann</t>
  </si>
  <si>
    <t>Next Name</t>
  </si>
  <si>
    <t>Prior Name</t>
  </si>
  <si>
    <t>Reset</t>
  </si>
  <si>
    <t>Cycling Through Values in a List</t>
  </si>
  <si>
    <t>Incrementing / Decrementing Cell Value</t>
  </si>
  <si>
    <t>Decrement</t>
  </si>
  <si>
    <t>Returns the network path (UNC) of the input path.
If the input does not contain a mapped drive, then the input is returned</t>
  </si>
  <si>
    <t>path</t>
  </si>
  <si>
    <t>The path containing a mapped drive that will be converted to a network path</t>
  </si>
  <si>
    <t>Converts a path containing a mapped drive letter into a network path (UNC)</t>
  </si>
  <si>
    <t>topic</t>
  </si>
  <si>
    <t>[row_by_row]</t>
  </si>
  <si>
    <t>If set to TRUE then each row is concatenated independently and a concatenation is returned for each input row
By default all cells in a matrix are concatenated together</t>
  </si>
  <si>
    <t>XYZ, Inc</t>
  </si>
  <si>
    <t>LMN, Inc</t>
  </si>
  <si>
    <t>IL</t>
  </si>
  <si>
    <t>NY</t>
  </si>
  <si>
    <t>XYZ Corp,2015,IL</t>
  </si>
  <si>
    <t>LMN Corp,2016,NY</t>
  </si>
  <si>
    <t>The cell (or cells) whose value is to be split</t>
  </si>
  <si>
    <t>[read_only]</t>
  </si>
  <si>
    <t>If set to true then external data and pivot tables in wb will be refreshed; default is false</t>
  </si>
  <si>
    <t>[show_dialogs]</t>
  </si>
  <si>
    <t>Displays the full list of available control settings for current workbook, specified workbook or all known workbooks</t>
  </si>
  <si>
    <t>Process IDs To Kill</t>
  </si>
  <si>
    <t>Kills specified Excel processes or optionally all Excel processes except the current one</t>
  </si>
  <si>
    <t>[process_ids]</t>
  </si>
  <si>
    <t>The list of process IDs to be killed; ok to include current process, but it will die last
Processes will only be killed if they are instances of Excel.
Optionally pass TRUE to kill all Excel processes except the current process</t>
  </si>
  <si>
    <t>Returns a report with basic info about currently running Excel processes</t>
  </si>
  <si>
    <t>Returns a report containing basic information about current Excel processes on the machine</t>
  </si>
  <si>
    <t>filename</t>
  </si>
  <si>
    <t>[top_directory]</t>
  </si>
  <si>
    <t>[top_directory_only]</t>
  </si>
  <si>
    <t>[dirs_to_ignore]</t>
  </si>
  <si>
    <t>By default all subdirectories are searched.
Set to TRUE to search only the specified top_directory and not its subdirectories</t>
  </si>
  <si>
    <t>A list of subdirectories to ignore in search.
Subdirectories of ignored directories will also be ignored.
Not meaningful if top_directory_only is set to TRUE</t>
  </si>
  <si>
    <t>[current_process]</t>
  </si>
  <si>
    <t>Web_PnL</t>
  </si>
  <si>
    <t>Including HTML Version of Data</t>
  </si>
  <si>
    <t>Launch Info to Clear</t>
  </si>
  <si>
    <t>MyWorkbook.xlsx</t>
  </si>
  <si>
    <t>A_Risk_Sheet.xlsm</t>
  </si>
  <si>
    <t>Returns the data at the intersection of rows and columns indicated by specified row and column labels</t>
  </si>
  <si>
    <t>GRID_FILTER</t>
  </si>
  <si>
    <t>GM</t>
  </si>
  <si>
    <t>Stock</t>
  </si>
  <si>
    <t>Date</t>
  </si>
  <si>
    <t>Dummy Settlements</t>
  </si>
  <si>
    <t>Stock List</t>
  </si>
  <si>
    <t>[row_filter]</t>
  </si>
  <si>
    <t>[column_filter]</t>
  </si>
  <si>
    <t>If set to TRUE then filters are inverted such that only rows NOT passing all filter criteria are returned.
By default filters are inclusion filters</t>
  </si>
  <si>
    <t>[row_filter_list]</t>
  </si>
  <si>
    <t>[column_filter_list]</t>
  </si>
  <si>
    <t>A list of values to be used as the basis for list-based filtering of rows.
Values are compared with the first column of data</t>
  </si>
  <si>
    <t>A list of values to be used as the basis for list-based filtering of columns.
Values are compared with the first row of data</t>
  </si>
  <si>
    <t>row_labels</t>
  </si>
  <si>
    <t>column_labels</t>
  </si>
  <si>
    <t>The grid of data to be filtered.
If only a valid topic is provided, the first page of that report will be used</t>
  </si>
  <si>
    <t>Returns intersection points of specified rows and columns</t>
  </si>
  <si>
    <t>The data on which the row and column lookups will be performed.
If only a valid topic is provided, the first page of that report will be used</t>
  </si>
  <si>
    <t>[row_lookup_type]</t>
  </si>
  <si>
    <t>[column_lookup_type]</t>
  </si>
  <si>
    <t>Optional lookup type value to indicate the match logic to be applied to row labels.
See table of valid values with descriptions in examples to the left</t>
  </si>
  <si>
    <t>Optional lookup type value to indicate the match logic to be applied to column labels.
See table of valid values with descriptions in examples to the left</t>
  </si>
  <si>
    <t>GRID_LOOKUP</t>
  </si>
  <si>
    <t>CEO</t>
  </si>
  <si>
    <t>Return All</t>
  </si>
  <si>
    <t>EVENT</t>
  </si>
  <si>
    <t>Returns TRUE only when specified, path-dependent conditions are met</t>
  </si>
  <si>
    <t>Trigger Threshold</t>
  </si>
  <si>
    <t>Set Threshold</t>
  </si>
  <si>
    <t>Reversion</t>
  </si>
  <si>
    <t>Max Triggers</t>
  </si>
  <si>
    <t>Threshold</t>
  </si>
  <si>
    <t>Direction</t>
  </si>
  <si>
    <t>IsSet</t>
  </si>
  <si>
    <t>Reversion Value</t>
  </si>
  <si>
    <t>(default) trigger reverts to false on next recalc</t>
  </si>
  <si>
    <t>trigger reverts to false once trigger threshold has been retraced</t>
  </si>
  <si>
    <t>trigger reverts to false only once set threshold is again breached</t>
  </si>
  <si>
    <t>Direction Value</t>
  </si>
  <si>
    <t>(default) crossing threshold from either direction is counted</t>
  </si>
  <si>
    <t>crossing threshold from below to above is counted</t>
  </si>
  <si>
    <t>crossing threshold from above to below is counted</t>
  </si>
  <si>
    <t>1 (any positive number)</t>
  </si>
  <si>
    <t>-1 (any negative number)</t>
  </si>
  <si>
    <t>The values that will be watched and whose changes can result in a trigger event</t>
  </si>
  <si>
    <t>[trigger_threshold]</t>
  </si>
  <si>
    <t>watched_values</t>
  </si>
  <si>
    <t>[set_threshold]</t>
  </si>
  <si>
    <t>[reversion]</t>
  </si>
  <si>
    <t>How a state of triggered (method returning TRUE) will revert to not triggered (method returning FALSE). See table to the left for a description of supported values</t>
  </si>
  <si>
    <t>[max_triggers]</t>
  </si>
  <si>
    <t>[reset]</t>
  </si>
  <si>
    <t>Name</t>
  </si>
  <si>
    <t>Opens Windows Explorer to the specified directory, directory of the specified file, or directory of current workbook if no file or directory is specified</t>
  </si>
  <si>
    <t>Opens Windows Explorer to the specified directory, directory of the specified file, or directory of the current workbook if no directory or file is specified</t>
  </si>
  <si>
    <t>blah blah 2017::11::25 222blah</t>
  </si>
  <si>
    <t>[directory_or_file]</t>
  </si>
  <si>
    <t>[recalc_interval]</t>
  </si>
  <si>
    <t>trigger reverts to false when value changes or newly defined threshold is breached</t>
  </si>
  <si>
    <t>[show_labels]</t>
  </si>
  <si>
    <t>If set to TRUE then labels for returned values will be included.
Default is false</t>
  </si>
  <si>
    <t>ID</t>
  </si>
  <si>
    <t>IsTriggered</t>
  </si>
  <si>
    <t>Sends an email of selected range, including Excel formatting and any Excel charts, to specified recipients</t>
  </si>
  <si>
    <t>Subject</t>
  </si>
  <si>
    <t>A, B and C Today</t>
  </si>
  <si>
    <t>To</t>
  </si>
  <si>
    <t>bob@abccorp.com</t>
  </si>
  <si>
    <t>sally@abccorp.com</t>
  </si>
  <si>
    <t>Sends email with selected data and any specified attachments to specified recipients</t>
  </si>
  <si>
    <t>subject</t>
  </si>
  <si>
    <t>body</t>
  </si>
  <si>
    <t>to</t>
  </si>
  <si>
    <t>[from]</t>
  </si>
  <si>
    <t>[cc]</t>
  </si>
  <si>
    <t>[bcc]</t>
  </si>
  <si>
    <t>[throttle]</t>
  </si>
  <si>
    <t>[plain_text]</t>
  </si>
  <si>
    <t>[attachments]</t>
  </si>
  <si>
    <t>Subject of the email message.
Email message must have a subject, a body or both</t>
  </si>
  <si>
    <t>Email addresses that will be bcc'd</t>
  </si>
  <si>
    <t>SAVE EMAIL CONFIG</t>
  </si>
  <si>
    <t>email address</t>
  </si>
  <si>
    <t>password</t>
  </si>
  <si>
    <t>my.email@blah.com</t>
  </si>
  <si>
    <t>my_p@ssw0rD</t>
  </si>
  <si>
    <t>domain</t>
  </si>
  <si>
    <t>US</t>
  </si>
  <si>
    <t>smtp.yahoo.com</t>
  </si>
  <si>
    <t>smtp port</t>
  </si>
  <si>
    <t>no ssl</t>
  </si>
  <si>
    <t>email_address</t>
  </si>
  <si>
    <t>The email address for which configs / credentials are being saved</t>
  </si>
  <si>
    <t>[password]</t>
  </si>
  <si>
    <t>[domain]</t>
  </si>
  <si>
    <t>The domain associated with the email address.
May be required in some cases for EWS to resolve email address</t>
  </si>
  <si>
    <t>[outgoing_smtp_host]</t>
  </si>
  <si>
    <t>[smtp_port]</t>
  </si>
  <si>
    <t>[no_ssl]</t>
  </si>
  <si>
    <t>The port used for outgoing emails on the smtp server.
Port 587 is default</t>
  </si>
  <si>
    <t>If set to TRUE then SSL is not used in smtp configuration.
Default is to use SSL</t>
  </si>
  <si>
    <t>Sends specified message as an SMS text to specified recipients</t>
  </si>
  <si>
    <t>Plays the specified sound files, or speaks the specified text if not a path to a sound file</t>
  </si>
  <si>
    <t>NOTIFICATION</t>
  </si>
  <si>
    <t>SEND EMAIL</t>
  </si>
  <si>
    <t>SEND TEXT</t>
  </si>
  <si>
    <t>outgoing smtp host</t>
  </si>
  <si>
    <t>+13125551212</t>
  </si>
  <si>
    <t>+4407115551212</t>
  </si>
  <si>
    <t>Message</t>
  </si>
  <si>
    <t>This is a 2 line…</t>
  </si>
  <si>
    <t>…message</t>
  </si>
  <si>
    <t>SAVE TEXT CONFIG</t>
  </si>
  <si>
    <t>message</t>
  </si>
  <si>
    <t>The content of the message to be sent.
If multiple cells are selected, the contents of each will be separated in the message by a blank line</t>
  </si>
  <si>
    <t>[email_to]</t>
  </si>
  <si>
    <t>[email_from]</t>
  </si>
  <si>
    <t>Email address(es) to which text message will also be sent</t>
  </si>
  <si>
    <t>The "From" address used in the optional email.
Required if "email_to" is specified and Microsoft Outlook is not installed and configured</t>
  </si>
  <si>
    <t>number</t>
  </si>
  <si>
    <t>username</t>
  </si>
  <si>
    <t>saldkfjasafsdaldkfjasdlkf</t>
  </si>
  <si>
    <t>ksdjflsad92384asfdjk</t>
  </si>
  <si>
    <t>[username]</t>
  </si>
  <si>
    <t>The Twilio accountSid</t>
  </si>
  <si>
    <t>The Twilio auth_token</t>
  </si>
  <si>
    <t>SOUND</t>
  </si>
  <si>
    <t>Speaks the specified text, or if the text provided is the path to a sound file will play the sound file</t>
  </si>
  <si>
    <t>to_play</t>
  </si>
  <si>
    <t>[max_delay]</t>
  </si>
  <si>
    <t>The max amount of time in seconds a sound will wait for other sounds to finish playing before it gives up.
Default is 60 seconds</t>
  </si>
  <si>
    <t>The file to be played or text to be spoken.
Passing a boolean value FALSE will clear current queue of sounds to play</t>
  </si>
  <si>
    <t>MESSAGE BOX</t>
  </si>
  <si>
    <t xml:space="preserve">Something important </t>
  </si>
  <si>
    <t>+13125551000</t>
  </si>
  <si>
    <t>To play</t>
  </si>
  <si>
    <t>The message to be displayed in the message box</t>
  </si>
  <si>
    <t>TIMEZONE</t>
  </si>
  <si>
    <t>[show_all]</t>
  </si>
  <si>
    <t>Returns the Windows Timezone ID setting for the machine or a report of all Windows timezones.
Always recalculates once when workbook is opened unless report is shown</t>
  </si>
  <si>
    <t>If set to TRUE then a report of all Windows timezones is returned.
Default is FALSE</t>
  </si>
  <si>
    <t>Returns the Windows Timezone ID setting for the machine or a report of all Windows timezones</t>
  </si>
  <si>
    <t>Converts datetime values from one timezone to another</t>
  </si>
  <si>
    <t>CONVERT DATETIME</t>
  </si>
  <si>
    <t>DateTime</t>
  </si>
  <si>
    <t>From</t>
  </si>
  <si>
    <t>Eastern Standard Time</t>
  </si>
  <si>
    <t>Tokyo Standard Time</t>
  </si>
  <si>
    <t>datetime</t>
  </si>
  <si>
    <t>The Excel datetimes to be converted</t>
  </si>
  <si>
    <t>from</t>
  </si>
  <si>
    <t>GS</t>
  </si>
  <si>
    <t>HSBC</t>
  </si>
  <si>
    <t>early</t>
  </si>
  <si>
    <t>final</t>
  </si>
  <si>
    <t>Dummy Estimates</t>
  </si>
  <si>
    <t>Col Label Params</t>
  </si>
  <si>
    <t>f*</t>
  </si>
  <si>
    <t>Label Row</t>
  </si>
  <si>
    <t>Label Col</t>
  </si>
  <si>
    <t>Row Label Params</t>
  </si>
  <si>
    <t>Owner</t>
  </si>
  <si>
    <t>trigger never reverts to false unless the event is reset</t>
  </si>
  <si>
    <t>Overwriting the Selected Value</t>
  </si>
  <si>
    <t>MY_CLICKVALS</t>
  </si>
  <si>
    <t>value</t>
  </si>
  <si>
    <t>[token]</t>
  </si>
  <si>
    <t>Returns the current authentication status; optionally takes a token used for manual authentication</t>
  </si>
  <si>
    <t>Parses one or more numbers out of a string</t>
  </si>
  <si>
    <t>PARSE_NUMBERS</t>
  </si>
  <si>
    <t>I have 123 apples</t>
  </si>
  <si>
    <t>+1.23e3</t>
  </si>
  <si>
    <t>ItIs-20DegreesOutside</t>
  </si>
  <si>
    <t>It_Is_Negative_Twenty_Out</t>
  </si>
  <si>
    <t>Sold 50@118.5</t>
  </si>
  <si>
    <t>Bought 25@112</t>
  </si>
  <si>
    <t>[find_all]</t>
  </si>
  <si>
    <t>If set to TRUE then arbitrarily many numbers will be extracted from the string with each placed in its own result column</t>
  </si>
  <si>
    <t>Parses numbers out of arbitrary strings</t>
  </si>
  <si>
    <t>Workbook Name</t>
  </si>
  <si>
    <t>Password</t>
  </si>
  <si>
    <t>blah3.xlsx</t>
  </si>
  <si>
    <t>my_p@ssword</t>
  </si>
  <si>
    <t>Records a workbook password to an encrypted, user-specific file so that password-protected workbooks can be launched without prompting the user to enter a password each time</t>
  </si>
  <si>
    <t>The name of the workbook for which a password is being saved</t>
  </si>
  <si>
    <t>ny</t>
  </si>
  <si>
    <t>osaka</t>
  </si>
  <si>
    <t>[voice]</t>
  </si>
  <si>
    <t>[throttle_in_seconds]</t>
  </si>
  <si>
    <t>Creates properly formatted metadata for deleting a report</t>
  </si>
  <si>
    <t>Deleting Reports</t>
  </si>
  <si>
    <t>SomeReportGrp</t>
  </si>
  <si>
    <t>DeleteMe</t>
  </si>
  <si>
    <t>Delete Call</t>
  </si>
  <si>
    <t>Helper method used to create properly formatted metadata that must be included when deleting a report</t>
  </si>
  <si>
    <t>Inserts substrings into specified locations of another string</t>
  </si>
  <si>
    <t>FORMAT_STRING</t>
  </si>
  <si>
    <t>format</t>
  </si>
  <si>
    <t>insertions</t>
  </si>
  <si>
    <t>The string into which substrings will be inserted at specified locations</t>
  </si>
  <si>
    <t>Inserts substrings into specified locations of string using C# string format syntax.
If the insertion fails, the original format string is returned</t>
  </si>
  <si>
    <t>Format</t>
  </si>
  <si>
    <t>My name is {0}, {1} {0}</t>
  </si>
  <si>
    <t>Insertions</t>
  </si>
  <si>
    <t>Bond</t>
  </si>
  <si>
    <t>James</t>
  </si>
  <si>
    <t>I bought {0} apples today for ${1}</t>
  </si>
  <si>
    <t>It's not how you {0}, it's how you {1}</t>
  </si>
  <si>
    <t>Feel</t>
  </si>
  <si>
    <t>Look</t>
  </si>
  <si>
    <t>{1} {1} {1} {1} {1} {1} {1} Hey {0}</t>
  </si>
  <si>
    <t>Jude</t>
  </si>
  <si>
    <t>na</t>
  </si>
  <si>
    <t>RANGE_REF</t>
  </si>
  <si>
    <t>Some Range</t>
  </si>
  <si>
    <t>Some Other Range</t>
  </si>
  <si>
    <t>Today {0} is {1}</t>
  </si>
  <si>
    <t>Yesterday {0} was {1}</t>
  </si>
  <si>
    <t>Tomorrow {0} will be {1}</t>
  </si>
  <si>
    <t>happy</t>
  </si>
  <si>
    <t>sad</t>
  </si>
  <si>
    <t>indifferent</t>
  </si>
  <si>
    <t>Use code 3E6 for 2nd floor bathroom</t>
  </si>
  <si>
    <t>[no_sci_notation]</t>
  </si>
  <si>
    <t>[min_value]</t>
  </si>
  <si>
    <t>[max_value]</t>
  </si>
  <si>
    <t>The cell or range of cells from which numbers are to be parsed</t>
  </si>
  <si>
    <t>[split_numbers]</t>
  </si>
  <si>
    <t>If set to TRUE then numbers in scientific notation will not be treated as numbers</t>
  </si>
  <si>
    <t>Paste In Manual Mode</t>
  </si>
  <si>
    <t>[has_range_refs]</t>
  </si>
  <si>
    <t>[drop_extension]</t>
  </si>
  <si>
    <t>Returns the name of the calling workbook with file extension</t>
  </si>
  <si>
    <t>If provided and set to TRUE then the file extension is removed.
If provided and set to FALSE then the full file path is returned</t>
  </si>
  <si>
    <t>[worksheet]</t>
  </si>
  <si>
    <t>[case_sensitive]</t>
  </si>
  <si>
    <t>[type_sensitive]</t>
  </si>
  <si>
    <t>If set to TRUE then strings with different casing are considered to be different.
By default string casing is ignored</t>
  </si>
  <si>
    <t>If set to TRUE then the string version of a number and the numeric version of that same number are treated as different.
By default numbers and their string equivalents are treated as equal</t>
  </si>
  <si>
    <t>tom</t>
  </si>
  <si>
    <t>Strings</t>
  </si>
  <si>
    <t>Numbers</t>
  </si>
  <si>
    <t>2</t>
  </si>
  <si>
    <t>0</t>
  </si>
  <si>
    <t>VUNIQUE</t>
  </si>
  <si>
    <t>Billy</t>
  </si>
  <si>
    <t>[named]</t>
  </si>
  <si>
    <t>Today {name} is {em_today}</t>
  </si>
  <si>
    <t>Yesterday {name} was {em_yest}</t>
  </si>
  <si>
    <t>em_today</t>
  </si>
  <si>
    <t>em_yest</t>
  </si>
  <si>
    <t>URL_ENCODE</t>
  </si>
  <si>
    <t>Some%URL#Param yeah</t>
  </si>
  <si>
    <t>Applies URL encoding to values in cells.
Leaves cells untouched if URL encoding does not change their values</t>
  </si>
  <si>
    <t>Adds newlines before and/or after the content of cells</t>
  </si>
  <si>
    <t>ADD_NEWLINES</t>
  </si>
  <si>
    <t>The cells whose values will have newlines appended and/or prepended</t>
  </si>
  <si>
    <t>[num_to_append]</t>
  </si>
  <si>
    <t>[num_to_prepend]</t>
  </si>
  <si>
    <t>[all_cells]</t>
  </si>
  <si>
    <t>Adds newlines above and/or below values in cells to create spacing from rows below and/or above</t>
  </si>
  <si>
    <t>If set to TRUE then even cells containing numbers and boolean values have newlines added
By default only cells that are blank or contain strings have newlines added</t>
  </si>
  <si>
    <t>Instructions</t>
  </si>
  <si>
    <t>1) Do this thing for me</t>
  </si>
  <si>
    <t>2) Do that thing for him</t>
  </si>
  <si>
    <t>3) Do that other thing</t>
  </si>
  <si>
    <t>If present in any cell, deep logging is enabled in the instance of Excel.
For performance reasons, should only be used temporarily during troubleshooting</t>
  </si>
  <si>
    <t>[filter]</t>
  </si>
  <si>
    <t>Banana</t>
  </si>
  <si>
    <t>Orange</t>
  </si>
  <si>
    <t>Return Index</t>
  </si>
  <si>
    <t>Dynamically filters a grid of data by specified row and column.
Assumes the topmost row and leftmost column are labels.</t>
  </si>
  <si>
    <t>The row filter criteria applied to the first or specified column in data range.
If not specified then the row filter list, if specified, will be applied otherwise all rows will  be returned in result</t>
  </si>
  <si>
    <t>If set to TRUE then filters are inverted such that only rows NOT passing row and column filter criteria, respectively, are returned. Set to "row" or "col" to invert only row or column filter, respectively</t>
  </si>
  <si>
    <t>[ignore_bad_filters]</t>
  </si>
  <si>
    <t xml:space="preserve">If this is set to TRUE then filters on non-existing rows/columns will be ignored. By default rows and columns in filters are expected to exist in the data. Set to "row" or "col" to ignore bad row or column filters, respectively </t>
  </si>
  <si>
    <t>SPX</t>
  </si>
  <si>
    <t>Hedge Symbol</t>
  </si>
  <si>
    <t>Position Date</t>
  </si>
  <si>
    <t>End of Quarter Positions</t>
  </si>
  <si>
    <t>Applies URL encoding to provided values</t>
  </si>
  <si>
    <t>I'd buy 1000 if your price is $4.35 per</t>
  </si>
  <si>
    <t>Defines scenarios that will only return TRUE if specified conditions are met, otherwise returns FALSE, to enable path-dependent conditional calculations</t>
  </si>
  <si>
    <t>Filters a matrix of data both vertically and horizontally using specified row and column filters</t>
  </si>
  <si>
    <t>[reuse_format]</t>
  </si>
  <si>
    <t>If set to TRUE and multiple insertions are provided but only a single format then insertions will all be applied to the provided format</t>
  </si>
  <si>
    <t>Susan</t>
  </si>
  <si>
    <t>Topic</t>
  </si>
  <si>
    <t>ABCCORP/EQUITIES/POSITIONS</t>
  </si>
  <si>
    <t>Paste Occurred</t>
  </si>
  <si>
    <t>[topic]</t>
  </si>
  <si>
    <t>The topic to be checked for whether it has been pasted
If not provided, a report of all topics that have been pasted in the current Excel including workbook and time pasted is returned</t>
  </si>
  <si>
    <t>Returns TRUE or FALSE to indicate whether the specified topic has been pasted at any time in the current Excel instance, otherwise returns a report of all topics pasted if no topic provided</t>
  </si>
  <si>
    <t>Returns TRUE or FALSE to indicate whether the specified topic has been pasted into the Excel instance, or returns a report of all pastes if no topic specified</t>
  </si>
  <si>
    <t>[return_input_if_error]</t>
  </si>
  <si>
    <t>If set to TRUE then any input that cannot be parsed will be returned as is instead of an Excel #VALUE! error</t>
  </si>
  <si>
    <t>Tom is happy</t>
  </si>
  <si>
    <t>[ignore_topic]</t>
  </si>
  <si>
    <t>[from_topic]</t>
  </si>
  <si>
    <t>Creates properly formatted metadata that causes HTML of published range to be captured for viewing in a Web browser with Excel formatting and charts included</t>
  </si>
  <si>
    <t>Creates a special cell value that results in an interactive checkbox when viewed in a browser; clicking in browser can update Excel cell in real-time</t>
  </si>
  <si>
    <t>Creates a special cell value that results in an interactive textarea when viewed in a browser; changes made in browser can update Excel cell in real-time</t>
  </si>
  <si>
    <t>Interactive Web Reports</t>
  </si>
  <si>
    <t>Styling non-HTML Reports</t>
  </si>
  <si>
    <t>[style]</t>
  </si>
  <si>
    <t>To Do List</t>
  </si>
  <si>
    <t>Done</t>
  </si>
  <si>
    <t>To Do</t>
  </si>
  <si>
    <t>Pick up kids</t>
  </si>
  <si>
    <t>Take out trash</t>
  </si>
  <si>
    <t>Main</t>
  </si>
  <si>
    <t>Dinner Selections</t>
  </si>
  <si>
    <t>Desert</t>
  </si>
  <si>
    <t>Appetizer</t>
  </si>
  <si>
    <t>Eat</t>
  </si>
  <si>
    <t>Sleep</t>
  </si>
  <si>
    <t>A reference to a region of the published report starting from the top-left corner and large enough to include all cells that will contain HTML controls when rendered in a browser</t>
  </si>
  <si>
    <t>Jane</t>
  </si>
  <si>
    <t>Dan</t>
  </si>
  <si>
    <t>Main Location</t>
  </si>
  <si>
    <t>Scale</t>
  </si>
  <si>
    <t>[control_cell]</t>
  </si>
  <si>
    <t>[value]</t>
  </si>
  <si>
    <t>[location]</t>
  </si>
  <si>
    <t>Returns a special string indicating where in a report the interactive Web control should be placed</t>
  </si>
  <si>
    <t>If set to a valid topic then then paste will only occur if data for topic is first retrieved from the server. Also used to indicate the topic pasted in cases where report data is transformed before pasted into a range</t>
  </si>
  <si>
    <t>The range or report topic containing cells with Web indicator strings</t>
  </si>
  <si>
    <t>Takes a range of data or report and returns it with any Web control indicator strings replaced with the values embedded in those indicators</t>
  </si>
  <si>
    <t>method_ref</t>
  </si>
  <si>
    <t>Returns TRUE if calculated after calculation of a specified reference range</t>
  </si>
  <si>
    <t>[keep_zeros]</t>
  </si>
  <si>
    <t>Returns the current values of the calling range</t>
  </si>
  <si>
    <t>If set to TRUE then zeros returned by Excel will not be replaced with blank strings. If set to a range of values, the range will be used to determine when to replace zeros with blank strings</t>
  </si>
  <si>
    <t>Returns the current values of the calling range; used to make the changing of cell values conditional</t>
  </si>
  <si>
    <t>Returns TRUE if the add-in has successfully connected to the server, otherwise FALSE</t>
  </si>
  <si>
    <t>Returns the current server connection status</t>
  </si>
  <si>
    <t>FX_POSITIONS</t>
  </si>
  <si>
    <t>Two Way Data</t>
  </si>
  <si>
    <t>USD-JPY</t>
  </si>
  <si>
    <t>EUR-USD</t>
  </si>
  <si>
    <t>GBP-USD</t>
  </si>
  <si>
    <t>USD-SGD</t>
  </si>
  <si>
    <t>report_range</t>
  </si>
  <si>
    <t>[is_excel_table]</t>
  </si>
  <si>
    <t>The group of reports to which the report belongs.
Can be any name determined by publisher</t>
  </si>
  <si>
    <t>The range (or ranges if a multi-page report) in Excel that will be published to the specified report topic when its value changes, and to which the report's values will be pasted when an update is made by another user or application</t>
  </si>
  <si>
    <t>The column filter criteria applied to the first or specified row in data range.
If not specified then the column filter list, if specified, will be applied otherwise all columns will  be returned in result</t>
  </si>
  <si>
    <t>The cell or range of cells containing strings to be URL encoded</t>
  </si>
  <si>
    <t>The expression to be evaluated. The result of this parameter is returned.</t>
  </si>
  <si>
    <t>Incrementor</t>
  </si>
  <si>
    <t>The range containing incremental values to be applied to values range</t>
  </si>
  <si>
    <t>If set to TRUE then the returned region may contain cells above the anchor.
By default the anchor range acts is the topleft of the returned region</t>
  </si>
  <si>
    <t>If set to TRUE then the event will be fully re-initialized, including the count of times fired to date being set back to zero.
This parameter should not be left as TRUE</t>
  </si>
  <si>
    <t>Email addresses that will be cc'd</t>
  </si>
  <si>
    <t>Displays a message in a pop-up box that must be acknowledged by the user in order to continue interacting with Excel</t>
  </si>
  <si>
    <t>The name of the smtp server.
Default is smtp.&lt;domain of email address&gt;</t>
  </si>
  <si>
    <t>The frequency in seconds at which the time should automatically update.
Partial seconds allowed, but min of 0.25 seconds is applied.
If not set then time does not update unless the method is recalculated</t>
  </si>
  <si>
    <t>Lookup Column Params</t>
  </si>
  <si>
    <t>The max height of the region that will be discovered; set to TRUE to include furthermost row with any value. By default the max is set to the enforced hard max of 1 million except when TRUE</t>
  </si>
  <si>
    <t>trunc(Trade Price)</t>
  </si>
  <si>
    <t>Keeps values of specified ranges synchronized such that if a value is changed in any one range the change is reflected in all others</t>
  </si>
  <si>
    <t>SYNC_CELLS</t>
  </si>
  <si>
    <t>[range]</t>
  </si>
  <si>
    <t>Range (or ranges) to be synchronized with other specified ranges</t>
  </si>
  <si>
    <t>Keeps values in specified ranges synchronized</t>
  </si>
  <si>
    <t>An optional routing override that can be used to publish the report to a non-default environment.</t>
  </si>
  <si>
    <t>An optional routing override that can be used to get the report from a non-default environment.</t>
  </si>
  <si>
    <t>An optional routing override that can be used to specify the topic resides in a non-default environment.</t>
  </si>
  <si>
    <t>CACHE</t>
  </si>
  <si>
    <t>Cache Key</t>
  </si>
  <si>
    <t>PositionChanges</t>
  </si>
  <si>
    <t>Change</t>
  </si>
  <si>
    <t>Persists specified data in memory within the add-in for efficient reuse either repeatedly or only once</t>
  </si>
  <si>
    <t>[cache_key]</t>
  </si>
  <si>
    <t>ABC Position</t>
  </si>
  <si>
    <t>Read-Once Cache</t>
  </si>
  <si>
    <t>Refreshes on demand the local copy of a report with the most recent version available in cases where live updates are not desired</t>
  </si>
  <si>
    <t>Limiting Numeric Precision</t>
  </si>
  <si>
    <t>My Calculated Values</t>
  </si>
  <si>
    <t>GlobalFX</t>
  </si>
  <si>
    <t>Risk</t>
  </si>
  <si>
    <t>[max_precision]</t>
  </si>
  <si>
    <t>[ignore_dates]</t>
  </si>
  <si>
    <t>If set to TRUE then values will be rounded even if they are within a range that makes them look likely to be an Excel datetime.</t>
  </si>
  <si>
    <t>Creates properly formatted metadata that causes numeric values in published data to be rounded to a specified precision</t>
  </si>
  <si>
    <t>absMax(Quantity)</t>
  </si>
  <si>
    <t>min(P&amp;L)</t>
  </si>
  <si>
    <t>GRID_TO_TABLE</t>
  </si>
  <si>
    <t>Estimates</t>
  </si>
  <si>
    <t>Col Labels</t>
  </si>
  <si>
    <t>Firm</t>
  </si>
  <si>
    <t>Time | Date</t>
  </si>
  <si>
    <t>Estimate</t>
  </si>
  <si>
    <t>Bill</t>
  </si>
  <si>
    <t>Pay</t>
  </si>
  <si>
    <t>Entry</t>
  </si>
  <si>
    <t>Starter</t>
  </si>
  <si>
    <t>Sub</t>
  </si>
  <si>
    <t>GameTime</t>
  </si>
  <si>
    <t>Day</t>
  </si>
  <si>
    <t>Night</t>
  </si>
  <si>
    <t>Converts data in grid/matrix format into a table to simplify subsequent processing or to feed into a pivot table</t>
  </si>
  <si>
    <t>Converts a table of data into a grid layout</t>
  </si>
  <si>
    <t>grid</t>
  </si>
  <si>
    <t>[row_labels]</t>
  </si>
  <si>
    <t>[col_labels]</t>
  </si>
  <si>
    <t>[value_label]</t>
  </si>
  <si>
    <t>Converts data in grid form to a table</t>
  </si>
  <si>
    <t>The grid of data to be transformed into a table form</t>
  </si>
  <si>
    <t>Provide a list of column labels to be used over the grid's row labels in the table
Or provide a number to indicate how many columns in the grid are row labels
Or set to TRUE to indicate that the grid contains labels for its row labels</t>
  </si>
  <si>
    <t>Provide a list of column labels to be used over the grid's column labels in the table
Or provide a number to indicate how many rows in the grid are column labels
Or set to TRUE to indicate that the grid contains labels for its column labels</t>
  </si>
  <si>
    <t>Converts a table of data into grid form</t>
  </si>
  <si>
    <t>table</t>
  </si>
  <si>
    <t>The table of data to be transformed into grid form</t>
  </si>
  <si>
    <t>row_labels_cols</t>
  </si>
  <si>
    <t>col_labels_cols</t>
  </si>
  <si>
    <t>value_column</t>
  </si>
  <si>
    <t>[keep_col_labels]</t>
  </si>
  <si>
    <t>[do_not_sort]</t>
  </si>
  <si>
    <t>The name and/or index of the table column(s) whose values will be used as column labels in the grid. If more than 1 provided, the order provided will dictate the order in which they appear in the grid</t>
  </si>
  <si>
    <t>The name and/or index of the table column whose value will be used as the grid values. Optionally enclose in a supported function to change how duplicate rows are aggregated into the grid value</t>
  </si>
  <si>
    <t>after(8)</t>
  </si>
  <si>
    <t>If set to TRUE then Excel dialogs will be shown while launching Excel
By default any dialogs Excel attempts to display are suppressed
When dialogs are suppressed any external links are automatically set to be updated</t>
  </si>
  <si>
    <t>[ignore_links]</t>
  </si>
  <si>
    <t>The column label for the grid's values in the returned table
Or provide "columns(n)" where n is a number of columns to stack repeating groups of n columns that each have the row labels applied</t>
  </si>
  <si>
    <t>Row Labels</t>
  </si>
  <si>
    <t>The name and/or index of the table column(s) whose values will be used as row labels in the grid. If more than 1 provided, the order provided will dictate the order in which they appear in the grid. An asterisk ("*") indicates all non-column, non-value columns</t>
  </si>
  <si>
    <t>symbol</t>
  </si>
  <si>
    <t>time | date</t>
  </si>
  <si>
    <t>broker</t>
  </si>
  <si>
    <t>time</t>
  </si>
  <si>
    <t>date</t>
  </si>
  <si>
    <t>exact_or_nearest</t>
  </si>
  <si>
    <t>Row Filter Params</t>
  </si>
  <si>
    <t>AAPL,IBM</t>
  </si>
  <si>
    <t>Col Filter Params</t>
  </si>
  <si>
    <t>Row</t>
  </si>
  <si>
    <t>e*</t>
  </si>
  <si>
    <t>Age</t>
  </si>
  <si>
    <t>Sex</t>
  </si>
  <si>
    <t>M</t>
  </si>
  <si>
    <t>F</t>
  </si>
  <si>
    <t>Transposes a grid of data.
Unlike Excel's native TRANSPOSE method, the entire transposed array is returned even when not used within an array formula</t>
  </si>
  <si>
    <t>The matrix of data to be transposed</t>
  </si>
  <si>
    <t>COMBINATIONS</t>
  </si>
  <si>
    <t>Returns all cominations of the specified input rows
(Descriptions use "column" and "row" consistent with the vertical flavor of the function; flip these terms to describe the horizontal flavor)</t>
  </si>
  <si>
    <t>[block_sizes]</t>
  </si>
  <si>
    <t>A range of data from whose rows combinations will be derived</t>
  </si>
  <si>
    <t>Label Depth</t>
  </si>
  <si>
    <t>The number of rows to include in a single combination.
If fewer block sizes are given than ranges of data, the last block size specified is applied to ranges missing block size info</t>
  </si>
  <si>
    <t>The number of rows that contain labels instead of data to be combined.
If fewer labels depths are given than ranges of data, the last value specified is applied to ranges missing label depth info; make number negative align labels to top of result</t>
  </si>
  <si>
    <t>Spot Move</t>
  </si>
  <si>
    <t>Pos Change</t>
  </si>
  <si>
    <t>Ticker</t>
  </si>
  <si>
    <t>Pin Risk</t>
  </si>
  <si>
    <t>[label_depths]</t>
  </si>
  <si>
    <t>NFLX</t>
  </si>
  <si>
    <t>(Down 1 SD)</t>
  </si>
  <si>
    <t>(Up 1 SD)</t>
  </si>
  <si>
    <t>REPEAT</t>
  </si>
  <si>
    <t>Repeats the specified rows/columns the specified number of times</t>
  </si>
  <si>
    <t>The data whose rows/columns will be repeated</t>
  </si>
  <si>
    <t>The number of times to repeat the specified data</t>
  </si>
  <si>
    <t>[label_depth]</t>
  </si>
  <si>
    <t>The number of labels in the data (labels not repeated)
Default is 0 if not specified</t>
  </si>
  <si>
    <t>[num_spaces]</t>
  </si>
  <si>
    <t>The number of blank rows/columns to insert between each repeat.
Default is 0 if not specified</t>
  </si>
  <si>
    <t>Val</t>
  </si>
  <si>
    <t>num_repeats</t>
  </si>
  <si>
    <t>get_index()</t>
  </si>
  <si>
    <t>INSERT</t>
  </si>
  <si>
    <t>Insert</t>
  </si>
  <si>
    <t>Me</t>
  </si>
  <si>
    <t>Into</t>
  </si>
  <si>
    <t>Range</t>
  </si>
  <si>
    <t>change(1)</t>
  </si>
  <si>
    <t>append()</t>
  </si>
  <si>
    <t>to_insert</t>
  </si>
  <si>
    <t>intervals</t>
  </si>
  <si>
    <t>Inserts specified rows/columns into a range of data at specified intervals up to a specified number of times</t>
  </si>
  <si>
    <t>The rows / columns to insert into the data range</t>
  </si>
  <si>
    <t>[max_insertions]</t>
  </si>
  <si>
    <t>The maximum number of insertions to perform.
Set to TRUE to perform insertions a the specified interval throughout the entire data range</t>
  </si>
  <si>
    <t>[insert_sizes]</t>
  </si>
  <si>
    <t>The number of insertion rows / columns to use for each insertion.
When not specified, all insertion rows are used for each insertion</t>
  </si>
  <si>
    <t>[insert_shift]</t>
  </si>
  <si>
    <t>The number of columns / rows by which to shift the inserted rows / columns</t>
  </si>
  <si>
    <t>The data into which rows / columns will be inserted</t>
  </si>
  <si>
    <t>Returns all combinations of rows(/columns) of the specified input ranges</t>
  </si>
  <si>
    <t>Inserts rows(/columns) into a specified range at specified intervals the specified number of times</t>
  </si>
  <si>
    <t>Repeats the specified  rows(/columns) the specified number of times</t>
  </si>
  <si>
    <t>FILL_LABELS</t>
  </si>
  <si>
    <t>Occupation</t>
  </si>
  <si>
    <t>Years Experience</t>
  </si>
  <si>
    <t>Cindy</t>
  </si>
  <si>
    <t>Engineer</t>
  </si>
  <si>
    <t>Designer</t>
  </si>
  <si>
    <t>First Name</t>
  </si>
  <si>
    <t>Last Name</t>
  </si>
  <si>
    <t>Smith</t>
  </si>
  <si>
    <t>Jones</t>
  </si>
  <si>
    <t>Buttons</t>
  </si>
  <si>
    <t>Eugene</t>
  </si>
  <si>
    <t>Editor</t>
  </si>
  <si>
    <t>Jan 1</t>
  </si>
  <si>
    <t>July 1</t>
  </si>
  <si>
    <t>Manager</t>
  </si>
  <si>
    <t>TRIM LABELS</t>
  </si>
  <si>
    <t>[num_row_labels]</t>
  </si>
  <si>
    <t>[start_row]</t>
  </si>
  <si>
    <t>[ref_column]</t>
  </si>
  <si>
    <t>[num_col_labels]</t>
  </si>
  <si>
    <t>[start_column]</t>
  </si>
  <si>
    <t>[ref_row]</t>
  </si>
  <si>
    <t>[trim]</t>
  </si>
  <si>
    <t>Fills empty row and/or column label cells with the preceding non-blank value
Or removes successive identical row and/or column labels</t>
  </si>
  <si>
    <t>The data whose labels will be filled or trimmed</t>
  </si>
  <si>
    <t>The first row at which to begin filling labels.
If a 2nd value is provided, filling will stop at that row.
When negative numbers are provided, row counting is done from the bottom of the data range</t>
  </si>
  <si>
    <t>If specified, labels will not be filled in rows where this column is blank.
Set to TRUE to prevent labels from being filled only if the entire row is blank</t>
  </si>
  <si>
    <t>The first column at which to begin filling labels.
If a 2nd value is provided, filling will stop at that column.
When negative numbers are provided, column counting is done from the right of the data range</t>
  </si>
  <si>
    <t>If specified, labels will not be filled in columns where this row is blank.
Set to TRUE to prevent labels from being filled only if the entire column is blank</t>
  </si>
  <si>
    <t>Eugene*</t>
  </si>
  <si>
    <t>updated 10/19</t>
  </si>
  <si>
    <t>*retired</t>
  </si>
  <si>
    <t>--</t>
  </si>
  <si>
    <t>Voice</t>
  </si>
  <si>
    <t>Line</t>
  </si>
  <si>
    <t>voice(male)</t>
  </si>
  <si>
    <t>voice(female)</t>
  </si>
  <si>
    <t>Hello. How are you?</t>
  </si>
  <si>
    <t>I am fine. And how are you?</t>
  </si>
  <si>
    <t>I am also fine. Thanks for asking.</t>
  </si>
  <si>
    <t>The number of newlines to prepend to cell contents
Default is 0 if not specified
If a 2nd number is provided, that many spaces will be added to the left of each line in cell</t>
  </si>
  <si>
    <t>The number of newlines to append to cell contents
Default is 1 if not specified
If a 2nd number is provided, that many spaces will be added to right of each line in cell</t>
  </si>
  <si>
    <t>[log_repeats]</t>
  </si>
  <si>
    <t>If set to TRUE then identical concurrent messages will be written to the log.
By default messages are not logged unless either they have changed or at least ten minutes has elapsed since last logged</t>
  </si>
  <si>
    <t>Writes the specified data to the specified output file</t>
  </si>
  <si>
    <t>Data To Write</t>
  </si>
  <si>
    <t>Filepath</t>
  </si>
  <si>
    <t>Writes data to the specified file</t>
  </si>
  <si>
    <t>filepath</t>
  </si>
  <si>
    <t>The data to be written to the file</t>
  </si>
  <si>
    <t>[quotes]</t>
  </si>
  <si>
    <t>[do_not_overwrite]</t>
  </si>
  <si>
    <t>The string used to separate fields in a row.
Default is a comma if not specified.
Set to "tab" to create a tab-delimited file</t>
  </si>
  <si>
    <t>*3*</t>
  </si>
  <si>
    <t>broker-5</t>
  </si>
  <si>
    <t>*1*</t>
  </si>
  <si>
    <t>[within_seconds]</t>
  </si>
  <si>
    <t>The number of seconds within the last recalc of method_ref that TRUE will be returned. Default is 10 seconds if not set. If set to TRUE then TRUE is returned if method_ref has recalculated at least once</t>
  </si>
  <si>
    <t>Change Me 2</t>
  </si>
  <si>
    <t>Change Me 1</t>
  </si>
  <si>
    <t>Must be FALSE when sheet opens</t>
  </si>
  <si>
    <t>[values]</t>
  </si>
  <si>
    <t>If present, updates the specified range in the workbook containing the method with the specified values (blanks if no values are specified) whenever Excel's WorkbookOpen or WorkbookBeforeClose event fires</t>
  </si>
  <si>
    <t>The range whose values will be updated</t>
  </si>
  <si>
    <t>Don't Do This when sheet opens</t>
  </si>
  <si>
    <t>[on_save]</t>
  </si>
  <si>
    <t>If set to TRUE then specified values are pasted into target range before the sheet is saved in addition to when it is opened or closed</t>
  </si>
  <si>
    <t>If set to TRUE then unique rows are returned in order of first appearance within the data range(s).
If set to -1 then data is sorted in descending order of leftmost columns.
By default returned data is sorted in ascending order of leftmost columns</t>
  </si>
  <si>
    <t>EARLY</t>
  </si>
  <si>
    <t>FINAL</t>
  </si>
  <si>
    <t>Phone numbers to which message will be sent in E.164 format.
Phone numbers can be in distinct cells and/or separated by a comma, colon, or newline</t>
  </si>
  <si>
    <t>Clears the selected range and returns the values that were cleared</t>
  </si>
  <si>
    <t>CLEAR</t>
  </si>
  <si>
    <t>Input a Value In Yellow Cell</t>
  </si>
  <si>
    <t>Values Input</t>
  </si>
  <si>
    <t>[return_val]</t>
  </si>
  <si>
    <t>Clears the specified range and returns the values that were removed</t>
  </si>
  <si>
    <t>The ranges to be cleared</t>
  </si>
  <si>
    <t>[return_val_is_backup]</t>
  </si>
  <si>
    <t xml:space="preserve">The full topic whose publish protection should be removed.
If set to special value of TRUE, then method returns ALLOW_FAST_RESPONSE metadata that allows publishes to succeed even if immediately after a receive </t>
  </si>
  <si>
    <t>[attributes]</t>
  </si>
  <si>
    <t>[alt_layout]</t>
  </si>
  <si>
    <t>Set to TRUE when Web control indicators are in rows beneath the cells that will render the controls (for non-HTML reports) or in a distinct range (for HTML reports). By default indicators are in columns to the right of controls or in the report content.</t>
  </si>
  <si>
    <t>Range (or ranges) to be synchronized with other specified ranges
Hard-code TRUE as value in formula to disable handling of Web controls</t>
  </si>
  <si>
    <t>Web Control Val</t>
  </si>
  <si>
    <t>Web Control Val Indicator</t>
  </si>
  <si>
    <t>[HTML::TEXTAREA ID=DGWJ][VAL=u|blah]</t>
  </si>
  <si>
    <t>The range into which updates will be pasted if it must be different from the report_range. When publishing an interactive Web report, this range can alternatively contain a list of Web Control indicators</t>
  </si>
  <si>
    <t>A reference to the specific cell in the report_range that will contain the interactive Web control when rendered in a browser. If a range is provided, then the returned value indicates both the top-left and bottom-right cell in that subrange</t>
  </si>
  <si>
    <t>A 2-column vector, with setting name on the left and its value on the right, of attributes to be applied. See table of supported attributes at the bottom of this tab.</t>
  </si>
  <si>
    <t>options</t>
  </si>
  <si>
    <t>Two Buttons</t>
  </si>
  <si>
    <t>Next Meeting</t>
  </si>
  <si>
    <t>Date Options</t>
  </si>
  <si>
    <t>2019-10-20</t>
  </si>
  <si>
    <t>2019-10-13</t>
  </si>
  <si>
    <t>2019-11-24</t>
  </si>
  <si>
    <t>CHI</t>
  </si>
  <si>
    <t>Web Control</t>
  </si>
  <si>
    <t>Attribute</t>
  </si>
  <si>
    <t>[ALL]</t>
  </si>
  <si>
    <t>TAG</t>
  </si>
  <si>
    <t>SUBMIT-TAG</t>
  </si>
  <si>
    <t>OUTPUT</t>
  </si>
  <si>
    <t>CHECKBOX</t>
  </si>
  <si>
    <t>SCALE</t>
  </si>
  <si>
    <t>Causes the control's value will be included in the .INPUT_CONTROL_VALS report</t>
  </si>
  <si>
    <t>Disables the control, and if TAG attribute present its value will be included in the .OUTPUT_CONTROL_VALS report</t>
  </si>
  <si>
    <t>If value matches the TAG attribute of a button with TYPE=SUBMIT on the page, changes to control will not be applied until the submit button is clicked</t>
  </si>
  <si>
    <t>Adjusts the size of the checkbox by the specified scale factor</t>
  </si>
  <si>
    <t>TEXTAREA</t>
  </si>
  <si>
    <t>PLACEHOLDER</t>
  </si>
  <si>
    <t>Displays the specified placeholder text when the textarea is empty</t>
  </si>
  <si>
    <t>FORMAT</t>
  </si>
  <si>
    <t>The .NET number format string to be applied to rendered values (for example: $ {0:0n2} would display values as US currency values)</t>
  </si>
  <si>
    <t>DISABLE</t>
  </si>
  <si>
    <t>Disables the control</t>
  </si>
  <si>
    <t>BUTTON</t>
  </si>
  <si>
    <t>TYPE</t>
  </si>
  <si>
    <t>If value is SUBMIT then changes to other controls on page whose SUBMIT-TAG matches the buttons TAG are not applied until SUBMIT is clicked</t>
  </si>
  <si>
    <t>If no other controls on the page have a TAG attribute, then the SUBMIT button applies for all controls on the page</t>
  </si>
  <si>
    <t>If value of TYPE is CANCEL then clicking it will revert any control changes that have not been submitted</t>
  </si>
  <si>
    <t>SIZE</t>
  </si>
  <si>
    <t>Causes a rectangular button to be displayed instead of a text button. Supported values are SM, MD, LG and BL (BL = Block, which causes button to fill the entire cell)</t>
  </si>
  <si>
    <t>TEXT</t>
  </si>
  <si>
    <t>DROPDOWN</t>
  </si>
  <si>
    <t>Displays the specified placeholder text when no dropdown option has been selected</t>
  </si>
  <si>
    <t>DATEPICKER</t>
  </si>
  <si>
    <t>PICK</t>
  </si>
  <si>
    <t>If set to DATETIME (or just DT) then a timepicker is included; if set to TIME then only a timepicker is displayed</t>
  </si>
  <si>
    <t>Displays the specified placeholder text when the datepicker has no date and/or time value selected</t>
  </si>
  <si>
    <t>Returns TRUE or FALSE indicating whether the workbook is in a control-enabled state</t>
  </si>
  <si>
    <t>Creates a special cell value that results in an interactive button when viewed in a browser; changes made in browser can update Excel cell in real-time</t>
  </si>
  <si>
    <t>Creates a special cell value that results in an interactive dropdown when viewed in a browser; changes made in browser can update Excel cell in real-time</t>
  </si>
  <si>
    <t>Creates a special cell value that results in an interactive calendar when viewed in a browser; changes made in browser can update Excel cell in real-time</t>
  </si>
  <si>
    <t>Returns TRUE or FALSE to indicate whether the workbooks is in a control-enabled state</t>
  </si>
  <si>
    <t>Returns the current time without any date component.
Always recalculates once when the workbook opens.</t>
  </si>
  <si>
    <t>[min_write_time]</t>
  </si>
  <si>
    <t>If set to a datetime, only files written after the specified time will be returned in results. When set a 2nd column is included in results that specifies the last write time of the file. Set to zero to include write time column without filtering</t>
  </si>
  <si>
    <t>The top directory in which to begin search for specified directory_or_file</t>
  </si>
  <si>
    <t>Locates files or directories that match specified criteria and returns their full paths</t>
  </si>
  <si>
    <t>The name of the file to find. The name may include standard Windows file search wildcard characters [*, ?]. If passed in dir() function …eg: dir(my_folder)… then searches for matching directory names instead of filenames</t>
  </si>
  <si>
    <t>Watches specified directory for changes to any files matching specific name pattern and returns a current time whenever a change occurs</t>
  </si>
  <si>
    <t>[directory]</t>
  </si>
  <si>
    <t>[pattern]</t>
  </si>
  <si>
    <t>If set to TRUE then only the top directory is watched.
By default subdirectories of the specified directory are also watched</t>
  </si>
  <si>
    <t>Watches the specified directory for changes to the specified file(s) and updates to the current time when a change occurs</t>
  </si>
  <si>
    <t>Parse</t>
  </si>
  <si>
    <t>2019-09-23</t>
  </si>
  <si>
    <t>123.4</t>
  </si>
  <si>
    <t>True</t>
  </si>
  <si>
    <t>I cannot be parsed</t>
  </si>
  <si>
    <t>Parses numbers, boolean values and datetimes from strings in a range of data</t>
  </si>
  <si>
    <t>The cells whose values should be parsed</t>
  </si>
  <si>
    <t>[no_dates]</t>
  </si>
  <si>
    <t>If set to TRUE then no attempt is made to parse strings into datetime values</t>
  </si>
  <si>
    <t>If set to TRUE then numbers in scientific notation will not be parsed</t>
  </si>
  <si>
    <t>[null_indicator]</t>
  </si>
  <si>
    <t>If set when parsing a file with fields then any field matching this value is set to blank</t>
  </si>
  <si>
    <t>FILES</t>
  </si>
  <si>
    <t>C:\Users\jsmith\my_output_data.csv</t>
  </si>
  <si>
    <t>C:\Users\jsmith\my_input_data.csv</t>
  </si>
  <si>
    <t>Reads data from the specified file into a range of cells or a cache</t>
  </si>
  <si>
    <t>[file_type]</t>
  </si>
  <si>
    <t>If specified for file types containing fields, then any fields matching the specified value will be set to blank</t>
  </si>
  <si>
    <t>[do_not_parse]</t>
  </si>
  <si>
    <t>If provided, the contents of the file will be placed into a cache keyed by the provided cache key and the cache key will be returned. If set to TRUE file contents are placed in a read-once cache. Set to FALSE to return contents directly if filepath was from read-once cache</t>
  </si>
  <si>
    <t>ClearSettings</t>
  </si>
  <si>
    <t>Clear Control Settings</t>
  </si>
  <si>
    <t>Clear record of prior launches</t>
  </si>
  <si>
    <t>Sets the file access of the current workbook to read-only</t>
  </si>
  <si>
    <t>Protects the structure of the current workbook and cells in all sheets, optionally applying registered lock/hide status to ranges of cells</t>
  </si>
  <si>
    <t>DISTRIBUTION</t>
  </si>
  <si>
    <t>ABCCORP/jsmith</t>
  </si>
  <si>
    <t>bjones</t>
  </si>
  <si>
    <t>Editors</t>
  </si>
  <si>
    <t>[editors]</t>
  </si>
  <si>
    <t>Distribution Topic</t>
  </si>
  <si>
    <t>Distribution Group</t>
  </si>
  <si>
    <t>Distribution Report</t>
  </si>
  <si>
    <t>LIVE_RISK</t>
  </si>
  <si>
    <t>[distribution_topic]</t>
  </si>
  <si>
    <t>[curr_version_num]</t>
  </si>
  <si>
    <t>[notify_of_update]</t>
  </si>
  <si>
    <t>[secret]</t>
  </si>
  <si>
    <t>The current version number of the workbook represented as up to 4 integers delimited by periods (e.g.: 2.4.3)</t>
  </si>
  <si>
    <t>If provided, it will be used when subscribing to the distribution topic</t>
  </si>
  <si>
    <t>distribution_id</t>
  </si>
  <si>
    <t>[prior_workbook_names]</t>
  </si>
  <si>
    <t>[users]</t>
  </si>
  <si>
    <t>The one-time code required to enable a distribution</t>
  </si>
  <si>
    <t>A list of prior names for the workbook that may still be open by some users and need to be updated to the distributed version whose name has changed</t>
  </si>
  <si>
    <t>The list of users who will receive the updated workbook. If not set then all non-editor users of the workbook will receive the update</t>
  </si>
  <si>
    <t>Additional metadata to be applied to report being published.
If specified this metadata is combined with the distribute_workbook metadata into a single list of metadata entries</t>
  </si>
  <si>
    <t>excel_instance_id</t>
  </si>
  <si>
    <t>distributor_username</t>
  </si>
  <si>
    <t>[workbooks]</t>
  </si>
  <si>
    <t>protect</t>
  </si>
  <si>
    <t>[reset_lock_cells]</t>
  </si>
  <si>
    <t>[reset_hide_formulas]</t>
  </si>
  <si>
    <t>Set to TRUE to protect the workbook; set to FALSE to unprotect it</t>
  </si>
  <si>
    <t>If set when protecting the workbook, the specified password will be required to unprotect it</t>
  </si>
  <si>
    <t>[lock_but_show]</t>
  </si>
  <si>
    <t>[apply_now]</t>
  </si>
  <si>
    <t>The range(s) whose cells should remain unlocked or just visible when the workbook is protected</t>
  </si>
  <si>
    <t>If set to TRUE then cells will still be locked for editing when the workbook is protected, but the equations will be visible in the formula bar</t>
  </si>
  <si>
    <t>Add cells; equation hidden</t>
  </si>
  <si>
    <t>Add cells; equation visible</t>
  </si>
  <si>
    <t>A code that must be set in order for a trusted distributor to be added or updated. Used to prevent a malicious distributor from adding himself as trusted. Not required when removing a distributor. Set to "CLEAR" to remove trusted distributor(s). Set to TRUE to receive a report of current trusted distributors.</t>
  </si>
  <si>
    <t>Registers the current workbook to be backed up on the specified or default backup schedule for as long as the method exists in the workbook</t>
  </si>
  <si>
    <t>BACKUP</t>
  </si>
  <si>
    <t>[schedule]</t>
  </si>
  <si>
    <t>[save_current]</t>
  </si>
  <si>
    <t>[max_megabytes]</t>
  </si>
  <si>
    <t>enable</t>
  </si>
  <si>
    <t>Enables or disables backups for all workbooks</t>
  </si>
  <si>
    <t>The schedule for the backups with each row containing an interval (minutes, hours or days), a frequency to save backups, and the duration for which the frequency is applicable; default schedule used if not set</t>
  </si>
  <si>
    <t>Set to TRUE to enable backing up all workbooks.
Set to FALSE to disable backing up all workbooks.
If not set a report of the current default backup schedule, if backup all is enabled, is returned</t>
  </si>
  <si>
    <t>The maximum size of the backup directory.  Oldest files are removed until the size is below this limit.
Default is 250 MB per workbook-specific subdirectory if not set</t>
  </si>
  <si>
    <t>[backups_top_dir]</t>
  </si>
  <si>
    <t>Default Backup Schedule</t>
  </si>
  <si>
    <t>Frequency</t>
  </si>
  <si>
    <t>Duration</t>
  </si>
  <si>
    <t>Minutes</t>
  </si>
  <si>
    <t>Hours</t>
  </si>
  <si>
    <t>Days</t>
  </si>
  <si>
    <t>Set to TRUE to have the current workbook saved each time it is backed up.
By default the backup will have all current changes, but the current workbook itself is not saved</t>
  </si>
  <si>
    <t>Publishes a workbook to a specified distribution channel</t>
  </si>
  <si>
    <t>Distributes workbook by publishing file to specified distribution topic</t>
  </si>
  <si>
    <t>[workbook_name]</t>
  </si>
  <si>
    <t>If set to TRUE then returned metadata entries are converted from text to their original data types (number, datetime or boolean).
If set to "TOC" a table of contents for the report is returned</t>
  </si>
  <si>
    <t>[new_name]</t>
  </si>
  <si>
    <t>Measures the calculation time of each group of formulas in the workbook and creates a report showing ranges and calc times with slowest on top</t>
  </si>
  <si>
    <t>PERFORMANCE</t>
  </si>
  <si>
    <t>[current_sheet_only]</t>
  </si>
  <si>
    <t>Set to TRUE to profile only the current worksheet. By default all worksheets in the workbook are profiled</t>
  </si>
  <si>
    <t>[num_recalcs]</t>
  </si>
  <si>
    <t>Set to a positive integer to have calculations performed multiple times and results averaged. By default calculations are performed only once (meaningful differences when using average of multiple calculations have not been observed). Max of 10 is enforced</t>
  </si>
  <si>
    <t>[timeout_in_mins]</t>
  </si>
  <si>
    <t>Millis</t>
  </si>
  <si>
    <t>The timeout in minutes after which the profiling job will be aborted if it has not already completed. By default it will be allowed to run for up to 8 hours, though usually it completes within a minute or two. Set to -1 for an infinite timeout</t>
  </si>
  <si>
    <t>Copy Paste</t>
  </si>
  <si>
    <t>Copy Source</t>
  </si>
  <si>
    <t>Paste All…</t>
  </si>
  <si>
    <t>Paste Formulas…</t>
  </si>
  <si>
    <t>Paste Formats…</t>
  </si>
  <si>
    <t>Paste Values and Formats...</t>
  </si>
  <si>
    <t>Formulas</t>
  </si>
  <si>
    <t>Formats</t>
  </si>
  <si>
    <t>Values an Formats</t>
  </si>
  <si>
    <t>Performs an regular Excel copy/paste or copy/paste_special</t>
  </si>
  <si>
    <t>source</t>
  </si>
  <si>
    <t>[special]</t>
  </si>
  <si>
    <t>[icon]</t>
  </si>
  <si>
    <t>[as_displayed]</t>
  </si>
  <si>
    <t>Source</t>
  </si>
  <si>
    <t>C:\Users\bsmith\Downloads\econ_data.pdf</t>
  </si>
  <si>
    <t>target_directory</t>
  </si>
  <si>
    <t>[target_filename]</t>
  </si>
  <si>
    <t>[overwrite]</t>
  </si>
  <si>
    <t>[flip_zip]</t>
  </si>
  <si>
    <t>[delete_source]</t>
  </si>
  <si>
    <t>Copies file(s) from to specified destination, optionally renaming or zipping/unzipping in the process</t>
  </si>
  <si>
    <t>The directory to which source file(s) will be copied. Directory of source file used if not provided here or within target filename. To have all source files copied to top level of target, pass as 2 cells with right cell set to TRUE</t>
  </si>
  <si>
    <t>The new filename to be given to copied file. If a full path provided then path is ignored if target directory provided in 2nd parameter. If ends in ".zip" and flip_zip is TRUE then all source files are copied into single zip. If ends in ".gz" and flip_zip is TRUE then gzip compression is used</t>
  </si>
  <si>
    <t>Set to TRUE to have compressed files extracted and vice-versa during copy.
Set to "zip" to have all source files placed in a single zip file.
Set to "gz" to have gzip compression used on individual files</t>
  </si>
  <si>
    <t>The path of the file to be read. If only a filename is provided, the directory of the current workbook is used. Provide as a 2-column wide range with the right cell set to FALSE to prevent use of a temporary file copy when the file cannot be read because another process has it open</t>
  </si>
  <si>
    <t>Workbook</t>
  </si>
  <si>
    <t>Completion Time</t>
  </si>
  <si>
    <t>Calc Time (Seconds)</t>
  </si>
  <si>
    <t>Profile Reports</t>
  </si>
  <si>
    <t>MONITORING</t>
  </si>
  <si>
    <t>Automatically starts/restarts/stops workbooks according to specified schedules and monitors them to ensure they remain open and responsive</t>
  </si>
  <si>
    <t>Automatically open/restarts/closes workbooks according to specified schedules and monitors them to ensure they remain open and responsive</t>
  </si>
  <si>
    <t>[max_wait_minutes]</t>
  </si>
  <si>
    <t>[open_as_readonly]</t>
  </si>
  <si>
    <t>[open_time]</t>
  </si>
  <si>
    <t>[close_time]</t>
  </si>
  <si>
    <t>[save_before_close]</t>
  </si>
  <si>
    <t>[days_of_week]</t>
  </si>
  <si>
    <t>[holidays]</t>
  </si>
  <si>
    <t>[manual_calc_mode_ok]</t>
  </si>
  <si>
    <t>[global]</t>
  </si>
  <si>
    <t>The local time at which the workbook should be opened. If  not set, then workbook is kept open constantly.
If open_time is set but close_time is not set, then workbook is opened at specified time but not monitored so if manually closed it will not be re-opened automatically until the open_time on the following day</t>
  </si>
  <si>
    <t>Set to TRUE to have the workbook opened in readonly mode. 
Default is to start as editable if possible</t>
  </si>
  <si>
    <t>The local time which the workbook should be closed. If not set, then the workbook is never closed automatically.
If set but no open_time is set, then the workbook will be bounced (closed then immediately re-opened) at the specified time</t>
  </si>
  <si>
    <t>Set to TRUE to have the workbook saved before it is closed automatically.
By default the workbook is not saved before it is closed on a scheduled close_time</t>
  </si>
  <si>
    <t>The days of week (Monday = 1, Sunday  =7) on which the schedule should be observed. Can be provided as either a comma-delimited list of numbers or as numbers in a range of cells. If not set then workbook is monitored on every day of the week</t>
  </si>
  <si>
    <t>The dates on which the schedule should not be observed. If not set then the workbook is monitored every day</t>
  </si>
  <si>
    <t>Set to TRUE to indicate that the workbook is open if any Excel instance has a lock on the file, even if the workbook is not open locally.
By default monitoring will ensure that the workbook is running on the current machine even if it is already open on some other machine</t>
  </si>
  <si>
    <t>Set to TRUE to allow monitored workbook to be open in manual calculation mode.
By default monitored workbooks are assumed to require automatic calc mode, and so the calc mode is changed to automatic if manual calc mode is detected</t>
  </si>
  <si>
    <t>Basic Publish &amp; Subscribe</t>
  </si>
  <si>
    <t>Retrieves metadata of specified report that shows information including who published the data, when and from where</t>
  </si>
  <si>
    <t>Retrieves the data content of the specified report</t>
  </si>
  <si>
    <t>Returns a report of all topics seen in the current instance of Excel</t>
  </si>
  <si>
    <t>Range Data Processing</t>
  </si>
  <si>
    <t>Layout</t>
  </si>
  <si>
    <t>String Processing</t>
  </si>
  <si>
    <t>Time Processing</t>
  </si>
  <si>
    <t>File Processing</t>
  </si>
  <si>
    <t>Notification</t>
  </si>
  <si>
    <t>Excel Automation</t>
  </si>
  <si>
    <t>Workflow</t>
  </si>
  <si>
    <t>Admin</t>
  </si>
  <si>
    <t>More Publish &amp; Subscribe</t>
  </si>
  <si>
    <t>Security</t>
  </si>
  <si>
    <t>#n/a</t>
  </si>
  <si>
    <t>The max number of columns across which to paste values. By default is set to the width of the corresponding target range if that range is a matrix or row vector, otherwise width is unbounded. Set to TRUE to signify an arbitrarily large number</t>
  </si>
  <si>
    <t>The max number of rows in which to paste values. By default is set to the height of the corresponding target range if that range is a matrix or column vector, otherwise height is unbounded. Set to TRUE to signify an arbitrarily large number</t>
  </si>
  <si>
    <t>The max number of rows in which to paste values.
By default is set to the height of the corresponding report range.
A value of TRUE represents an arbitrarily large number of rows</t>
  </si>
  <si>
    <t>The max number of columns across which to paste values.
By default is set to the width of the corresponding report range.
A value of TRUE represents an arbitrarily large number of columns</t>
  </si>
  <si>
    <t>[notify]</t>
  </si>
  <si>
    <t>The maximum time in minutes that the monitoring will await a response from Excel before assuming it is frozen and must be forcibly restarted. By default Excel is given up to 2 minutes to respond before monitoring takes stronger measures to force a response and restarts the workbook if those measures are unsuccessful. Default is 15 minutes if notify recipients provided. Max of 180 and min of 0.5 is enforced</t>
  </si>
  <si>
    <t>The list of email addresses and/or phone numbers (if text messaging enabled) that should receive notification about a frozen workbook.
When provided, a notification of a potentially frozen sheet is sent early (before the full max wait has elapsed) to give the user a chance to intervene manually before the workbook is forcibly restarted. The default max wait is 15 minutes when notify recipients are provided</t>
  </si>
  <si>
    <t>The workbook to be monitored. If only a name is provided and not a full path, then workbook is found in the specified top_directory or the directory of the current workbook if top_directory is not specified. If not set then a report of all schedules is returned. Set to "PAUSE" (or FALSE) or "RESUME" (or TRUE) to pause/resume monitoring of the current workbook. Set to "CLEAR" to delete all schedules</t>
  </si>
  <si>
    <t>The directory in which the workbook can be found if the 1st parameter does not contain a full path.
Set to "PAUSE" (or FALSE) or "RESUME" (or TRUE) to pause/resume an existing schedule for specified workbook. Set to a positive integer to only pause for that many hours. Set to "CLEAR" to clear the schedule for the workbook specified in the 1st parameter.</t>
  </si>
  <si>
    <t>Calc on Click</t>
  </si>
  <si>
    <t>Configure Calc Clickval</t>
  </si>
  <si>
    <t>Jump to A6</t>
  </si>
  <si>
    <t>Click to Navigate</t>
  </si>
  <si>
    <t>Jump to D35</t>
  </si>
  <si>
    <t>If set to a comma-delimited list of worksheet names, those worksheets will be hidden</t>
  </si>
  <si>
    <t>REMOVE_NON_ASCII</t>
  </si>
  <si>
    <t>[ignore_part]</t>
  </si>
  <si>
    <t>[replacement]</t>
  </si>
  <si>
    <t>[remove_newlines_and_tabs]</t>
  </si>
  <si>
    <t>Data</t>
  </si>
  <si>
    <r>
      <rPr>
        <sz val="11"/>
        <color theme="8" tint="-0.249977111117893"/>
        <rFont val="Calibri"/>
        <family val="2"/>
      </rPr>
      <t>←</t>
    </r>
    <r>
      <rPr>
        <sz val="11"/>
        <color theme="8" tint="-0.249977111117893"/>
        <rFont val="Calibri"/>
        <family val="2"/>
        <scheme val="minor"/>
      </rPr>
      <t xml:space="preserve"> I have </t>
    </r>
    <r>
      <rPr>
        <sz val="11"/>
        <color theme="8" tint="-0.249977111117893"/>
        <rFont val="Calibri"/>
        <family val="2"/>
      </rPr>
      <t xml:space="preserve">© </t>
    </r>
    <r>
      <rPr>
        <sz val="11"/>
        <color theme="8" tint="-0.249977111117893"/>
        <rFont val="Calibri"/>
        <family val="2"/>
        <scheme val="minor"/>
      </rPr>
      <t xml:space="preserve">non-ascii in and around me </t>
    </r>
    <r>
      <rPr>
        <sz val="11"/>
        <color theme="8" tint="-0.249977111117893"/>
        <rFont val="Calibri"/>
        <family val="2"/>
      </rPr>
      <t>→</t>
    </r>
  </si>
  <si>
    <r>
      <t xml:space="preserve">   I have </t>
    </r>
    <r>
      <rPr>
        <sz val="11"/>
        <color theme="8" tint="-0.249977111117893"/>
        <rFont val="Calibri"/>
        <family val="2"/>
      </rPr>
      <t xml:space="preserve">© </t>
    </r>
    <r>
      <rPr>
        <sz val="11"/>
        <color theme="8" tint="-0.249977111117893"/>
        <rFont val="Calibri"/>
        <family val="2"/>
        <scheme val="minor"/>
      </rPr>
      <t>non-ascii in me</t>
    </r>
  </si>
  <si>
    <t>ab©c
xyz</t>
  </si>
  <si>
    <t>The data whose values should have non-ASCII characters removed or replaced</t>
  </si>
  <si>
    <t>Removes or replaces non-ASCII characters in cells</t>
  </si>
  <si>
    <t>If set to TRUE then whitespace is removed from around result.
Provide 2 values to separately specify trimming start of value and end of value, respectively</t>
  </si>
  <si>
    <t>If set then non-ASCII characters are replaced with specified value instead of removed. Provide up to 3 values to set a replacement for the middle, start and/or end section of the value, respectively</t>
  </si>
  <si>
    <t>If set to TRUE then tab, newline and carriage return characters are treated like any other non-ASCII character
By default they are not removed or replaced</t>
  </si>
  <si>
    <t>If set to TRUE then non-ASCII characters occurring after the first ASCII character and before the last ASCII character are not removed or replaced. Provide up to 3 values to set the ignore rule for the middle, start and/or end section of the value, respectively</t>
  </si>
  <si>
    <t>Reliability</t>
  </si>
  <si>
    <t>Performance</t>
  </si>
  <si>
    <t>Distribution</t>
  </si>
  <si>
    <t>If set to true then wb will be backed-up to pre-configured backup directory, or if no pre-configured backup directory exists then to a subdirectory of the workbook's own directory</t>
  </si>
  <si>
    <t>Changes the positions of cells within a range, such as converting a column of values into a matrix of values, in a customizable way</t>
  </si>
  <si>
    <t>RESHAPE</t>
  </si>
  <si>
    <t>The data to be reshaped</t>
  </si>
  <si>
    <t>[read_num_cols]</t>
  </si>
  <si>
    <t>[read_num_rows]</t>
  </si>
  <si>
    <t>[read_down]</t>
  </si>
  <si>
    <t>[write_num_cols]</t>
  </si>
  <si>
    <t>[write_num_rows]</t>
  </si>
  <si>
    <t>[write_down]</t>
  </si>
  <si>
    <t>The number of columns to write at across rows at a single time.
Default is width of calling range if not set, unless calling range is a column vector in which case the value is calculated</t>
  </si>
  <si>
    <t>The number of rows to write before writing to the next batch of columns. If not set then is the height of the calling range if the calling range is a column vector else it is calculated</t>
  </si>
  <si>
    <t>The number of columns to read at across rows at a single time.
Default is to read all columns at once if not set</t>
  </si>
  <si>
    <t>The number of rows to read before reading from the next batch of columns. Default is to read all rows to the bottom of the input data if not set</t>
  </si>
  <si>
    <t>Pasted Values</t>
  </si>
  <si>
    <t>d</t>
  </si>
  <si>
    <t>f</t>
  </si>
  <si>
    <t>g</t>
  </si>
  <si>
    <t>h</t>
  </si>
  <si>
    <t>i</t>
  </si>
  <si>
    <t>j</t>
  </si>
  <si>
    <t>Sarah</t>
  </si>
  <si>
    <t>Tommy</t>
  </si>
  <si>
    <t>Jean</t>
  </si>
  <si>
    <t>Andy</t>
  </si>
  <si>
    <t>Becky</t>
  </si>
  <si>
    <t>Jordan</t>
  </si>
  <si>
    <t>Rufus</t>
  </si>
  <si>
    <t>Jeannine</t>
  </si>
  <si>
    <t>Robert</t>
  </si>
  <si>
    <t>Denise</t>
  </si>
  <si>
    <t>Set to TRUE to read values in columns from top to bottom.
Default if not set is to read values in rows from left to right</t>
  </si>
  <si>
    <t>Set to TRUE to write values in columns from top to bottom. Default if not set is to write values in rows from left to right, unless both data and calling range are column vectors and neither 2nd nor 3rd parameters are specified...in which case writing is top-to-bottom</t>
  </si>
  <si>
    <t>top_range /
left_range /
config</t>
  </si>
  <si>
    <t>abc</t>
  </si>
  <si>
    <t>def</t>
  </si>
  <si>
    <t>ghi</t>
  </si>
  <si>
    <t>jkl</t>
  </si>
  <si>
    <t>Data 1 Page 1</t>
  </si>
  <si>
    <t>Data 2 Page 2</t>
  </si>
  <si>
    <t>Data 1 Page 2</t>
  </si>
  <si>
    <t>Data 2 Page 1</t>
  </si>
  <si>
    <t>qrs</t>
  </si>
  <si>
    <t>tuv</t>
  </si>
  <si>
    <t>wx</t>
  </si>
  <si>
    <t>yz</t>
  </si>
  <si>
    <t>config(labels)</t>
  </si>
  <si>
    <t>Config</t>
  </si>
  <si>
    <t>Data 1 Cache</t>
  </si>
  <si>
    <t>Data 2 Cache</t>
  </si>
  <si>
    <t>No Data Cache</t>
  </si>
  <si>
    <t>I Don't Exist</t>
  </si>
  <si>
    <t>config(labels=1,topics)</t>
  </si>
  <si>
    <t>config(labels,topics=all)</t>
  </si>
  <si>
    <t>config(match)</t>
  </si>
  <si>
    <t>Range 2 Diff Col Labels</t>
  </si>
  <si>
    <t>Sym</t>
  </si>
  <si>
    <t>Symbol Map</t>
  </si>
  <si>
    <t>Target</t>
  </si>
  <si>
    <t>Actual</t>
  </si>
  <si>
    <t>Division 1</t>
  </si>
  <si>
    <t>Division 2</t>
  </si>
  <si>
    <t>Tgt</t>
  </si>
  <si>
    <t>Act</t>
  </si>
  <si>
    <t>Jan</t>
  </si>
  <si>
    <t>Apr</t>
  </si>
  <si>
    <t>January</t>
  </si>
  <si>
    <t>April</t>
  </si>
  <si>
    <t>Division 3</t>
  </si>
  <si>
    <t>config(labels=2|fill,match=Jan:January|Apr:April|Tgt:Target|Act:Actual)</t>
  </si>
  <si>
    <t>apr</t>
  </si>
  <si>
    <t>Forcibly kills specified Excel processes or optionally all Excel processes except for the current process (ghost Excel instances are detected and killed even when this method not used)</t>
  </si>
  <si>
    <t>Registers a sequence of calculations to be performed in the specified order</t>
  </si>
  <si>
    <t>SCRIPTS</t>
  </si>
  <si>
    <t>Step</t>
  </si>
  <si>
    <t>Script Log</t>
  </si>
  <si>
    <t>Clear Range</t>
  </si>
  <si>
    <t>Script Name</t>
  </si>
  <si>
    <t>First_Example</t>
  </si>
  <si>
    <t>Paste curr time</t>
  </si>
  <si>
    <t>Show box on completion</t>
  </si>
  <si>
    <t>Paste starting line</t>
  </si>
  <si>
    <t>Paste waiting…</t>
  </si>
  <si>
    <t>sleep(1)</t>
  </si>
  <si>
    <t>Sleep 1 second</t>
  </si>
  <si>
    <t>Script Updates Here</t>
  </si>
  <si>
    <t>script_name</t>
  </si>
  <si>
    <t>[confirm]</t>
  </si>
  <si>
    <t>Specifies a series of calculations to be run sequentially</t>
  </si>
  <si>
    <t>The unique name of the script</t>
  </si>
  <si>
    <t>steps</t>
  </si>
  <si>
    <t>If set to a range, that range will be updated with the status of the script while it is running</t>
  </si>
  <si>
    <t>If set to TRUE, then any errors encountered in individual steps will be ignored by default</t>
  </si>
  <si>
    <t>[allow_non_run_calc]</t>
  </si>
  <si>
    <t>If set to TRUE then all methods in the steps range will be allowed to recalculate normally when the script is not running. By default certain workflow-related methods that are part of a specified script range will only calculate when recalculated during running of the script</t>
  </si>
  <si>
    <t>[display_alerts]</t>
  </si>
  <si>
    <t>If set to TRUE then alerts are displayed while the script is run. By default alerts are suppressed</t>
  </si>
  <si>
    <t>[auto_calc_mode]</t>
  </si>
  <si>
    <t>If set to TRUE or FALSE, will be applied to every step in the script overriding any default and step-specific settings that may have been specified when the script was created</t>
  </si>
  <si>
    <t>If set to TRUE then the workbook will be in automatic calculation mode while the script is run.
By default the workbook is placed in manual calculation mode during the running of the script …and calculated by the script after each step… to minimize the risk of unwanted calculation artifacts</t>
  </si>
  <si>
    <t>[calc_on_trigger]</t>
  </si>
  <si>
    <t>Applies a name to a range of cells; also can remove an existing named range, remove all names containing #REF! errors, and return a report with details of all named ranges</t>
  </si>
  <si>
    <t>Named Ranges</t>
  </si>
  <si>
    <t>RANGE_REF!B5:C8</t>
  </si>
  <si>
    <t>Excel Address String</t>
  </si>
  <si>
    <t>Names a range of cells, removes an existing name, clears names with #REF! errors, or returns a report of all named ranges in the workbook</t>
  </si>
  <si>
    <t>[sheet_scope]</t>
  </si>
  <si>
    <t>[comment]</t>
  </si>
  <si>
    <t>The name to be given to the selected range, or the existing name to be cleared.
If not set then a report of all names in the workbook is returned.
If set to "CLEAN" then names containing #REF! errors are removed from workbook</t>
  </si>
  <si>
    <t>If set to TRUE then the name will be created with worksheet scope, so only accessible on the worksheet where the range exists. Default is to make names workbook scope.</t>
  </si>
  <si>
    <t>A descriptive comment to be added to the named range</t>
  </si>
  <si>
    <t>Range to Name</t>
  </si>
  <si>
    <t>Gina</t>
  </si>
  <si>
    <t>Adam</t>
  </si>
  <si>
    <t>Name to Apply to Range</t>
  </si>
  <si>
    <t>Colleagues</t>
  </si>
  <si>
    <t>Report Range Name</t>
  </si>
  <si>
    <t>Report Params Range Name</t>
  </si>
  <si>
    <t>Report Range Ref</t>
  </si>
  <si>
    <t>Report Params Range Ref</t>
  </si>
  <si>
    <t>Configure Navigation</t>
  </si>
  <si>
    <t>Worksheets</t>
  </si>
  <si>
    <t>Back to Index</t>
  </si>
  <si>
    <t>Registers a range of data where, when a cell within that range is clicked, subscribers will update with the indicated value</t>
  </si>
  <si>
    <t>If set to a range of values then update value will cycle through values with each click of a cell in the click range (cycle backwards if decrement range is clicked). If set to a number then value will increment (or decrement) with each click range click. "return(row/col)" returns index</t>
  </si>
  <si>
    <t>If values_or_start_val is a range of values then sets the default value
If values_or_start_val is a number then sets the increment applied with each click range click</t>
  </si>
  <si>
    <t>[click_config]</t>
  </si>
  <si>
    <t>Click Range</t>
  </si>
  <si>
    <t>Referenced Range</t>
  </si>
  <si>
    <t>Click in Me</t>
  </si>
  <si>
    <t>Set Navigation</t>
  </si>
  <si>
    <t>Set Params Navigation</t>
  </si>
  <si>
    <t>Back to Index Cell</t>
  </si>
  <si>
    <t>Back to Index Range Ref</t>
  </si>
  <si>
    <t>Set Back Navigation</t>
  </si>
  <si>
    <t>PUBLISH</t>
  </si>
  <si>
    <t>Publishing Reports</t>
  </si>
  <si>
    <t>sleep(2)</t>
  </si>
  <si>
    <t>Sleep 2 seconds</t>
  </si>
  <si>
    <t>Decrement counter</t>
  </si>
  <si>
    <t>loop()</t>
  </si>
  <si>
    <t>Countdown loop…</t>
  </si>
  <si>
    <t>Loop…</t>
  </si>
  <si>
    <t>The name of the script to run
If set to FALSE and steps are not set, then any currently running script in the Excel instance will be killed</t>
  </si>
  <si>
    <t>If set to TRUE then a confirmation message box will be presented to the user before the script is run
If set to FALSE, then the specified script will be killed if it is currently running</t>
  </si>
  <si>
    <t>[target_range]</t>
  </si>
  <si>
    <t>If set to a range of cells, then any cell clicked in that range will have its value updated to the most recent value of the clickval range. In special case of return(calc), if this parameter is set it will be the range calculated instead of the click range</t>
  </si>
  <si>
    <t>Starts an arbitrary new app/process, optionally with specific command line parameters; also can be used to resize/minimize/maximize windows of existing processes</t>
  </si>
  <si>
    <t>[args]</t>
  </si>
  <si>
    <t>[await_exit]</t>
  </si>
  <si>
    <t>[config]</t>
  </si>
  <si>
    <t>Starts a new Windows process</t>
  </si>
  <si>
    <t>Command line args to be included when starting the new process. Must be provided as a single string, so double quotes must be placed around paths containing spaces, etc, as would be required when entering via the Windows command line</t>
  </si>
  <si>
    <t>If set to TRUE, then specified return_val is returned only if range was already empty
If set to FALSE, then a specified return_val is returned in all cases
If set to a number, values from that range are returned if any existed else any return_val if provided</t>
  </si>
  <si>
    <t>If set to TRUE then method will block until the started process has exited. A timeout can be set by providing a positive integer to represent the timeout in seconds, though in either case a max timeout of 75 seconds is enforced. If the values are provided in a row vector, a 2nd value of TRUE will cause the process to be killed in the event of a timeout</t>
  </si>
  <si>
    <t>Sample Target Values</t>
  </si>
  <si>
    <t>C:/my_docs/paper.docx</t>
  </si>
  <si>
    <t>cmd.exe</t>
  </si>
  <si>
    <t>What it opens</t>
  </si>
  <si>
    <t>Web site with default browser</t>
  </si>
  <si>
    <t>START_PROCESS</t>
  </si>
  <si>
    <t>Specified application</t>
  </si>
  <si>
    <t>C:/batch_jobs/upload_data.bat</t>
  </si>
  <si>
    <t>Specified doc using default app</t>
  </si>
  <si>
    <t>Executes the batch script</t>
  </si>
  <si>
    <t>A string in the format of "config(&lt;key1&gt;=&lt;val1&gt;,&lt;key2&gt;=&lt;val2&gt;) containing miscellaneous properties that can be configured for the process. Supported keys are as follows: fromTop, fromLeft, width, height, minimized (or min), maximized (or max), normal, hidden and configwait</t>
  </si>
  <si>
    <t>Returns a report of all processes running on the current machine that the user is permissioned to see</t>
  </si>
  <si>
    <t>Returns a report of all processes running on the machine that the user is permissioned to see</t>
  </si>
  <si>
    <t>Displays a Windows message box that the user must acknowledge by pressing an OK button or Yes/No button in order to continue interacting with Excel</t>
  </si>
  <si>
    <t>[post_open_values]</t>
  </si>
  <si>
    <t>[post_open_seconds]</t>
  </si>
  <si>
    <t>[post_on_save]</t>
  </si>
  <si>
    <t>If post_open_values are set, this parameter can be set to a positive number to indicate the pause in seconds that should be applied before the post_open_values are copied to the target range. A max of 600 (ten minutes) is enforced</t>
  </si>
  <si>
    <t>[resource]</t>
  </si>
  <si>
    <t>An optional parameter that can be used to get the host:port for a non-default environment</t>
  </si>
  <si>
    <t>An optional parameter that can be used to authenticate or get the authentication status to a non-default environment</t>
  </si>
  <si>
    <t>An optional parameter that can be used to get the connection status of a non-default environment</t>
  </si>
  <si>
    <t>If set to TRUE then the input is decoded instead of encoded</t>
  </si>
  <si>
    <t>Encrypting Data</t>
  </si>
  <si>
    <t>Salary</t>
  </si>
  <si>
    <t>Sensitive Data</t>
  </si>
  <si>
    <t>Encrypts/Decrypts data with user-specified password</t>
  </si>
  <si>
    <t>The data to be encrypted/decrypted</t>
  </si>
  <si>
    <t>Encrypts / Decrypts data with user-specified encryption password</t>
  </si>
  <si>
    <t>The path to the file to be launched, or name of Web site to be opened with default browser or app to launch. If the ID or name of an existing process and config is set, then config is applied to that process (unless config key newProcess=TRUE). If not otherwise found, a file with specified name is searched for in directory (and subdirectories) of current workbook</t>
  </si>
  <si>
    <t>If set to TRUE then insertions are done by name instead of position. When TRUE the value of any ClickVal names are also used as insertions, but will be overridden if the same name exists in the insertions parameter. To prevent use of ClickVal names, set as 2-column row vector with 2nd value set to FALSE</t>
  </si>
  <si>
    <t>Begin Countdown</t>
  </si>
  <si>
    <t>The range of cells whose leftmost column is a list of methods to be run sequentially from top to bottom.
An optional 2nd column contains a description associated with each step; descriptions support named insertions.
An optional 3rd column can be used to override the default ignore_error setting just for that step</t>
  </si>
  <si>
    <t>config(cache=appended,labels=2|fill,match=Jan:January|Apr:April|Tgt:Target|Act:Actual)</t>
  </si>
  <si>
    <t>Returns the name, if any, of the currently running script and blank if no script is running. This is an RTD method so will update automatically as scripts are run and completed.</t>
  </si>
  <si>
    <t>=IF(CURRENT_SCRIPT=C4, DO_SOMETHING(), "Wait")</t>
  </si>
  <si>
    <t>Starting script</t>
  </si>
  <si>
    <t>Misshapen Values</t>
  </si>
  <si>
    <t>a-xx-b-x-c-xx-d</t>
  </si>
  <si>
    <t>REGEX</t>
  </si>
  <si>
    <t>Applies regular expressions to specified values for validation, data abstraction and substitution</t>
  </si>
  <si>
    <t>Tom eats apples for lunch</t>
  </si>
  <si>
    <t>The cell or range of cells against which the regular expressions will be applied</t>
  </si>
  <si>
    <t>regex_patterns</t>
  </si>
  <si>
    <t>[nonmatch_return_val]</t>
  </si>
  <si>
    <t>One ore more regular expression patterns to apply to the inputs.
If provided a 2nd column indicates a string format to be returned</t>
  </si>
  <si>
    <t>If set, this value will be returned instead of a blank if an input does not match with any regular expression pattern. If set to an asterisk ("*") then the input itself is returned if no match</t>
  </si>
  <si>
    <t>[return_override]</t>
  </si>
  <si>
    <t>Applies regular expression patterns to input strings for validation, data extraction or substitution</t>
  </si>
  <si>
    <t>Regex Pattern</t>
  </si>
  <si>
    <t>apples|bananas|pears</t>
  </si>
  <si>
    <t>Cindy eats pears for lunch</t>
  </si>
  <si>
    <t>Andy eats burgers for lunch</t>
  </si>
  <si>
    <t>Regex Patterns</t>
  </si>
  <si>
    <t>bananas|apples</t>
  </si>
  <si>
    <t>brats|burg</t>
  </si>
  <si>
    <t>Output Formats</t>
  </si>
  <si>
    <t>Is .NET</t>
  </si>
  <si>
    <t>(?'name'\D+)\seats\s(?&lt;fruit&gt;\D+)\sfor</t>
  </si>
  <si>
    <t>{fruit}: {name} likes 'em</t>
  </si>
  <si>
    <t>(\D+)\seats\s(\D+)\sfor</t>
  </si>
  <si>
    <t>{1}: {0} likes 'em</t>
  </si>
  <si>
    <t>{0}: Tom likes 'em</t>
  </si>
  <si>
    <t>Substitution</t>
  </si>
  <si>
    <t>(?&lt;food&gt;apples|bananas|pears)</t>
  </si>
  <si>
    <t>Transposes a matrix of data like Excel's native TRANSPOSE method but does not require use of an array formula when nested in a single-cell equation</t>
  </si>
  <si>
    <t>brats|burgers|hotdogs</t>
  </si>
  <si>
    <t>123x567</t>
  </si>
  <si>
    <t>123x 567</t>
  </si>
  <si>
    <t>\dx\d</t>
  </si>
  <si>
    <t>Billy is a big boy</t>
  </si>
  <si>
    <t>BIG</t>
  </si>
  <si>
    <t>match_case(BIG)</t>
  </si>
  <si>
    <t>If set to a supported value, the specified return type will be returned for all inputs and any formats included in a 2nd regex_patterns column will be ignored.
If set to TRUE and no other params set, a report of valid values for this parameter is returned</t>
  </si>
  <si>
    <t>A1 x B1 x C1</t>
  </si>
  <si>
    <t>\D\d</t>
  </si>
  <si>
    <t>She likes dogs and cats</t>
  </si>
  <si>
    <t>likes\s\b(.*)\b\sand\s\b(.*)</t>
  </si>
  <si>
    <t>X1 x Y1 x Z1</t>
  </si>
  <si>
    <t>prefix_A1_suffix</t>
  </si>
  <si>
    <t>prefix_BB_suffix</t>
  </si>
  <si>
    <t>prefix_XY_suffix</t>
  </si>
  <si>
    <t>prefix_B2_suffix</t>
  </si>
  <si>
    <t>prefix_N7_suffix</t>
  </si>
  <si>
    <t>prefix_ED_suffix</t>
  </si>
  <si>
    <t>prefix_JJ_suffix</t>
  </si>
  <si>
    <t>\d+</t>
  </si>
  <si>
    <t>many</t>
  </si>
  <si>
    <t>The guys</t>
  </si>
  <si>
    <t>Tom and Bill ate 30 cookies</t>
  </si>
  <si>
    <t>chips|cookies|cupcakes</t>
  </si>
  <si>
    <t>snacks</t>
  </si>
  <si>
    <t>.*Bill</t>
  </si>
  <si>
    <t>(?'code'\D)(?'number'\d{2})(?'series'X\d{1})</t>
  </si>
  <si>
    <t>Products A85X2, D77X1 and B41X2</t>
  </si>
  <si>
    <t>The max width of the region that will be discovered; set to TRUE to include furthermost column with any value. By default is set to the width of the anchor range. A hard max of 8000 columns is enforced except when TRUE.
If set to a range that includes the anchor_range, it will act as a trigger parameter and it width will be the max_columns</t>
  </si>
  <si>
    <t>Adds the specified number of pixels above the text to enable vertical alignment</t>
  </si>
  <si>
    <t>PADDING-TOP</t>
  </si>
  <si>
    <t>The text to be shown for the button. If not provided, the text to be shown will be derived from the button's TYPE or its current value or "X" as last resort default</t>
  </si>
  <si>
    <t>TEXT-COLOR</t>
  </si>
  <si>
    <t>ROWS</t>
  </si>
  <si>
    <t>COLS</t>
  </si>
  <si>
    <t>Fixes the number of rows in non-HTML reports</t>
  </si>
  <si>
    <t>Fixes the number of columns in non-HTML reports</t>
  </si>
  <si>
    <t>BORDER</t>
  </si>
  <si>
    <t>If set to a positive number, adds a border of the specified width to the textarea</t>
  </si>
  <si>
    <t>OPTIONS</t>
  </si>
  <si>
    <t>The comma-delimited list of values to be available as dropdown options; order is preserved, but blank option is always displayed first in browser</t>
  </si>
  <si>
    <t>The color of the button's text</t>
  </si>
  <si>
    <t>HIDDEN</t>
  </si>
  <si>
    <t>If value is T (or F) makes the control invisible (or visible again) in a browser; tagged values can still be retrieved and updated programmatically when invisible</t>
  </si>
  <si>
    <t>[ALL except SUBMIT button]</t>
  </si>
  <si>
    <t>The paths to workbooks to be launched.
If only a workbook name is specified, directory of current workbook is searched for file. Workbook names must include file extension. Set to "new" to launch a new, blank workbook</t>
  </si>
  <si>
    <t>[freeze_seconds]</t>
  </si>
  <si>
    <t>If set to a number greater than zero and less than or equal to 600, the method will freeze for that many seconds before returning. This can be used to simulate slow calcs when testing a sheet.</t>
  </si>
  <si>
    <t>[calc_delay_seconds]</t>
  </si>
  <si>
    <t>The Windows voice that will be used to speak text; If set to TRUE then other params are ignored and a list of installed windows voices is returned unless to_play is a valid Web address in which case TRUE will prevent use of previously downloaded sound file; If a row of values is provided, the 2nd value is the speaking rate (-10 to 10) and the 3rd value is the volume (0 to 100); Set to "WMP" to force use of Windows Media Player even for .wav files</t>
  </si>
  <si>
    <t>The column or columns of values to be looked up in the data range.
If "types" provided and no other params set, then a report of available lookup types is returned</t>
  </si>
  <si>
    <t>The range containing the sort criteria applied to columns in data range. A nested sort will be applied to rows in order of specified sort parameters. If not set, then rows are sorted by the leftmost column in ascending order. If "types" provided and no other params set, then a report of available sort types is returned</t>
  </si>
  <si>
    <t>Sort Types</t>
  </si>
  <si>
    <t>list</t>
  </si>
  <si>
    <t>[low]</t>
  </si>
  <si>
    <t>[high]</t>
  </si>
  <si>
    <t>The lowest number to be returned. If an integer is provided and high is either not provided or also an integer, then the random value generated will be an integer. If not set and high is set, then random number is unbounded on the low end</t>
  </si>
  <si>
    <t>The highest number to be returned. If an integer is provided and low is either not provided or also an integer, then the random value generated will be an integer. If not set and low is set, then random number is unbounded on the high end</t>
  </si>
  <si>
    <t>RAND</t>
  </si>
  <si>
    <t>Low</t>
  </si>
  <si>
    <t>High</t>
  </si>
  <si>
    <t>Returns the list of recently opened workbooks maintained by Excel</t>
  </si>
  <si>
    <t>[keep_missing]</t>
  </si>
  <si>
    <t>If set to TRUE then files that cannot be found will be returned. Default is to remove from the list any files that cannot be found</t>
  </si>
  <si>
    <t>Returns the list of recently used workbooks as maintained by Excel</t>
  </si>
  <si>
    <t>[array]</t>
  </si>
  <si>
    <t>Returns a random number, either between 0 and 1 or between a specified high and low.
Non-volatile alternative to Excel's native RAND, RANDBETWEEN and RANDARRAY functions</t>
  </si>
  <si>
    <t>If set to TRUE then an array the size of the calling range is returned. If set to an integer, a column vector of random values with that many rows will be returned. If set to a row with 2 integers, they will set the number of rows and columns in the returned array. If set to a range, topic or cache key the result will be the size of that data</t>
  </si>
  <si>
    <t>Non-volatile alternative to Excel's native RAND, RANDBETWEEN and RANDARRAY functions</t>
  </si>
  <si>
    <t>Shortcut</t>
  </si>
  <si>
    <t>keys</t>
  </si>
  <si>
    <t>[select_target]</t>
  </si>
  <si>
    <t>[replace_handling]</t>
  </si>
  <si>
    <t>Resisters concurrent and/or sequential keyboard sequences that can trigger user-definable actions, including opening specified workbooks even when Excel is not already open</t>
  </si>
  <si>
    <t>Last Keys</t>
  </si>
  <si>
    <t>Copy From</t>
  </si>
  <si>
    <t>Copy To</t>
  </si>
  <si>
    <t>ClickVal Name</t>
  </si>
  <si>
    <t>KS</t>
  </si>
  <si>
    <t>Key Sequence</t>
  </si>
  <si>
    <t>Time Here</t>
  </si>
  <si>
    <t>Registers a keyboard combination that will perform a specified action when entered</t>
  </si>
  <si>
    <t>If set, then the target will be updated with the specified value
If the target is a clickval name, that clickval will have its value set to the specified value</t>
  </si>
  <si>
    <t>If set to TRUE then the target will be selected in addition to other actions being performed</t>
  </si>
  <si>
    <t>If set to TRUE then the keyboard shortcut will be applied even if the Excel instance is not the active application in Windows. By default shortcuts are only applied if the Excel instance where it is defined is active.
Provide 2 columns of values with the first TRUE and 2nd FALSE to trigger ONLY from outside the Excel instance</t>
  </si>
  <si>
    <t>If set to TRUE then any standard action associated with the keyboard shortcut will be skipped; by default any standard shortcut handling is performed in addition to the custom handling</t>
  </si>
  <si>
    <t>The names of keyboard keys, separated by hyphens, that when pressed concurrently will trigger the specified action; if not set, a report of all defined shortcuts is returned.
If set to "LAST" and no target set, keyboard sequences will be shown as they are entered on the keyboard</t>
  </si>
  <si>
    <t>KEYBOARD SHORTCUT</t>
  </si>
  <si>
    <t>[keyboard_shortcut]</t>
  </si>
  <si>
    <t>CTRL+ALT+K</t>
  </si>
  <si>
    <t>CTRL + ALT + C</t>
  </si>
  <si>
    <t>Alt+t+ control</t>
  </si>
  <si>
    <t>ESC SETNOW</t>
  </si>
  <si>
    <t>Returns the formula(s) from a referenced cell (or range) instead of the calculated value</t>
  </si>
  <si>
    <t>FORMULA</t>
  </si>
  <si>
    <t>cell</t>
  </si>
  <si>
    <t>If set to TRUE and a multi-cell range is selected, then the formula from each cell in the referenced range will be returned as a matrix</t>
  </si>
  <si>
    <t>[as_R1C1]</t>
  </si>
  <si>
    <t>If set to TRUE then returned formulas will have Excel's R1C1 formula syntax.
By default formulas are returned with A1 syntax</t>
  </si>
  <si>
    <t>[local]</t>
  </si>
  <si>
    <t>If set to TRUE then localized versions of Excel method names are returned.
By default method names are returned as originally entered</t>
  </si>
  <si>
    <t>Returns the formula(s) from a referenced cell (or range) instead  of its value</t>
  </si>
  <si>
    <t>Some Formula</t>
  </si>
  <si>
    <t>Some Value</t>
  </si>
  <si>
    <t>Some Other Formula</t>
  </si>
  <si>
    <t>[fit_spill_range]</t>
  </si>
  <si>
    <t>X</t>
  </si>
  <si>
    <t>The range of cells to be named. Can be multiple regions if surrounded by parentheses.
If set to "CLEAR" then the specified name is removed if it exists.
If a string that starts with an equal sign, then name is created with specified equation</t>
  </si>
  <si>
    <t>Formula</t>
  </si>
  <si>
    <t>ColleaguesCount</t>
  </si>
  <si>
    <t>Non-volatile version of Excel's native OFFSET method</t>
  </si>
  <si>
    <t>Non-volatile version of Excel's native TODAY method; automatically rolls after midnight unless configured to remain static</t>
  </si>
  <si>
    <t>Non-volatile version of Excel's native NOW method; optionally configurable to update at specified intervals</t>
  </si>
  <si>
    <t>[include_domain]</t>
  </si>
  <si>
    <t>If set to TRUE then the user's domain is included with the returned username</t>
  </si>
  <si>
    <t>3 ${food}</t>
  </si>
  <si>
    <t>=COUNTA(Colleagues)</t>
  </si>
  <si>
    <t>Formula Named Range Value</t>
  </si>
  <si>
    <t>Body of the email message. Is HTML by default, so formatting and any charts in selected range will be included.
If multiple ranges are selected in this parameter, content from them is stacked vertically in the email.
Email message must have a subject, a body or both</t>
  </si>
  <si>
    <t>The password to use while encrypting/decrypting. Should not be saved in the sheet with encrypted data. If set to special value "machineuser()" uses a secret password specific to the current user on the current machine.
If not set, method will be in "metadata helper" mode.</t>
  </si>
  <si>
    <t>Top Secret Code</t>
  </si>
  <si>
    <t>::enc!OjplbmMhMXyT9d+i8T69meUFwK3GhV5EGpQLxJU0AYRac8tPJmiR7JH5PMBtSx/QI1BcnEMz67k=</t>
  </si>
  <si>
    <t>Range Ref</t>
  </si>
  <si>
    <t>If set to manual, automatic or automatic not tables then the Excel instance will be set to the specified calc mode when the workbook is opened even if not control-enabled; default is null</t>
  </si>
  <si>
    <t>If set to a positive integer, several methods will be blocked for the specified number of seconds after the workbook first calcs after opening even if not control-enabled; default is zero</t>
  </si>
  <si>
    <t>If set to TRUE and post_open_values are set, then the post_open_values will be copied to the target range after a delay (3 seconds unless otherwise specified) after the workbook first calcs after being saved in addition to after the workbook being opened</t>
  </si>
  <si>
    <t>If set to false or true then comments are hidden or displayed, respectively, in all sheets; if set to a string, only comments containing specified value (wildcards ok) is shown; default is not set</t>
  </si>
  <si>
    <t>Converts the file access mode of the current workbook to read-only for all users except designated editors.
Optionally returns the read-only state of the workbook</t>
  </si>
  <si>
    <t>*0*</t>
  </si>
  <si>
    <t>aapl,gm</t>
  </si>
  <si>
    <t>**</t>
  </si>
  <si>
    <t>*8*</t>
  </si>
  <si>
    <t>and(**)</t>
  </si>
  <si>
    <t>,*2*,*5*,*b*</t>
  </si>
  <si>
    <t>and(p&amp;l,8),symbol</t>
  </si>
  <si>
    <t>side</t>
  </si>
  <si>
    <t>b,s</t>
  </si>
  <si>
    <t>Indicates the columns from the data range to be returned in the result. Columns are returned in the order specified in this parameter. If TRUE then all columns returned; if FALSE then a vector with the indexes of matches is returned; If not set then all non-lookup columns are returned in their original order</t>
  </si>
  <si>
    <t>If set to a new workbook name then wb will be saved with that name; if set to a directory then wb will be saved with current name in that directory; supported extensions includes .html</t>
  </si>
  <si>
    <t>[regex].*O.{4}E.*</t>
  </si>
  <si>
    <t>[polling_seconds]</t>
  </si>
  <si>
    <t>If set to a positive integer, a backup check will be performed on the interval of the specified number of seconds</t>
  </si>
  <si>
    <t>install</t>
  </si>
  <si>
    <t>Add-In Name</t>
  </si>
  <si>
    <t>MySQL for Excel</t>
  </si>
  <si>
    <t>Install</t>
  </si>
  <si>
    <t>RTD</t>
  </si>
  <si>
    <t>#init()</t>
  </si>
  <si>
    <t>Returns the name of the currently running script, or blank if no script is running</t>
  </si>
  <si>
    <t>The number of columns on left of data containing row labels.
Set to TRUE to copy down in all columns</t>
  </si>
  <si>
    <t>The number of rows on top of data containing column labels.
Set to TRUE to copy across in all rows</t>
  </si>
  <si>
    <t>Department</t>
  </si>
  <si>
    <t>Code</t>
  </si>
  <si>
    <t>001</t>
  </si>
  <si>
    <t>Finance</t>
  </si>
  <si>
    <t>Warren</t>
  </si>
  <si>
    <t>Dithers</t>
  </si>
  <si>
    <t>Andrews</t>
  </si>
  <si>
    <t>Bart</t>
  </si>
  <si>
    <t>Jobs</t>
  </si>
  <si>
    <t>Grant</t>
  </si>
  <si>
    <t>Adams</t>
  </si>
  <si>
    <t>When present in a workbook pastes specified values into a designated range when the workbook is opened or closed to ensure it opens with those values in place</t>
  </si>
  <si>
    <t>When present in a workbook that is in read-only mode, user is not prompted to save when closing the workbook also supports other special handling when closing workbooks</t>
  </si>
  <si>
    <t>If present, special handling will be applied when the workbook is closed.
If no parameters are set, default behavior is to close the workbook without saving or prompting the user to save if the workbook is read-only</t>
  </si>
  <si>
    <t>[save]</t>
  </si>
  <si>
    <t>[no_dialog]</t>
  </si>
  <si>
    <t>[close_instance]</t>
  </si>
  <si>
    <t>If set to TRUE then the workbook will be saved before it is closed</t>
  </si>
  <si>
    <t>If set to TRUE then any dialog prompting the user to save the workbook before it is closed is suppressed. Set to FALSE to explicitly show that dialog when the workbook has changed even if the workbook is in read-only mode</t>
  </si>
  <si>
    <t>If set to TRUE then all other workbooks in the current Excel instance are also closed, optionally with a different save setting. Also can take a list of workbooks to be closed, which can be open in the current or another Excel instance (if open in a different Excel instance, that instance must be control-enabled for the close to be applied)</t>
  </si>
  <si>
    <t>Save Workbook</t>
  </si>
  <si>
    <t>No Dialog</t>
  </si>
  <si>
    <t>Others to Close</t>
  </si>
  <si>
    <t>some_other_workbook.xlsx</t>
  </si>
  <si>
    <t>yet_another.xlsm</t>
  </si>
  <si>
    <t>The users for whom the method will not convert the workbook to read-only. Set to FALSE for method to return the read-only status of the workbook (TRUE if in read-only mode, FALSE if not). If set to FALSE and 2nd param also set to FALSE, workbook will be reverted from read-only mode to read-write mode</t>
  </si>
  <si>
    <t>Fruit</t>
  </si>
  <si>
    <t>AAA</t>
  </si>
  <si>
    <t>aaa</t>
  </si>
  <si>
    <t>BBB</t>
  </si>
  <si>
    <t>bbb</t>
  </si>
  <si>
    <t>fruit</t>
  </si>
  <si>
    <t>BBB,aaa,bbb,AAA</t>
  </si>
  <si>
    <t>match_case(fruit)</t>
  </si>
  <si>
    <t>Med</t>
  </si>
  <si>
    <t>Player</t>
  </si>
  <si>
    <t>Tina</t>
  </si>
  <si>
    <t>Last Score</t>
  </si>
  <si>
    <t>apple</t>
  </si>
  <si>
    <t>fruit basket</t>
  </si>
  <si>
    <t>steak</t>
  </si>
  <si>
    <t>bologna</t>
  </si>
  <si>
    <t>Perrier</t>
  </si>
  <si>
    <t>tap water</t>
  </si>
  <si>
    <t>Reward</t>
  </si>
  <si>
    <t>93-</t>
  </si>
  <si>
    <t>night out</t>
  </si>
  <si>
    <t>shopping trip</t>
  </si>
  <si>
    <t>purifier</t>
  </si>
  <si>
    <t>75-87</t>
  </si>
  <si>
    <t>88-92</t>
  </si>
  <si>
    <t>Shawna</t>
  </si>
  <si>
    <t>Walter</t>
  </si>
  <si>
    <t>Jennifer</t>
  </si>
  <si>
    <t>Match Settings</t>
  </si>
  <si>
    <t>new_col</t>
  </si>
  <si>
    <t>map</t>
  </si>
  <si>
    <t>new(Label={new_col},Base={from},Map={map},Default=coal)</t>
  </si>
  <si>
    <t>Return Column</t>
  </si>
  <si>
    <t>Replaces the specified cells in a range with specified replacement values</t>
  </si>
  <si>
    <t>REPLACE</t>
  </si>
  <si>
    <t>Replaces specified cells in a range with specified replacement values</t>
  </si>
  <si>
    <t>Report</t>
  </si>
  <si>
    <t>from OR match_map</t>
  </si>
  <si>
    <t>to OR range_map</t>
  </si>
  <si>
    <t>[ignore_types OR apply_all]</t>
  </si>
  <si>
    <t>[first_row OR list1]</t>
  </si>
  <si>
    <t>[first_col OR list2]</t>
  </si>
  <si>
    <t>[last_row OR row_filter]</t>
  </si>
  <si>
    <t>[last_col OR col_filter]</t>
  </si>
  <si>
    <t>report_group OR
topic</t>
  </si>
  <si>
    <t>[controls OR paste_range]</t>
  </si>
  <si>
    <t>data_or_topic</t>
  </si>
  <si>
    <t>[values OR start_val]</t>
  </si>
  <si>
    <t>[default OR increment]</t>
  </si>
  <si>
    <t>add-in OR show_all</t>
  </si>
  <si>
    <t>The range of data in which the values of specified cells will be replaced</t>
  </si>
  <si>
    <t>If short form, set to TRUE to ignore value type when matching, default is FALSE.
If full form set to TRUE to have all replacements applied, default is to apply only 1st match</t>
  </si>
  <si>
    <t>If short form, the first row at which to apply replacements, default is 1.
If full form, one or more lists of values to be replaced</t>
  </si>
  <si>
    <t>If short form, the first column at which to apply replacements, default is 1.
If full form, one or more lists of values to be replaced</t>
  </si>
  <si>
    <t>Weight</t>
  </si>
  <si>
    <t>bob jones</t>
  </si>
  <si>
    <t>Sally Smith</t>
  </si>
  <si>
    <t>tom HOPPER</t>
  </si>
  <si>
    <t>Billy Bragg</t>
  </si>
  <si>
    <t>Anna Lukin</t>
  </si>
  <si>
    <t>teacher</t>
  </si>
  <si>
    <t>engineer</t>
  </si>
  <si>
    <t>chemist</t>
  </si>
  <si>
    <t>architect</t>
  </si>
  <si>
    <t>physicist</t>
  </si>
  <si>
    <t>Physicist</t>
  </si>
  <si>
    <t>scientist</t>
  </si>
  <si>
    <t>match_case(Physicist)</t>
  </si>
  <si>
    <t>replaced</t>
  </si>
  <si>
    <t>aaron</t>
  </si>
  <si>
    <t>binny</t>
  </si>
  <si>
    <t>First Row</t>
  </si>
  <si>
    <t>37</t>
  </si>
  <si>
    <t>#N/A</t>
  </si>
  <si>
    <t>sally*</t>
  </si>
  <si>
    <t>anna*</t>
  </si>
  <si>
    <t>Ms.</t>
  </si>
  <si>
    <t>sub(Ms.)</t>
  </si>
  <si>
    <t>?bra?</t>
  </si>
  <si>
    <t>sally</t>
  </si>
  <si>
    <t>Short Form (A Single "To" Value)</t>
  </si>
  <si>
    <t>proper()</t>
  </si>
  <si>
    <t>scale(2),add(.1)</t>
  </si>
  <si>
    <t>22,30,teacher</t>
  </si>
  <si>
    <t xml:space="preserve"> *</t>
  </si>
  <si>
    <t>insert(surname:{0})</t>
  </si>
  <si>
    <t>[regex](.*)\s{1}(.*)</t>
  </si>
  <si>
    <t>Col</t>
  </si>
  <si>
    <t>insert({1}, {0}),proper()</t>
  </si>
  <si>
    <t>To Function</t>
  </si>
  <si>
    <t>trim()</t>
  </si>
  <si>
    <t>lower()</t>
  </si>
  <si>
    <t>upper()</t>
  </si>
  <si>
    <t>title()</t>
  </si>
  <si>
    <t>string()</t>
  </si>
  <si>
    <t>parse()</t>
  </si>
  <si>
    <t>reverse()</t>
  </si>
  <si>
    <t>trunc()</t>
  </si>
  <si>
    <t>toggle()</t>
  </si>
  <si>
    <t>insert(&lt;format&gt;)</t>
  </si>
  <si>
    <t>scale(&lt;factor&gt;)</t>
  </si>
  <si>
    <t>add(&lt;value&gt;)</t>
  </si>
  <si>
    <t>subtract(&lt;value&gt;)</t>
  </si>
  <si>
    <t>divide(&lt;divisor&gt;)</t>
  </si>
  <si>
    <t>power(&lt;exponent&gt;)</t>
  </si>
  <si>
    <t>mod(&lt;divisor&gt;)</t>
  </si>
  <si>
    <t>Removes whitespace from before and after cell's value</t>
  </si>
  <si>
    <t>Makes cell value lower-case</t>
  </si>
  <si>
    <t>Makes cell value upper-case</t>
  </si>
  <si>
    <t>Makes cell value proper-case: first letter of word upper, all else lower</t>
  </si>
  <si>
    <t>Capitalizes the first letter of each word in cell value; other letters not changed</t>
  </si>
  <si>
    <t>Converts non-string values to string equivalents</t>
  </si>
  <si>
    <t>Inserts matching portion of cell value into specified string format</t>
  </si>
  <si>
    <t>Reverses the cell's value</t>
  </si>
  <si>
    <t>Parses string values into numbers, booleans, datetimes and errors where possible</t>
  </si>
  <si>
    <t>Turns TRUE cells to FALSE and vice-versa</t>
  </si>
  <si>
    <t>Returns the integer portion of numbers</t>
  </si>
  <si>
    <t>Adds the specified value to numeric values</t>
  </si>
  <si>
    <t>Subtracts the specified value from numeric values</t>
  </si>
  <si>
    <t>Divides numeric values by the specified divisor</t>
  </si>
  <si>
    <t>Raises numeric values to the specified power</t>
  </si>
  <si>
    <t>Full Form (One or More "To" Values)</t>
  </si>
  <si>
    <t>error(*)</t>
  </si>
  <si>
    <t>divide(2)</t>
  </si>
  <si>
    <t>insert(err: {0})</t>
  </si>
  <si>
    <t>b*</t>
  </si>
  <si>
    <t>Was a 'B' name</t>
  </si>
  <si>
    <t>Ignore Types</t>
  </si>
  <si>
    <t>sub(Shelly)</t>
  </si>
  <si>
    <t>Under 40</t>
  </si>
  <si>
    <t>m</t>
  </si>
  <si>
    <t>A-M name</t>
  </si>
  <si>
    <t>smith</t>
  </si>
  <si>
    <t>sub(Brooks)</t>
  </si>
  <si>
    <t>newVal</t>
  </si>
  <si>
    <t>was 22</t>
  </si>
  <si>
    <t>new Again</t>
  </si>
  <si>
    <t>* *</t>
  </si>
  <si>
    <t>had space</t>
  </si>
  <si>
    <t>Ages to Exclude</t>
  </si>
  <si>
    <t>Global Row Filter</t>
  </si>
  <si>
    <t>error(*),*er,*.3</t>
  </si>
  <si>
    <t>[return_labels]</t>
  </si>
  <si>
    <t>Returns a report showing names and paths of Excel add-ins; allows add-ins to be automatically added or removed when a workbook is opened</t>
  </si>
  <si>
    <t>sub(&lt;replacement&gt;, &lt;num&gt;)</t>
  </si>
  <si>
    <t>NewVal</t>
  </si>
  <si>
    <t>PriorVal</t>
  </si>
  <si>
    <t>Location</t>
  </si>
  <si>
    <t>.txt</t>
  </si>
  <si>
    <t>Tab-delimited text file</t>
  </si>
  <si>
    <t>.pdf</t>
  </si>
  <si>
    <t>Portable Document Format (PDF) file</t>
  </si>
  <si>
    <t>.xlsx</t>
  </si>
  <si>
    <t>.xlsm</t>
  </si>
  <si>
    <t>OpenXML workbook document (Excel spreadsheet)</t>
  </si>
  <si>
    <t>Macro-enabled OpenXML workbook document (Macro-enabled Excel spreadsheet)</t>
  </si>
  <si>
    <t>.html (or .htm)</t>
  </si>
  <si>
    <t>HTML with custom processing applied (set 6th param to TRUE for Excel's raw HTML)</t>
  </si>
  <si>
    <t>.json</t>
  </si>
  <si>
    <t>JSON text file (if table of data can be converted to json)</t>
  </si>
  <si>
    <t>JPEG image file</t>
  </si>
  <si>
    <t>.png</t>
  </si>
  <si>
    <t>PNG image file</t>
  </si>
  <si>
    <t>.gif</t>
  </si>
  <si>
    <t>GIF image file</t>
  </si>
  <si>
    <t>.bmp</t>
  </si>
  <si>
    <t>Bitmap image file</t>
  </si>
  <si>
    <t>File Type Created</t>
  </si>
  <si>
    <t>.jpeg (or .jpg)</t>
  </si>
  <si>
    <t>File Extension Handling</t>
  </si>
  <si>
    <t>C:\Users\jsmith\my_data_log.xlsx</t>
  </si>
  <si>
    <t>Tab names</t>
  </si>
  <si>
    <t>TAB 1: Running Qty Sold</t>
  </si>
  <si>
    <t>TAB 2: Running Qty Returns</t>
  </si>
  <si>
    <t>Returns Today</t>
  </si>
  <si>
    <t>Sold Today</t>
  </si>
  <si>
    <t>Update Time</t>
  </si>
  <si>
    <t>Sales,Returns</t>
  </si>
  <si>
    <t>The handling of double quotes applied in the written file. Supported values are "As Needed" (default), "Strings", "All" and "None".
If writing an Excel file, use this parameter to pass any custom tab names</t>
  </si>
  <si>
    <t>.csv</t>
  </si>
  <si>
    <t>A comma-delimited text file; this is default if file extension is omitted or not recognized</t>
  </si>
  <si>
    <t>File Extension</t>
  </si>
  <si>
    <t>Set to TRUE to only write file if it does not already exist.
Set to Append([num_label_rows],[force]) to append to file if it already exists.
Set to Delete to delete the file if it exists (data parameter is ignored when deleting)</t>
  </si>
  <si>
    <t>iso_8601(osaka,true)</t>
  </si>
  <si>
    <t>abs()</t>
  </si>
  <si>
    <t>Returns the absolute value of numbers</t>
  </si>
  <si>
    <t>Replaces matching portion of cell value with specified replacement (substitute(…) also works)</t>
  </si>
  <si>
    <t>Scales numeric values by specified factor (multiply(...) also works)</t>
  </si>
  <si>
    <t>Returns the remainder after dividing by the specified divisor (modulo(…) also works)</t>
  </si>
  <si>
    <t>round(&lt;precision&gt;,&lt;to_even&gt;)</t>
  </si>
  <si>
    <t>Rounds numeric values to specified precision, optionally rounding 0.5 to even instead of up</t>
  </si>
  <si>
    <t>mround(&lt;factor&gt;)</t>
  </si>
  <si>
    <t>floor(&lt;significance&gt;,&lt;to_zero&gt;)</t>
  </si>
  <si>
    <t>Rounds numeric values down to nearest multiple of significance; optionally always toward zero</t>
  </si>
  <si>
    <t>ceiling(&lt;significance&gt;,&lt;away_from_zero&gt;)</t>
  </si>
  <si>
    <t>Rounds numeric values to nearest multiple of specified factor</t>
  </si>
  <si>
    <t>Rounds numeric values to nearest multiple of significance; optionally always away from zero</t>
  </si>
  <si>
    <t>date_format(&lt;.NET format&gt;)</t>
  </si>
  <si>
    <t>Converts DateTime values to string representations using specified .NET format string</t>
  </si>
  <si>
    <t>Disables specified input/output functions globally to facilitate safe evaluation and modification of spreadsheets</t>
  </si>
  <si>
    <t>[functions]</t>
  </si>
  <si>
    <t>Disables specified input/output functions globally within Excel instance to facilitate evaluation and modification of spreadsheets</t>
  </si>
  <si>
    <t>Disabling Functions</t>
  </si>
  <si>
    <t>List of functions to disable. By default all functions that can be disabled will be if the list contains an asterisk (*), "ALL" or does not contain any recognized functions.</t>
  </si>
  <si>
    <t>The password to use when opening the specified workbook
If no password or a blank password is provided, then a secure dialog for entry will be displayed
If set to "delete" then any previously saved password for the specified workbook will be deleted</t>
  </si>
  <si>
    <t>If set to any non-blank value the Excel status bar will be updated with the specified string; set to clear() to clear the status bar</t>
  </si>
  <si>
    <t>Simulate Click</t>
  </si>
  <si>
    <t>click(down)</t>
  </si>
  <si>
    <t>If set to TRUE then links are not refreshed when workbook is launched
By default links are refreshed
Set to "safe" to launch Excel in Safe Mode</t>
  </si>
  <si>
    <t>[fail_values]</t>
  </si>
  <si>
    <t>If set then specified value will be returned for failed lookups.
By default an #N/A error is returned for failed lookups</t>
  </si>
  <si>
    <t>Revert</t>
  </si>
  <si>
    <t>Immediately reverts cell values back to specified defaults after a single calculation cycle when they are changed</t>
  </si>
  <si>
    <t>[revert_to]</t>
  </si>
  <si>
    <t>To Be Reverted</t>
  </si>
  <si>
    <t>Show MessageBox</t>
  </si>
  <si>
    <t>IF equation</t>
  </si>
  <si>
    <t>Reverts cell values in the specified range to specified default value(s) after a single calc cycle</t>
  </si>
  <si>
    <t>The ranges to be reverted</t>
  </si>
  <si>
    <t>The value(s) to which the range cells should revert when changed.
By default the cells in the range are cleared</t>
  </si>
  <si>
    <t>Revert To</t>
  </si>
  <si>
    <t>Registers Excel menu entries that will appear when the workbook is opened</t>
  </si>
  <si>
    <t>Displays a filterable list of native Excel images available for use in menu entries</t>
  </si>
  <si>
    <t>MENU</t>
  </si>
  <si>
    <t>Registers Excel menu entries that will appear when the workbook is opened and be removed when it is closed</t>
  </si>
  <si>
    <t>entries</t>
  </si>
  <si>
    <t>[priority]</t>
  </si>
  <si>
    <t>When multiple workbooks are open that add menu entries, those with a priority set value set will be displayed before those without a priority setting; entries with a higher priority (lower priority number) are displayed first. When entries have the same priority, ordering is based on registration time</t>
  </si>
  <si>
    <t>If set, only entries whose names contain the specified filter string will be displayed</t>
  </si>
  <si>
    <t>Tab</t>
  </si>
  <si>
    <t>Group</t>
  </si>
  <si>
    <t>Section</t>
  </si>
  <si>
    <t>Type</t>
  </si>
  <si>
    <t>Menu</t>
  </si>
  <si>
    <t>Size</t>
  </si>
  <si>
    <t>Label</t>
  </si>
  <si>
    <t>Image</t>
  </si>
  <si>
    <t>Action</t>
  </si>
  <si>
    <t>Title</t>
  </si>
  <si>
    <t>Screentip</t>
  </si>
  <si>
    <t>Supertip</t>
  </si>
  <si>
    <t>Disabled</t>
  </si>
  <si>
    <t>EntryID</t>
  </si>
  <si>
    <t>group</t>
  </si>
  <si>
    <t>button</t>
  </si>
  <si>
    <t>Say Hello</t>
  </si>
  <si>
    <t>Trigger</t>
  </si>
  <si>
    <t>The substrings that will be placed into the format string. If optional [named] variable is TRUE then this should be a 2-column wide array with left column containing variable names and right column containing values to insert. To insert a range ref string instead of the range values, escape it with a backslash ('\')</t>
  </si>
  <si>
    <t>large</t>
  </si>
  <si>
    <t>What will I say?</t>
  </si>
  <si>
    <t>ReplyWithInstantMessage,HappyFace</t>
  </si>
  <si>
    <t>Show Formulas</t>
  </si>
  <si>
    <t>Hide Formulas</t>
  </si>
  <si>
    <t>control_excel(formulas=false)</t>
  </si>
  <si>
    <t>control_excel(formulas=true)</t>
  </si>
  <si>
    <t>btns</t>
  </si>
  <si>
    <t>Images</t>
  </si>
  <si>
    <t>Keytip</t>
  </si>
  <si>
    <t>grp1</t>
  </si>
  <si>
    <t>Click to display formulas in cells</t>
  </si>
  <si>
    <t>Click to revert to displaying values in cells</t>
  </si>
  <si>
    <t>menu</t>
  </si>
  <si>
    <t>I Am a Group of Controls</t>
  </si>
  <si>
    <t>Val2</t>
  </si>
  <si>
    <t>Val1</t>
  </si>
  <si>
    <t>increment(Val1)</t>
  </si>
  <si>
    <t>separator</t>
  </si>
  <si>
    <t>Set Time</t>
  </si>
  <si>
    <t>decrement(Val1)</t>
  </si>
  <si>
    <t>Add 1 to Val1</t>
  </si>
  <si>
    <t>Subtract 1 from Val1</t>
  </si>
  <si>
    <t>Val1 Setters</t>
  </si>
  <si>
    <t>I'm a Menu!</t>
  </si>
  <si>
    <t>Screenshots</t>
  </si>
  <si>
    <t>hide(val2menu)</t>
  </si>
  <si>
    <t>val2menu</t>
  </si>
  <si>
    <t>increment(Val2)</t>
  </si>
  <si>
    <t>decrement(Val2)</t>
  </si>
  <si>
    <t>Add 1 to Val2</t>
  </si>
  <si>
    <t>Subtract 1 from Val2</t>
  </si>
  <si>
    <t>Status of label</t>
  </si>
  <si>
    <t>hidden</t>
  </si>
  <si>
    <t>Clear</t>
  </si>
  <si>
    <t>grp2</t>
  </si>
  <si>
    <t>From 2nd Call</t>
  </si>
  <si>
    <t>ExcelSpreadsheetInsert</t>
  </si>
  <si>
    <t>Say Hello Action</t>
  </si>
  <si>
    <t>ClickVals</t>
  </si>
  <si>
    <t>Calculated Time</t>
  </si>
  <si>
    <t>Set Worksheet</t>
  </si>
  <si>
    <t>Clear Time</t>
  </si>
  <si>
    <t>Clear Worksheet</t>
  </si>
  <si>
    <t>Time Updater</t>
  </si>
  <si>
    <t>Hello!</t>
  </si>
  <si>
    <t>Sets a cell to current time</t>
  </si>
  <si>
    <t>Sets a cell to active worksheet</t>
  </si>
  <si>
    <t>Worksheet</t>
  </si>
  <si>
    <t>Clears set time</t>
  </si>
  <si>
    <t>Clears set worksheet</t>
  </si>
  <si>
    <t>FileSave</t>
  </si>
  <si>
    <t>Set to Active Workbook</t>
  </si>
  <si>
    <t>Set Active WS/WB</t>
  </si>
  <si>
    <t>Val2 Setters Nested Menu</t>
  </si>
  <si>
    <t>amenu</t>
  </si>
  <si>
    <t>Setting</t>
  </si>
  <si>
    <t>Menu Entry Settings</t>
  </si>
  <si>
    <t>Required; The label of the custom menu tab on which the control will appear</t>
  </si>
  <si>
    <t>Optional; A name for the tab group in which the control will appear; to have all controls in a single group, either do not assign a group name or assign all controls the same group name</t>
  </si>
  <si>
    <t>Optional; A name for the group section in which the control will appear; to have all controls in a single section, either do not assign a section name or assign all controls the same section name</t>
  </si>
  <si>
    <t>Required; The type of menu entry being defined. Supported values are tab, group, menu, button and separator</t>
  </si>
  <si>
    <t>Optional; The menu in which a control will appear; if not specified, the control will not be nested in a menu</t>
  </si>
  <si>
    <t>Optional; The size of the control. Set to "large" for large controls, otherwise default is normal size</t>
  </si>
  <si>
    <t>Optional (required for Type = menu); The label to displayed for a group, menu or button. Required for menus so that other controls can reference it -- to hide the menu label, wrap it in hide(&lt;label&gt;)</t>
  </si>
  <si>
    <t>Optional; The name of the Excel icon to use as the menu/button image, or the range ref from which to capture the image; can be a comma-delimited list, and first item that returns an image will be used</t>
  </si>
  <si>
    <t>Required for button; The action to take when a button is pressed (see table describing possible actions below)</t>
  </si>
  <si>
    <t>Optional; Text to display as a separator in a menu; when a menu separator is specified without a title, a horizontal line is displayed as the separator</t>
  </si>
  <si>
    <t>Optional; Detail text to show beneath a menu/button label</t>
  </si>
  <si>
    <t>Optional; Text to display when the mouse is hovered over a menu or button</t>
  </si>
  <si>
    <t>Optional; Detail text to show when the mouse is hovered over a menu or button</t>
  </si>
  <si>
    <t>Optional; If set the TRUE the menu/button is grayed out and disabled</t>
  </si>
  <si>
    <t>Optional; An ID that uniquely identifies an entry; when specified, only a single control with a given EntryID will be displayed, with priority given to one that is not disabled</t>
  </si>
  <si>
    <t>Button</t>
  </si>
  <si>
    <t>Separator</t>
  </si>
  <si>
    <t>A button that will perform some specified action when clicked</t>
  </si>
  <si>
    <t>The menu in which controls will appear; menus will be automatically created if referenced by a another control, but explicit entry with Type = "menu" needed if desire to specify image, screentip, etc; menu can be nested</t>
  </si>
  <si>
    <t>The range ref or clickval in the 1st param is set to the value in the 2nd param; 2nd param can be a range ref or hard-coded value; use string(val) to prevent parsing (add "uk" as 3rd param to parse date in UK format)</t>
  </si>
  <si>
    <t>run_script(&lt;script&gt;)</t>
  </si>
  <si>
    <t>kill_script()</t>
  </si>
  <si>
    <t>Kills any currently running script</t>
  </si>
  <si>
    <t>run_macro(&lt;macro&gt;, […])</t>
  </si>
  <si>
    <t>Runs the specified VBA macro; up to 4 macro params can be specified</t>
  </si>
  <si>
    <t>click(&lt;clickval&gt;, [direction])</t>
  </si>
  <si>
    <t>Simulates a click of the specified clickval; default is "up" direction click, but "down" (or "-") can be specified in 2nd param for a down click or "default" or "reset" for a default/reset click</t>
  </si>
  <si>
    <t>Sets the specified range or clickval to TRUE if it is currently *not* TRUE or to FALSE if it currently is TRUE</t>
  </si>
  <si>
    <t>Increments the specified range or clickval by the specified amount, or by 1 if no amount specified; sets to amount if current value is not numeric</t>
  </si>
  <si>
    <t>Decrements the specified range or clickval by the specified amount, or by 1 if no amount specified; sets to negative of the amount if current value is not numeric</t>
  </si>
  <si>
    <t>clear(&lt;ref or clickval&gt;)</t>
  </si>
  <si>
    <t>Clears the specified range or clickval</t>
  </si>
  <si>
    <t>Button Actions</t>
  </si>
  <si>
    <t>The settings for the individual menu entries to be added to the Excel menu.
If no settings are provided, a report of all known custom menu entries is returned</t>
  </si>
  <si>
    <t>Menu Entry Types</t>
  </si>
  <si>
    <t>The group on which controls will appear; groups will be extracted from other controls, so explicitly entry with Type = "group" not needed unless desire to set a group label (text at bottom of group)</t>
  </si>
  <si>
    <t>toggle(&lt;ref or clickval&gt;)</t>
  </si>
  <si>
    <t>A horizontal divider between entries in a menu (horizontal lines dividing sections in a group will be added automatically if a group has multiple sections, though Excel may not consistently display it)</t>
  </si>
  <si>
    <t>Optional; The custom 1 to 3 character code to act as an Excel shortcut for the menu item (Excel may replace with default keytip if specified action conflicts with existing keytip; Excel may not show changes until it restarts)</t>
  </si>
  <si>
    <t>Multiple Lists</t>
  </si>
  <si>
    <t>Bert</t>
  </si>
  <si>
    <t>Anna</t>
  </si>
  <si>
    <t>car</t>
  </si>
  <si>
    <t>roller skates</t>
  </si>
  <si>
    <t>bike</t>
  </si>
  <si>
    <t>plane</t>
  </si>
  <si>
    <t>pogo stick</t>
  </si>
  <si>
    <t>wagon</t>
  </si>
  <si>
    <t>Invert Lists</t>
  </si>
  <si>
    <t>Changes the positions of cells within a range or inverts data and labels in a table</t>
  </si>
  <si>
    <t>ConfirmMessage</t>
  </si>
  <si>
    <t>Optional; If text is provided, a message box containing the text will be displayed asking user to confirm the action before it is performed</t>
  </si>
  <si>
    <t>Do you want cells to show formulas instead of values?</t>
  </si>
  <si>
    <t>SSML</t>
  </si>
  <si>
    <t>&lt;speak version="1.0" xml:lang="en-US" xmlns="http://www.w3.org/2001/10/synthesis"&gt;
  Pope John the &lt;say-as type="number:ordinal"&gt; VI &lt;/say-as&gt; had a package
  delivered to &lt;say-as type="number:digits"&gt; 123 &lt;/say-as&gt; Brookwood.
&lt;/speak&gt;</t>
  </si>
  <si>
    <t>[ssh_private_key]</t>
  </si>
  <si>
    <t>The SSH private key to be used for SFTP, or the path to the file containing the SSH private key.</t>
  </si>
  <si>
    <t>Reads the contents of the specified file into the calling range or a specified cache; this and other file methods support working with Web files (HTTP, HTTPS, FTP, FTPS, SFTP)</t>
  </si>
  <si>
    <t>The password to be saved for the current Windows user.
If empty, then a secure dialog for entry will be displayed.
If set to "delete" then any current credentials are deleted</t>
  </si>
  <si>
    <t>[preserve_formulas]</t>
  </si>
  <si>
    <t>Set to TRUE to prevent pasting over a range that contains formulas. To fail the paste of every range in a multi-range paste when *any* formula in any range is detected, set to "strong" (this will also fail an entire range in cell-by-cell pastes if a formula is found)</t>
  </si>
  <si>
    <t>[granularity]</t>
  </si>
  <si>
    <t>Granularity</t>
  </si>
  <si>
    <t>Region</t>
  </si>
  <si>
    <t>Cell</t>
  </si>
  <si>
    <t>Only whole worksheets are calculated</t>
  </si>
  <si>
    <t>Clusters of cells separated by empty columns and rows are calculated</t>
  </si>
  <si>
    <t>Default; groups of adjacent formulas with identical structures are calculated</t>
  </si>
  <si>
    <t>Same as Formula but with literally every cell checked to ensure correctness of groups</t>
  </si>
  <si>
    <t>Index!$Y$4:$AH$186</t>
  </si>
  <si>
    <t>Num Pages</t>
  </si>
  <si>
    <t>REGION!$G$62:$J$68</t>
  </si>
  <si>
    <t>REGION!$G$90:$J$96</t>
  </si>
  <si>
    <t>SECURITY!$E$103:$F$105</t>
  </si>
  <si>
    <t>SECURITY!$E$116:$F$118</t>
  </si>
  <si>
    <t>REGION!$B$20:$E$32</t>
  </si>
  <si>
    <t>TIME!$D$53:$D$54</t>
  </si>
  <si>
    <t>REGION!$G$53:$J$59</t>
  </si>
  <si>
    <t>APPEND!$G$106:$H$115</t>
  </si>
  <si>
    <t>TIME!$D$44:$D$51</t>
  </si>
  <si>
    <t>HWGFK | 2020-09-26 19:51:27.505</t>
  </si>
  <si>
    <t>HWGFK</t>
  </si>
  <si>
    <t>FJFGR</t>
  </si>
  <si>
    <t>SDFJE</t>
  </si>
  <si>
    <t>PAD!$H$67</t>
  </si>
  <si>
    <t>REPLACE!$H$255:$K$260</t>
  </si>
  <si>
    <t>PERFORMANCE!$S$34:$T$51</t>
  </si>
  <si>
    <t>DO!$B$26</t>
  </si>
  <si>
    <t>row 2</t>
  </si>
  <si>
    <t>Report of All Known ClickVals</t>
  </si>
  <si>
    <t>aaXbbXccxdd</t>
  </si>
  <si>
    <t>123x123X123</t>
  </si>
  <si>
    <t>123x123</t>
  </si>
  <si>
    <t>len(-2,1)</t>
  </si>
  <si>
    <t>len(1,1)</t>
  </si>
  <si>
    <t>1:ASmithDrF 2:DJonesMDM</t>
  </si>
  <si>
    <t>3:TAdamsMrM 4:SWilsonMsF</t>
  </si>
  <si>
    <t>len(-1,1)</t>
  </si>
  <si>
    <t>:</t>
  </si>
  <si>
    <t>[ranges]</t>
  </si>
  <si>
    <t>The interval in seconds on which the workbook will be recalculated. Min of 0.25 seconds and max of 3600 seconds (1 hour) is enforced. If negative then the workbook will not be fully recalculated when opened. By default the method does not cause periodic recalcs</t>
  </si>
  <si>
    <t>Presence of this method in any cell will cause workbook to be fully recalculated upon open provided the workbook is not in manual recalc mode and provided the 1st optional parameter is not negative. Will cause periodic recalc if period is provided</t>
  </si>
  <si>
    <t>If set to TRUE then a reference to the offset range is returned.
If set to "id" then a range_ref ID for the offset range is returned.
By default the values of the offset range are returned</t>
  </si>
  <si>
    <t>Macro</t>
  </si>
  <si>
    <t>The path of the file to which data will be written.
If only a filename is provided, the directory of the current workbook is used.
Precede with "[require_dir]" to only write file if directory already exists</t>
  </si>
  <si>
    <t>The topmost directory to look in when searching for file.
By default the directory in which the current workbook is located is searched.
Precede with "[require_dir]" to only copy file if directory already exists</t>
  </si>
  <si>
    <t>[subscribe_only]</t>
  </si>
  <si>
    <t>throttle</t>
  </si>
  <si>
    <t>The RTD throttle in millis to apply.
Min of 25 and max of 60000 is enforced</t>
  </si>
  <si>
    <t>Gets and/or sets the local instance or machine-wide RTD throttle used by Excel</t>
  </si>
  <si>
    <t>Specifies a publish throttle to be applied globally within the current instance of Excel</t>
  </si>
  <si>
    <t>The throttle in milliseconds to be applied. A min of 25 and max of 600000 is enforced.
If not specified, the method returns the current throttle setting or zero if none exists</t>
  </si>
  <si>
    <t>Dear John</t>
  </si>
  <si>
    <t>I hope you are well</t>
  </si>
  <si>
    <t>Returns the prior values of the referenced range/report/cache before they last changed</t>
  </si>
  <si>
    <t>Depth to Return</t>
  </si>
  <si>
    <t>History Size</t>
  </si>
  <si>
    <t>Prepend Time</t>
  </si>
  <si>
    <t>[history_size]</t>
  </si>
  <si>
    <t>[depth_to_return]</t>
  </si>
  <si>
    <t>Some RT Cell</t>
  </si>
  <si>
    <t>History Key</t>
  </si>
  <si>
    <t>example_hist</t>
  </si>
  <si>
    <t>The number of changes to retain. A max of 1,000,000 is enforced</t>
  </si>
  <si>
    <t>A name to be assigned to the history of changes so that it can be accessed from another range</t>
  </si>
  <si>
    <t>PRIOR_VALS</t>
  </si>
  <si>
    <t>The range, topic or cache key whose prior values should be returned recorded and returned</t>
  </si>
  <si>
    <t>[prepend_timestamp]</t>
  </si>
  <si>
    <t>[key]</t>
  </si>
  <si>
    <t>If set to TRUE then the time of the returned change is prepended as the top row of the result. A 2nd column can be provided and set to TRUE to have the depth level also prepended. A 3rd column, if set to TRUE, will prepend as columns instead of rows</t>
  </si>
  <si>
    <t>The depth into the retained history to return, or "as_of(&lt;datetime&gt;)" to return values as of specified time. An optional 2nd column value can indicate the page number to return for multi-page histories, or "metadata" to return the metadata from a history of reports</t>
  </si>
  <si>
    <t>[rebuild_calc_tree]</t>
  </si>
  <si>
    <t>If set to TRUE then the workbook will be fully recalculated with Excel's calculation dependency tree rebuilt upon opening. In cases where Excel freezes or crashes upon launching the workbook due to a corrupted calc tree, setting this to true will often suffice to prevent the freezing</t>
  </si>
  <si>
    <t>If set to TRUE then the a full recalc of the workbook with Excel's calc dependency tree rebuilt is performed when it is opened. This helps to prevent Excel from freezing/crashing at launch when it's calc dependency tree is corrupted</t>
  </si>
  <si>
    <t>The ranges to be forcibly recalculated at the specified interval. If set to TRUE then a full recalc is performed on the specified interval; if 2-columns wide and 2nd column is TRUE then Excel's calc dependency tree is cleared before the full recalc. By default a regular calculate is performed at the specified interval</t>
  </si>
  <si>
    <t>If present in any cell, causes a full recalc when workbook is opened and performs a regular or full recalc on specified interval if one is provided</t>
  </si>
  <si>
    <t>[block]</t>
  </si>
  <si>
    <t>[creds_resource]</t>
  </si>
  <si>
    <t>The name under which to register the range; prefix with [GLOBAL] to make visible to all workbooks in instance.
If two names are provided in a 2-column row, the first will be the name used to register the click range and the 2nd will be returned by the method and so displayed in the cell</t>
  </si>
  <si>
    <t>[prevent_sleep]</t>
  </si>
  <si>
    <t>If set to TRUE then Windows is prevented from entering sleep mode</t>
  </si>
  <si>
    <t>If present in any open workbook, Windows is prevented from entering sleep mode</t>
  </si>
  <si>
    <t>If present in any sheet in a running instance of Excel, deep logging is enabled; intended to only be used during troubleshooting</t>
  </si>
  <si>
    <t>If set to TRUE then the screen will also be prevented from darkening or displaying a screensaver. This can result in needless energy consumption so should only be done in cases where nobody is interacting with the computer but the screen must still display the Windows desktop</t>
  </si>
  <si>
    <t>Extensibility</t>
  </si>
  <si>
    <t>If present in any sheet in a running instance of Excel, Windows is prevented from entering sleep mode and optionally forced to keep the screen alive</t>
  </si>
  <si>
    <t>[screen_required]</t>
  </si>
  <si>
    <t>COMPILE</t>
  </si>
  <si>
    <t>Clamp</t>
  </si>
  <si>
    <t>double</t>
  </si>
  <si>
    <t>function_name</t>
  </si>
  <si>
    <t>code</t>
  </si>
  <si>
    <t>[parameters]</t>
  </si>
  <si>
    <t>[imports]</t>
  </si>
  <si>
    <t>[references]</t>
  </si>
  <si>
    <t>The name of the compiled function to call</t>
  </si>
  <si>
    <t>[arg]</t>
  </si>
  <si>
    <t>The next argument to pass to the function</t>
  </si>
  <si>
    <t>[arg] / [config]</t>
  </si>
  <si>
    <t>The first argument to pass to the function or config details on how to perform the invocation</t>
  </si>
  <si>
    <t>The next argument to pass to the function (or first argument if config provided)</t>
  </si>
  <si>
    <t>Lower Bound</t>
  </si>
  <si>
    <t>Upper Bound</t>
  </si>
  <si>
    <t>Changing Val to Clamp</t>
  </si>
  <si>
    <t xml:space="preserve">config </t>
  </si>
  <si>
    <t xml:space="preserve">log </t>
  </si>
  <si>
    <t xml:space="preserve">backup </t>
  </si>
  <si>
    <t xml:space="preserve">desktop </t>
  </si>
  <si>
    <t xml:space="preserve">mydocuments </t>
  </si>
  <si>
    <t xml:space="preserve">recent </t>
  </si>
  <si>
    <t xml:space="preserve">user </t>
  </si>
  <si>
    <t xml:space="preserve">fonts </t>
  </si>
  <si>
    <t xml:space="preserve">cookies </t>
  </si>
  <si>
    <t xml:space="preserve">startup </t>
  </si>
  <si>
    <t xml:space="preserve">startup_common </t>
  </si>
  <si>
    <t xml:space="preserve">startmenu </t>
  </si>
  <si>
    <t xml:space="preserve">startmenu_common </t>
  </si>
  <si>
    <t xml:space="preserve">appdata </t>
  </si>
  <si>
    <t xml:space="preserve">appdata_roaming </t>
  </si>
  <si>
    <t xml:space="preserve">appdata_local </t>
  </si>
  <si>
    <t xml:space="preserve">appdata_common </t>
  </si>
  <si>
    <t xml:space="preserve">temp </t>
  </si>
  <si>
    <t>Directory Key</t>
  </si>
  <si>
    <t>1
2
3</t>
  </si>
  <si>
    <t>[settings]</t>
  </si>
  <si>
    <t>The name of the compiled function to call asynchronously</t>
  </si>
  <si>
    <t>[compiler_switches]</t>
  </si>
  <si>
    <t>The names of system code libraries, or paths to non-system code libraries, to be referenced during compilation. The following system libraries are referenced by default so do not need to be specified: System.dll, System.Core.dll</t>
  </si>
  <si>
    <t>Compiler switches passed as command line parameters to compiler. The switches langversion:5 and optimize are included by default</t>
  </si>
  <si>
    <t>Flags and key/value pairs that impact various aspects of compilation and invocation</t>
  </si>
  <si>
    <t>Types</t>
  </si>
  <si>
    <t>Structures</t>
  </si>
  <si>
    <t>string</t>
  </si>
  <si>
    <t>decimal</t>
  </si>
  <si>
    <t>decimal?</t>
  </si>
  <si>
    <t>int</t>
  </si>
  <si>
    <t>int?</t>
  </si>
  <si>
    <t>long</t>
  </si>
  <si>
    <t>long?</t>
  </si>
  <si>
    <t>bool</t>
  </si>
  <si>
    <t>bool?</t>
  </si>
  <si>
    <t>object</t>
  </si>
  <si>
    <t>[]</t>
  </si>
  <si>
    <t>[,]</t>
  </si>
  <si>
    <t>Supported Types</t>
  </si>
  <si>
    <t>double (or number)</t>
  </si>
  <si>
    <t>double? (or number?)</t>
  </si>
  <si>
    <t>OPTION_VALUE</t>
  </si>
  <si>
    <t>CP</t>
  </si>
  <si>
    <t>OPTION_VALUE Parameters</t>
  </si>
  <si>
    <t>CND</t>
  </si>
  <si>
    <t>S,X,T,r,v</t>
  </si>
  <si>
    <t>T</t>
  </si>
  <si>
    <t>r</t>
  </si>
  <si>
    <t>v</t>
  </si>
  <si>
    <t>Excel Name</t>
  </si>
  <si>
    <t>Excel Description</t>
  </si>
  <si>
    <t>Settings</t>
  </si>
  <si>
    <t>BS</t>
  </si>
  <si>
    <t>Default</t>
  </si>
  <si>
    <t>Call</t>
  </si>
  <si>
    <t>xlName=Underlying_Price</t>
  </si>
  <si>
    <t>xlName=Strike_Price</t>
  </si>
  <si>
    <t>xlName=Time_to_Expiry</t>
  </si>
  <si>
    <t>xlName=Interest_Rate</t>
  </si>
  <si>
    <t>xlName=Volatility</t>
  </si>
  <si>
    <t>xlDescription=The current price of underlying asset</t>
  </si>
  <si>
    <t>xlDescription=The strike price of the option</t>
  </si>
  <si>
    <t>xlDescription=Time until expiration in years</t>
  </si>
  <si>
    <t>xlDescription=The annualized interest rate</t>
  </si>
  <si>
    <t>xlDescription=The annualized volatility</t>
  </si>
  <si>
    <t>xlDescription=The type of option</t>
  </si>
  <si>
    <t>xlName=Call_Put</t>
  </si>
  <si>
    <t>Strike</t>
  </si>
  <si>
    <t>Und Price</t>
  </si>
  <si>
    <t>Rate</t>
  </si>
  <si>
    <t>Vol</t>
  </si>
  <si>
    <t>Put</t>
  </si>
  <si>
    <t>Registered Function</t>
  </si>
  <si>
    <t>Black-Scholes Function</t>
  </si>
  <si>
    <t>Cumulative Normal Distribution Function</t>
  </si>
  <si>
    <t>BlackScholes Function Parameters</t>
  </si>
  <si>
    <t>Clamp Function</t>
  </si>
  <si>
    <t>Clamp Function Parameters</t>
  </si>
  <si>
    <t>DoStuff</t>
  </si>
  <si>
    <t>Option Value</t>
  </si>
  <si>
    <t>Imports</t>
  </si>
  <si>
    <t>System.Diagnostics</t>
  </si>
  <si>
    <t>[][][]</t>
  </si>
  <si>
    <t>[][]</t>
  </si>
  <si>
    <t>const double a1 = 0.31938153; 
const double a2 = -0.356563782; 
const double a3 = 1.781477937;
const double a4 = -1.821255978;
const double a5 = 1.330274429;
const double b = 0.2316419;
var l = Math.Abs(x);
var k = 1/(1 + b*l);
var cnd = 1 - 1/Math.Sqrt(2*Math.PI)
          *Math.Exp(-l*l/2)*(a1*k + a2*k*k
          + a3*Math.Pow(k, 3) + a4*Math.Pow(k, 4)
          + a5*Math.Pow(k, 5));
return x &lt; 0 ? 1 - cnd : cnd;</t>
  </si>
  <si>
    <t>int[][][]</t>
  </si>
  <si>
    <t>Val Page 1</t>
  </si>
  <si>
    <t>Val Page 2</t>
  </si>
  <si>
    <t>Invoke</t>
  </si>
  <si>
    <t>pages</t>
  </si>
  <si>
    <t>GetGlobalVal</t>
  </si>
  <si>
    <t>key</t>
  </si>
  <si>
    <t>DateTime?</t>
  </si>
  <si>
    <t>Invoke Config</t>
  </si>
  <si>
    <t>Permissive</t>
  </si>
  <si>
    <t>TimesTenSlow</t>
  </si>
  <si>
    <t>TimeoutInSeconds</t>
  </si>
  <si>
    <t>Block</t>
  </si>
  <si>
    <t>TimeoutInSeconds=&lt;seconds&gt;</t>
  </si>
  <si>
    <t>Cache[=&lt;key&gt;]</t>
  </si>
  <si>
    <t>Async / LongRunning Only</t>
  </si>
  <si>
    <t>NoRestart</t>
  </si>
  <si>
    <t>DoNotQueue</t>
  </si>
  <si>
    <t>ReportBlock</t>
  </si>
  <si>
    <t>ReportCancel</t>
  </si>
  <si>
    <t>AsyncId</t>
  </si>
  <si>
    <t>If set, arguments that cannot be converted to parameter type will not cause an error</t>
  </si>
  <si>
    <t>Cancel[=&lt;millis&gt;]</t>
  </si>
  <si>
    <t>If set, a new invocation will not be initiated after canceling current invocation</t>
  </si>
  <si>
    <t>If set any current invocation is canceled and new one run; optional millis specify delay before cancellation</t>
  </si>
  <si>
    <t>If set, a recalc of the method will not cause an invocation to be queued</t>
  </si>
  <si>
    <t>Any unique ID; if provided, cancellation can be done from another range if same Id provided when canceling</t>
  </si>
  <si>
    <t>Invoke Config Settings</t>
  </si>
  <si>
    <t>Max time function allowed to run (60 second max enforced when set); not supported if code calls Excel or uses UI</t>
  </si>
  <si>
    <t>GetMemoryUsage</t>
  </si>
  <si>
    <t>AsyncOnly,NoReturnValue,LongRunning,DoNotQueue,MaxConcurrent=1</t>
  </si>
  <si>
    <t>The namespaces to be imported when compiling the method. These are what appear after the "using" keyword at the top of the generated code file. The following are always added so do not need to be specified: System, System.Linq, System.Text, System.Threading, System.Threading.Tasks, System.Collections, System.Collections.Generic, System.Collections.Concurrent</t>
  </si>
  <si>
    <t>Function using Excel object model</t>
  </si>
  <si>
    <t>ExcelVersion</t>
  </si>
  <si>
    <t>Adds, removes or updates users from whom workbook and function distributions will be received</t>
  </si>
  <si>
    <t>Adds, removes or updates users from whom workbook and/or function distributions will be received</t>
  </si>
  <si>
    <t>The username of the distributor whose workbook and/or function updates will be trusted. If no entity in name then assumed to be the same as the current user. If a 2nd column is provided and set to TRUE then distribution will be trusted even if distributor was not authenticated (not recommended)</t>
  </si>
  <si>
    <t>The functions that will be received by the trusted distributor.
If not set then then all function updates from the distributor will be trusted</t>
  </si>
  <si>
    <t>The workbooks that will be received by the trusted distributor.
If set to TRUE then all workbooks including macro-enabled (.xlsm, .xlsb) will be trusted.
If not set then then all non-macro-enabled workbook updates from the distributor will be trusted</t>
  </si>
  <si>
    <t>[unrestricted]</t>
  </si>
  <si>
    <t>If set to TRUE then dlls distributed along with functions and .NET namespaces facilitating Web and system access can be used.
By default use of library files and .NET classes facilitating Web and system access are blocked</t>
  </si>
  <si>
    <t>[clickval_or_range]</t>
  </si>
  <si>
    <t>If set to a range, that range will be used to display script status messages instead of any log range that may have been defined in the script being run</t>
  </si>
  <si>
    <t>If set to a number then only values larger than or equal to this setting will be found.
By default filter is also applied to cells that are already numbers; include a 2nd column set to TRUE to always allow numeric cells to pass the filter</t>
  </si>
  <si>
    <t>If set to a number then only values lesser than or equal to this setting will be found.
By default filter is also applied to cells that are already numbers; include a 2nd column set to TRUE to always allow numeric cells to pass the filter</t>
  </si>
  <si>
    <t>If set to TRUE then any input that cannot be parsed will be returned as is instead of an Excel #VALUE! Error. If set to a value other than TRUE or FALSE, that value will be returned instead of an error or the input if the input cannot be parsed into a number</t>
  </si>
  <si>
    <t>hello5</t>
  </si>
  <si>
    <t>FIND</t>
  </si>
  <si>
    <t>Returns the location of substrings within text. A more functional version of Excel's native FIND / SEARCH functions</t>
  </si>
  <si>
    <t>Some random text input</t>
  </si>
  <si>
    <t>To Find</t>
  </si>
  <si>
    <t>dom</t>
  </si>
  <si>
    <t>text</t>
  </si>
  <si>
    <t>[start_num]</t>
  </si>
  <si>
    <t>One or more substrings to be sought within the text. The index of the leftmost substring found will be returned (or the index of the rightmost if searching right-to-left)</t>
  </si>
  <si>
    <t>The text that will be searched for the specified substrings</t>
  </si>
  <si>
    <t>The location in the text at which to begin searching for specified substrings. If negative, it indicates an offset from the end of the text. Default is 1 for left-to-right searches and the end of the text for right-to-left searches</t>
  </si>
  <si>
    <t>If set to TRUE then the search is case-sensitive.
Searches ignore case by default</t>
  </si>
  <si>
    <t>If set to TRUE then the search is performed from right-to-left and the index of the right-most match is returned. By default searches are from left-to-right and the index of the leftmost match is returned</t>
  </si>
  <si>
    <t>RAN</t>
  </si>
  <si>
    <t>Text input</t>
  </si>
  <si>
    <t>Or 2 or 1?</t>
  </si>
  <si>
    <t>Or was it perhaps 3?</t>
  </si>
  <si>
    <t>2. I think it was 2.</t>
  </si>
  <si>
    <t>Returns the index of a substring within text; a more functional version of Excel's native FIND / SEARCH functions</t>
  </si>
  <si>
    <t>o</t>
  </si>
  <si>
    <t>t</t>
  </si>
  <si>
    <t>[all_occurrences]</t>
  </si>
  <si>
    <t>If set to TRUE then the index of every found substring is returned as comma-delimited values</t>
  </si>
  <si>
    <t>[parse_matches]</t>
  </si>
  <si>
    <t>I have 2 arms</t>
  </si>
  <si>
    <t>\d{1}</t>
  </si>
  <si>
    <t>Is Number</t>
  </si>
  <si>
    <t>DESK1_WORKBOOK_CHANNEL</t>
  </si>
  <si>
    <t>Is it 1 or 2? I forget</t>
  </si>
  <si>
    <t>Country</t>
  </si>
  <si>
    <t>USA</t>
  </si>
  <si>
    <t>Canada</t>
  </si>
  <si>
    <t>Mexico</t>
  </si>
  <si>
    <t>England</t>
  </si>
  <si>
    <t>Japan</t>
  </si>
  <si>
    <t>China</t>
  </si>
  <si>
    <t>Pakistan</t>
  </si>
  <si>
    <t>Australia</t>
  </si>
  <si>
    <t>FILL DATA</t>
  </si>
  <si>
    <t>The next range for which a unique identifier will be returned.
Returned ID is only valid for current process</t>
  </si>
  <si>
    <t>[range] OR
[address_or_name]</t>
  </si>
  <si>
    <t>3 ranges</t>
  </si>
  <si>
    <t>age:(\d+)</t>
  </si>
  <si>
    <t>age:25, age:7, wgt:140, age:45</t>
  </si>
  <si>
    <t>blah2017::11::25hello2017::11::28?joe</t>
  </si>
  <si>
    <t>The directory to watch for file changes. Directory of current workbook is used if not provided.
If a 2nd column is provided and set to TRUE then parameter is treated as a specific file and watch is for changes to that file</t>
  </si>
  <si>
    <t>The filename to watch. Wildcard characters * and ? are supported.
If no pattern is provided, then all files in the directory are watched.
Ignored if 2nd column of TRUE is provided in the 1st parameter</t>
  </si>
  <si>
    <t>default</t>
  </si>
  <si>
    <t>If set to TRUE then the logic is reversed: successive identical labels are removed from the data</t>
  </si>
  <si>
    <t>[fill_data]</t>
  </si>
  <si>
    <t>If set to TRUE then blank cells in the data area right of and below any labels are filled where possible; if a 2nd TRUE is provided as a 2nd column then values are copied only if they look like functions; if a 3rd TRUE is provided then filling is done across rows first then down columns</t>
  </si>
  <si>
    <t>Fills empty row and/or column label cells with the preceding non-blank value; optionally removes successive identical labels and/or fills data area of grid or table</t>
  </si>
  <si>
    <t>Germany</t>
  </si>
  <si>
    <t>GDP(col(1),row(1))</t>
  </si>
  <si>
    <t>Rotate</t>
  </si>
  <si>
    <t>If set to TRUE then the counts are reset to zero</t>
  </si>
  <si>
    <t>Function</t>
  </si>
  <si>
    <t>bs(type,und price,strike,time,rate,vol)</t>
  </si>
  <si>
    <t>xl.upper(type)</t>
  </si>
  <si>
    <t>Type Upper</t>
  </si>
  <si>
    <t>PreserveCache</t>
  </si>
  <si>
    <t>If set to TRUE then a cached report will be cloned before cells are replaced with invocation results; applies to invokable reports only</t>
  </si>
  <si>
    <t>bs(col(type),col(,-1),col(,-1),col(time),col(6),rowcol(2,vol))</t>
  </si>
  <si>
    <t>Distributes compiled functions by publishing them, and any code libraries referenced by them, to specified distribution topic</t>
  </si>
  <si>
    <t>register,xlName=OPT_VAL,xlDescription=Returns the BlackScholes value of the specified option</t>
  </si>
  <si>
    <t>Opt_Val(2,3,5,rate,7,1)</t>
  </si>
  <si>
    <t>Distributing Functions</t>
  </si>
  <si>
    <t>Publishes functions to a specified distribution channel</t>
  </si>
  <si>
    <t>function_names</t>
  </si>
  <si>
    <t>version</t>
  </si>
  <si>
    <t>The names of the functions to be distributed, either in a range of cells or as a comma-delimited list. Each function must be compiled in the current Excel instance</t>
  </si>
  <si>
    <t>The current version number of the functions represented as up to 4 integers delimited by periods (e.g.: 2.4.3)</t>
  </si>
  <si>
    <t>The topic to which the functions will be published; group name must end in "FUNCTION_CHANNEL".
Default topic of &lt;entity&gt;/FUNCTION_CHANNEL/DEFAULT is used if not specified</t>
  </si>
  <si>
    <t>The list of users who will receive the updated functions. If not set then all permissioned topic subscribers will receive the functions</t>
  </si>
  <si>
    <t>Additional metadata to be applied to report being published</t>
  </si>
  <si>
    <t>[redistributable]</t>
  </si>
  <si>
    <t>Set to TRUE to allow subscribers to redistribute the functions</t>
  </si>
  <si>
    <t>FillFunctions</t>
  </si>
  <si>
    <t>If set, cells containing functions are copied down/across to the end of report if all cells are empty; applies to invokable reports only</t>
  </si>
  <si>
    <t>invoke(&lt;function&gt;,&lt;config&gt;)</t>
  </si>
  <si>
    <t xml:space="preserve">    Thread.Sleep(100);</t>
  </si>
  <si>
    <t>return x * 10;</t>
  </si>
  <si>
    <t>for(var i = 0; i &lt; 5; i++)</t>
  </si>
  <si>
    <t>If set to TRUE then numbers will be subdivided to find attempt and find a result that satisfies any min_value and max_value constraints that exist. If explicitly set to FALSE then a dash will always be treated as a negative sign and not split away from subsequent digits</t>
  </si>
  <si>
    <t>abc-12.csv</t>
  </si>
  <si>
    <t>Receives notifications of updates to reports published by Excel or another application and displays the full content with a single call</t>
  </si>
  <si>
    <t>a;b;c;d;e;f</t>
  </si>
  <si>
    <t>One or more delimiters used to split the input, along with any optional number of delimiters to skip and/or the maximum number of splits.
Delimiters can each be a single character or many characters</t>
  </si>
  <si>
    <t>[dynamic] OR [padding_value]</t>
  </si>
  <si>
    <t>If set to TRUE then array formula expands and contracts dynamically to fit the data; additional columns allow scope of expansion to be controlled. If set to a value other than TRUE that value is used to fill extra cells in the calling range, otherwise the padding is an empty string</t>
  </si>
  <si>
    <t>If set to TRUE the returned data will be limited to the available spill range. To maximize the number of columns instead of rows, provide a 2nd value and also set that to TRUE. If set explicitly to FALSE and 2nd param is TRUE then data in target range is overwritten by formula</t>
  </si>
  <si>
    <t>Dynamic Array</t>
  </si>
  <si>
    <t>Enter Values Here</t>
  </si>
  <si>
    <t>If set then input will not be split on a specified delimiter when that delimiter is preceded by this character. Only single-character escapes are supported. If set to TRUE then the escape character is a backslash ('\')</t>
  </si>
  <si>
    <t>The range(s) to be copied; set to "self" to refer to calling range.
For copy down/across set to the equation that returns the desired value of the cell</t>
  </si>
  <si>
    <t>A paste special indication. Set to TRUE or "formulas" to paste only formulas, "formats" to paste only formats, and "values" to paste only values. Multiple supported from range or as comma-delimited. Include "down" or "across" to copy calling method down/across, respectively.</t>
  </si>
  <si>
    <t>Copy Down</t>
  </si>
  <si>
    <t>Sum</t>
  </si>
  <si>
    <t>The destination range into which the source range(s) will be pasted.
If copy down/across, set to the range(s) to be checked to determine whether the equation should be copied or cleared</t>
  </si>
  <si>
    <t>Refresh Call</t>
  </si>
  <si>
    <t>If set to false then Excels AutoRecover feature is disabled for the workbook</t>
  </si>
  <si>
    <t>Performs an normal Excel copy/paste or copy/paste_special; also supports automatically copying formulas down (and clearing them) as an adjacent range changes size</t>
  </si>
  <si>
    <t>Registers a sequence of ranges that will be selected in order when the Enter or Tab keys are pressed</t>
  </si>
  <si>
    <t>SELECTION_PATH</t>
  </si>
  <si>
    <t>Registers a sequence of ranges that will be selected in order when the Enter or Tab keys are pressed on one in the sequence</t>
  </si>
  <si>
    <t>The first range in the path</t>
  </si>
  <si>
    <t>The next range in the path</t>
  </si>
  <si>
    <t>The next range in the path or a path config setting</t>
  </si>
  <si>
    <t>First Range</t>
  </si>
  <si>
    <t>Second Range</t>
  </si>
  <si>
    <t>Third Range</t>
  </si>
  <si>
    <t>Fourth Range</t>
  </si>
  <si>
    <t>}</t>
  </si>
  <si>
    <t xml:space="preserve">  }</t>
  </si>
  <si>
    <t xml:space="preserve">    _factor = f;</t>
  </si>
  <si>
    <t>public class Scaler {</t>
  </si>
  <si>
    <t xml:space="preserve">    return v * _factor;</t>
  </si>
  <si>
    <t xml:space="preserve">  private int _factor;</t>
  </si>
  <si>
    <t xml:space="preserve">  public int Scale(int v) {</t>
  </si>
  <si>
    <t>Supporting Class</t>
  </si>
  <si>
    <t xml:space="preserve">  public Scaler(int f) {</t>
  </si>
  <si>
    <t>var s = new Scaler((int)x);</t>
  </si>
  <si>
    <t>Parameters</t>
  </si>
  <si>
    <t>return s.Scale((int)y);</t>
  </si>
  <si>
    <t>UseScaler</t>
  </si>
  <si>
    <t>Factor</t>
  </si>
  <si>
    <t>Value to Scale</t>
  </si>
  <si>
    <t>[classes]</t>
  </si>
  <si>
    <t>Primary Code</t>
  </si>
  <si>
    <t>Resisters voice commands that can trigger user-definable actions, including opening specified workbooks even when Excel is not already open</t>
  </si>
  <si>
    <t>LISTEN</t>
  </si>
  <si>
    <t>Registers voice commands that will perform a specified action when entered</t>
  </si>
  <si>
    <t>Phrase</t>
  </si>
  <si>
    <t>recalculate</t>
  </si>
  <si>
    <t>phrase</t>
  </si>
  <si>
    <t>[recognizer]</t>
  </si>
  <si>
    <t>The range or ranges that, when the phrase is spoken, will be recalced or have their values updated; if a string that matches a clickval name is passed as a string, a clickval override will be applied to set that value</t>
  </si>
  <si>
    <t>The name of the installed Windows speech recognizer to use. If not set the default speech recognizer is used</t>
  </si>
  <si>
    <t>set the clickval</t>
  </si>
  <si>
    <t>LS</t>
  </si>
  <si>
    <t>[timeout_millis]</t>
  </si>
  <si>
    <t>Installed Recognizers</t>
  </si>
  <si>
    <t>One or more words that when spoken will trigger the specified action; if not set, a report of all defined shortcuts is returned. If set to "LAST()" and no target set, the method will display whatever phrase it last heard even if not a defined one</t>
  </si>
  <si>
    <t>If set to an integer, that number of milliseconds is waited before a spoken phrase is deemed to be complete. If a 2nd integer is provided in a second column, that will be the number of milliseconds to wait if the phrase is ambiguous (e.g. if "set time" is spoken and the phrases "set time to now" and "set time to noon" both exist)</t>
  </si>
  <si>
    <t>[voice_shortcut]</t>
  </si>
  <si>
    <t>Provides domain-specific conversions of values; currently supports converting tenors to dates (and vice-versa) and restoring CUSIPs parsed by Excel into numbers</t>
  </si>
  <si>
    <t>CONVERT</t>
  </si>
  <si>
    <t>The range containing the values to be converted</t>
  </si>
  <si>
    <t>The output type to which values should be converted</t>
  </si>
  <si>
    <t>[fail_value]</t>
  </si>
  <si>
    <t>The input type from which values should be converted. If not provided then default assumptions for specified "to" type are applied</t>
  </si>
  <si>
    <t>[parameter]</t>
  </si>
  <si>
    <t>One or more parameters to be provided to the conversion logic</t>
  </si>
  <si>
    <t>If set then specified value will be returned for values that cannot be converted.
If not set then the input value is returned if it the conversion fails</t>
  </si>
  <si>
    <t>Cusip Restoration</t>
  </si>
  <si>
    <t>Futures Tenors</t>
  </si>
  <si>
    <t>Dec24</t>
  </si>
  <si>
    <t>August2021</t>
  </si>
  <si>
    <t>Tenor</t>
  </si>
  <si>
    <t>H1</t>
  </si>
  <si>
    <t>J1</t>
  </si>
  <si>
    <t>Z4</t>
  </si>
  <si>
    <t>Q21</t>
  </si>
  <si>
    <t>H21</t>
  </si>
  <si>
    <t>The name or full path of the add-in to be added or removed. If not set then a report of installed add-ins is returned; if set to TRUE then a report of all known add-ins is returned whether installed or not. For blacklists multiple values are accepted or "clear" to clear blacklist.</t>
  </si>
  <si>
    <t>Set to TRUE to have specified add-in installed; set to FALSE to have specified add-in uninstalled.
Set to "blacklist" to set or clear items from the add-in blacklist</t>
  </si>
  <si>
    <t>If present in a workbook, installed or un-installs the specified add-in.
Also supports blacklisting add-ins as well as returning a report showing the names and paths of all add-ins</t>
  </si>
  <si>
    <t>Blacklist</t>
  </si>
  <si>
    <t>some_addin.xla</t>
  </si>
  <si>
    <t>Some Other AddIn</t>
  </si>
  <si>
    <t>copy the cell [85%]</t>
  </si>
  <si>
    <t>If provided and range is not already empty, then these are the return values instead of the values cleared from range. If set to "clear_images()" (or any of a multi-page input set to "clear_images()") then any images overlapping the specified range(s) will be removed. Use "clear_images(true)" to remove both images and data from the range(s)</t>
  </si>
  <si>
    <t>If set to TRUE then body of email will be plain text instead of HTML. If multiple body ranges are selected, a comma-delimited list of range numbers can optionally be provided and only those will be added to the email as plain text; if a colon and a positive integer are appended to any specified page number, the integer will set the max width of the text (e.g. "2:150" would make page 2 plain text and limit its width to 150 pixels). Include FALSE explicitly to have email send fail if HTML or specified attachment is not generated</t>
  </si>
  <si>
    <t>Inserts images from local and Web sources into designated location with worksheet</t>
  </si>
  <si>
    <t>The list of files (full file paths) that will be attached to email.
Entries in the form of "make_file(&lt;filename&gt;)" will cause ranges to be added to the email as attachment in one of many supported file types.
Include an entry "zip" to have attachments sent as a single zip file; include an entry "log" to have the current Excel instance's log file zipped and attached</t>
  </si>
  <si>
    <t>The intervals after which to insert the rows / columns.
If the string "abs()" (or "absolute()") is included then numbers are interpreted as final row/column indexes instead of successive offsets</t>
  </si>
  <si>
    <t>image</t>
  </si>
  <si>
    <t>location</t>
  </si>
  <si>
    <t>The cell or range to which the image will be inserted.
Top-left of image will be placed in top-left cell of specified location</t>
  </si>
  <si>
    <t>[clear]</t>
  </si>
  <si>
    <t>Inserts specified image into specified location within worksheet</t>
  </si>
  <si>
    <t>Set to TRUE to always clear any existing image in location. If not set then insert is skipped if location already contains an image. If set to a positive number, the image will be cleared during insert after that many hours has elapsed. Set explicitly to FALSE to overlap existing images with different names</t>
  </si>
  <si>
    <t>desktop\some_image.jpg</t>
  </si>
  <si>
    <t>brightness</t>
  </si>
  <si>
    <t>contrast</t>
  </si>
  <si>
    <t>zorder</t>
  </si>
  <si>
    <t>rotation</t>
  </si>
  <si>
    <t>flip</t>
  </si>
  <si>
    <t>A name to be assigned to the inserted image</t>
  </si>
  <si>
    <t>Between 0 and 1.0</t>
  </si>
  <si>
    <t>Between 0 and 360</t>
  </si>
  <si>
    <t>If set to TRUE then a reference to the subrange is returned. By default the values of the subrange are returned. Set to a number to indicate number of row labels to include in result or 2 columns of numbers to indicate number of row and column labels to include in result</t>
  </si>
  <si>
    <t>[closure_chars]</t>
  </si>
  <si>
    <t>"Delta",4,"ABC, Inc", 5</t>
  </si>
  <si>
    <t>"</t>
  </si>
  <si>
    <t>(Delta),4,(ABC, Inc), 5</t>
  </si>
  <si>
    <t>tiled</t>
  </si>
  <si>
    <t>Either TRUE, "vertical" or "horizontal"</t>
  </si>
  <si>
    <t>The height in pixels to apply to the inserted image. Native height of image is used if not set, unless width is set in which case height is scaled to preserve native aspect ratio. Set to "fit" (or 0) to set height to height of selected location. Set to a negative number to fit location then shrunk that many pixels. Set to "tile" if location is vertically adjacent to ranges with perfectly fit images.</t>
  </si>
  <si>
    <t>The width in pixels to apply to the inserted image. Native width of image is used if not set, unless height is set in which case width is scaled to preserve native aspect ratio. Set to "fit" (or 0) to set width to width of selected location. Set to a negative number to fit location then shrunk that many pixels. Set to "tile" if location is horizontally adjacent to ranges with perfectly fit images.</t>
  </si>
  <si>
    <t>GZIP</t>
  </si>
  <si>
    <t>Unzip</t>
  </si>
  <si>
    <t>[unzip]</t>
  </si>
  <si>
    <t>[decode]</t>
  </si>
  <si>
    <t>If set to TRUE then the input is unzipped instead of zipped</t>
  </si>
  <si>
    <t>If set to TRUE then any errors in the input range are ignored when zipping, and if unzipping then if unable to unzip the input is returned instead of an error</t>
  </si>
  <si>
    <t>Compresses or decompresses specified value using the gzip algorithm and returns the result as a Base64-encoded string</t>
  </si>
  <si>
    <t>The value to be zipped or unzipped. If a multi-cell range is provided the cells will be concatenated before being processed. When zipping, if the input is already gzipped then it is returned unchanged</t>
  </si>
  <si>
    <t>Concat</t>
  </si>
  <si>
    <t>me</t>
  </si>
  <si>
    <t>then</t>
  </si>
  <si>
    <t>compress</t>
  </si>
  <si>
    <t>Compress me</t>
  </si>
  <si>
    <t>Compresses or decompresses specified input using the gzip algorithm</t>
  </si>
  <si>
    <t>unix()</t>
  </si>
  <si>
    <t>The timezone to which the datetime should be converted, either a Windows Timezone ID, location, "UTC" or "Local". If not provided, then assumed to be the current machine's time unless the "from" parameter is set to the current machine's timezone in which case UTC is assumed. Set to "iso_8601(&lt;timezone&gt;, &lt;include_millis&gt;, &lt;drop_utc_offset&gt;)" function to return the time in ISO 8601 format or unix(&lt;millis&gt;) to return the time as a Unix epoch time</t>
  </si>
  <si>
    <t>iso_8601(&lt;to&gt;,&lt;from&gt;,&lt;millis&gt;,&lt;drop timezone&gt;)</t>
  </si>
  <si>
    <t>num_format(&lt;.NET format&gt;)</t>
  </si>
  <si>
    <t>Converts numeric values to string representations using specified .NET format string</t>
  </si>
  <si>
    <t>Returns the ISO 8601 representation of a converted DateTime, optionally with millis and/or no timezone</t>
  </si>
  <si>
    <t>unix(&lt;from&gt;,&lt;millis&gt;)</t>
  </si>
  <si>
    <t>Returns the Unix epoch representation of a converted DateTime, optionally with millis</t>
  </si>
  <si>
    <t>If set to true then requests from other applications that use Dynamic Data Exchange (DDE) are ignored; this is an application-wide setting</t>
  </si>
  <si>
    <t>Compare</t>
  </si>
  <si>
    <t>Hello</t>
  </si>
  <si>
    <t>hullo!</t>
  </si>
  <si>
    <t>dog</t>
  </si>
  <si>
    <t>eLo</t>
  </si>
  <si>
    <t>COMPARE</t>
  </si>
  <si>
    <t>[algorithm]</t>
  </si>
  <si>
    <t>Comparand</t>
  </si>
  <si>
    <t>comparand</t>
  </si>
  <si>
    <t>Returns the result of a comparing input subject to specified comparator using specified algorithm</t>
  </si>
  <si>
    <t>Returns the result of a comparing input subject(s) to specified comparator using specified algorithm; includes support for edit (Levenshtein) distance between strings</t>
  </si>
  <si>
    <t>yellow</t>
  </si>
  <si>
    <t>blue</t>
  </si>
  <si>
    <t>Yellow</t>
  </si>
  <si>
    <t>Edit Distance</t>
  </si>
  <si>
    <t>The value against which the subject(s) will be compared</t>
  </si>
  <si>
    <t>The value(s) whose to be compared with the comparand</t>
  </si>
  <si>
    <t>A parameter passed to the comparison algorithm</t>
  </si>
  <si>
    <t>An additional parameter passed to the comparison algorithm</t>
  </si>
  <si>
    <t>Subjects</t>
  </si>
  <si>
    <t>Format Indicator</t>
  </si>
  <si>
    <t>left</t>
  </si>
  <si>
    <t>right</t>
  </si>
  <si>
    <t>center</t>
  </si>
  <si>
    <t>top</t>
  </si>
  <si>
    <t>middle</t>
  </si>
  <si>
    <t>bottom</t>
  </si>
  <si>
    <t>border</t>
  </si>
  <si>
    <t>gainloss</t>
  </si>
  <si>
    <t>copydown</t>
  </si>
  <si>
    <t>copyright</t>
  </si>
  <si>
    <t>color(&lt;color&gt;)</t>
  </si>
  <si>
    <t>fill(&lt;color&gt;)</t>
  </si>
  <si>
    <t>min_width(&lt;pixels&gt;)</t>
  </si>
  <si>
    <t>min_height(&lt;pixels&gt;)</t>
  </si>
  <si>
    <t>style(&lt;style&gt;)</t>
  </si>
  <si>
    <t>number_format(&lt;format&gt;)</t>
  </si>
  <si>
    <t>date_format(&lt;format&gt;)</t>
  </si>
  <si>
    <t>The precision to which numeric values should be rounded; if a 2nd parameter of TRUE is provided, trailing zeros are displayed</t>
  </si>
  <si>
    <t>The .NET format string indicating how numeric values should be displayed</t>
  </si>
  <si>
    <t>If included then negative numbers are colored red</t>
  </si>
  <si>
    <t>bold</t>
  </si>
  <si>
    <t>italic</t>
  </si>
  <si>
    <t>underline</t>
  </si>
  <si>
    <t>The .NET format string indicating how datetime values should be displayed</t>
  </si>
  <si>
    <t>The minimum width of the column</t>
  </si>
  <si>
    <t>The minimum height of rows</t>
  </si>
  <si>
    <t>The font size</t>
  </si>
  <si>
    <t>Aligns values vertically at top of cell</t>
  </si>
  <si>
    <t>Aligns values horizontally to left of cell</t>
  </si>
  <si>
    <t>Aligns values horizontally to right of cell</t>
  </si>
  <si>
    <t>Aligns values horizontally in center of cell</t>
  </si>
  <si>
    <t>Aligns values vertically at bottom of cell</t>
  </si>
  <si>
    <t>Aligns values vertically in middle of cell</t>
  </si>
  <si>
    <t>Creates a black border around cell</t>
  </si>
  <si>
    <t>Makes cell text bold</t>
  </si>
  <si>
    <t>Makes cell text italicized</t>
  </si>
  <si>
    <t>Makes cell text underlined</t>
  </si>
  <si>
    <t>headers(&lt;number of headers&gt;)</t>
  </si>
  <si>
    <t>The number of rows at top of report to which default header formatting should be applied</t>
  </si>
  <si>
    <t>If provided then cell-specific styles are applied to all cells below in the current column</t>
  </si>
  <si>
    <t>If provided then cell-specific styles are applied to all cells right in the current row; formats copied right take priority over formats copied down</t>
  </si>
  <si>
    <t>Format Indicators</t>
  </si>
  <si>
    <t>The style(s) to be applied to non-HTML reports viewed in a browser</t>
  </si>
  <si>
    <t>web_only</t>
  </si>
  <si>
    <t>If provided then cell-specific styles will not be stripped before the report is displayed in Excel; by default they are removed in Excel</t>
  </si>
  <si>
    <t>The text that should be included in the style attribute of the &lt;td&gt; element in the table (will be HTML-encoded before applied)</t>
  </si>
  <si>
    <t>The font color; color can be any valid HTML color name (provided color will be HTML-encoded)</t>
  </si>
  <si>
    <t>The background color; color can be any valid HTML color name (provided color will be HTML-encoded)</t>
  </si>
  <si>
    <t>precision(&lt;pixels&gt;,[&lt;show_zeros&gt;])</t>
  </si>
  <si>
    <t>If set to TRUE then any input that cannot be converted will be returned as is instead of an Excel #VALUE! error</t>
  </si>
  <si>
    <t>LA</t>
  </si>
  <si>
    <t>2020-07-20T23:05:54.448+09:00</t>
  </si>
  <si>
    <t>The timezone of the datetime provided, either a Windows Timezone ID, location, "UTC" or "Local". If not provided, then assumed to be the current machine's time unless the "to" parameter is set to the current machine's timezone in which case UTC is assumed.
If a 2nd column with value TRUE is provided, then any timezone indication in a datetime string will be used instead of the specified "from" location</t>
  </si>
  <si>
    <t>If set and key specified, result is cached using key; if no key is specified the result is placed in read-once cache</t>
  </si>
  <si>
    <t>If set, a canceled invocation will return an "was canceled" error message</t>
  </si>
  <si>
    <t>If set, a message indicating that the method was blocked will always be returned; by default only the first block is reported</t>
  </si>
  <si>
    <t>none</t>
  </si>
  <si>
    <t>font_size(&lt;pixels&gt;)</t>
  </si>
  <si>
    <t>If provided as the only non-size/non-alignment format indicator, then the default border put around individual cells in non-HTML reports is omitted</t>
  </si>
  <si>
    <t>uint</t>
  </si>
  <si>
    <t>ulong</t>
  </si>
  <si>
    <t>uint?</t>
  </si>
  <si>
    <t>ulong?</t>
  </si>
  <si>
    <t>[expiry_seconds]</t>
  </si>
  <si>
    <t>If provided the data will automatically be removed from the cache after specified number of seconds. Default is 10 minutes for a read-once cache. If a cache key is provided, then by default the cache is never cleared automatically</t>
  </si>
  <si>
    <t>return x &lt; y ? y : (x &gt; z ? z : x);</t>
  </si>
  <si>
    <t>Applies values to data to ensure it is at least as large as the calling formula array to prevent Excel from automatically filling extra cells with #N/A errors. Also supports auto-resizing array formulas and removing cells to avoid #SPILL errors</t>
  </si>
  <si>
    <t>Applies padding around data to avoid Excel's default behaviors; also supports auto-resizing array formulas and trimming data to prevent #SPILL! errors</t>
  </si>
  <si>
    <t>config(pages,cache=2matrices)</t>
  </si>
  <si>
    <t>Page 2</t>
  </si>
  <si>
    <t>Countdown In Progress</t>
  </si>
  <si>
    <t>LongRunning Function</t>
  </si>
  <si>
    <t>sleepMillis</t>
  </si>
  <si>
    <t>return new object[] { new Random().Next(1, 1000), DateTime.Now };</t>
  </si>
  <si>
    <t>Thread.Sleep((int)sleepMillis);</t>
  </si>
  <si>
    <t>ArrayReturnValue,RegisterAsync</t>
  </si>
  <si>
    <t>MYAPI.SOME_VALS</t>
  </si>
  <si>
    <t>Array Result</t>
  </si>
  <si>
    <t>=MYAPI.SOME_VALS(G239)</t>
  </si>
  <si>
    <t>*,* ????? *</t>
  </si>
  <si>
    <t>The level(s) that must be breached by a watched value in order for a trigger to be enabled. A direction and initial state can optionally be provided. If not provided then event is always enabled</t>
  </si>
  <si>
    <t>The level(s) that must be breached by a watched value in order for a trigger event to occur. A direction can optionally be specified in a second column. If not provided then value changes are trigger events</t>
  </si>
  <si>
    <t>x1.25</t>
  </si>
  <si>
    <t>dynamic()</t>
  </si>
  <si>
    <t>Watched</t>
  </si>
  <si>
    <t>Dynamic Triggers</t>
  </si>
  <si>
    <t>Trigger Time</t>
  </si>
  <si>
    <t>Intervals</t>
  </si>
  <si>
    <t>Lengths</t>
  </si>
  <si>
    <t>log1.1</t>
  </si>
  <si>
    <t>*-.5</t>
  </si>
  <si>
    <t>^2</t>
  </si>
  <si>
    <t>Exponential</t>
  </si>
  <si>
    <t>Natural Log</t>
  </si>
  <si>
    <t>ln</t>
  </si>
  <si>
    <t>Log&lt;Base&gt;</t>
  </si>
  <si>
    <t>log4</t>
  </si>
  <si>
    <t>Harmonic</t>
  </si>
  <si>
    <t>Fibonacci</t>
  </si>
  <si>
    <t>fib</t>
  </si>
  <si>
    <t>h.02</t>
  </si>
  <si>
    <t>The number of values the resulting sequence will contain. The number of values in each row of a matrix result can be provided as a 2nd value. Default is size of calling range if not provided</t>
  </si>
  <si>
    <t>The difference between successive numbers in the sequence. The difference between row numbers of a matrix result can be provided as a 2nd value. Default is 1 if not provided</t>
  </si>
  <si>
    <t>Searches for a file (or directory) based on specified params and returns the full path for each found file (or directory) that matches criteria</t>
  </si>
  <si>
    <t>[limits]</t>
  </si>
  <si>
    <t>The max number of results to return; if a negative number the results returned are the last ones found; default is unlimited. For FTP searches, a 2nd number can be provided to indicate the number of seconds before the search times out; default is 90 seconds if not set; set to -1 for no timeout
When a timeout occurs, any partial results are returned but first row will contain "TIMEOUT!"</t>
  </si>
  <si>
    <t>python</t>
  </si>
  <si>
    <t>The file or directory to be copied. Filenames can have wildcards (* and/or ?) and matching files will be copied. Pass filename(s) as pipe-delimited right cell in 2-column range to have all subdirectories searched. If no full path then directory of current workbook is searched for specified file(s)</t>
  </si>
  <si>
    <t>FlipZip</t>
  </si>
  <si>
    <t>Target File</t>
  </si>
  <si>
    <t>*.txt|not(a*)|not(b*)</t>
  </si>
  <si>
    <t>Source Dir</t>
  </si>
  <si>
    <t>File Filter</t>
  </si>
  <si>
    <t>C:\Research\SourceFiles</t>
  </si>
  <si>
    <t>C:\Users\jsmith\Desktop\text_files.zip</t>
  </si>
  <si>
    <t>Python</t>
  </si>
  <si>
    <t>Supporting Code</t>
  </si>
  <si>
    <t>now = dt.now()</t>
  </si>
  <si>
    <t>Compiler Switches</t>
  </si>
  <si>
    <t>x,y</t>
  </si>
  <si>
    <t>def scale_val(a,b):</t>
  </si>
  <si>
    <t>scaled = scale_val(x,y)</t>
  </si>
  <si>
    <t>abs_scaled = xl.abs(scaled)</t>
  </si>
  <si>
    <t>return now + delta(days=abs_scaled)</t>
  </si>
  <si>
    <t>AddValToNow</t>
  </si>
  <si>
    <t>from datetime import datetime as dt, timedelta as delta</t>
  </si>
  <si>
    <t>The C# or Python code.
If set to "CLEAR" then the specified function will be removed if it exists</t>
  </si>
  <si>
    <t>Code for supporting classes/code. Must not include using statements, which should be provided in the imports parameter</t>
  </si>
  <si>
    <t>The name of the function to be created. Must be a valid function name in C#/Python</t>
  </si>
  <si>
    <t>[auto_subscribe]</t>
  </si>
  <si>
    <t>The number of seconds to throttle the generation of HTML data. If negative, raw data is throttled by the same amount to remain synced with html. Default is 0.35. Min of 0.05 and max of 3600 is enforced. A 2nd column value can be used to control handling if Excel fails to generate HTML (default is to publish raw data)</t>
  </si>
  <si>
    <t>placement</t>
  </si>
  <si>
    <t>Position relative to overlapping images; either "front" or "back" or a number</t>
  </si>
  <si>
    <t>transparency</t>
  </si>
  <si>
    <t>Either "vertical" or/and "horizontal"</t>
  </si>
  <si>
    <t>IMAGES</t>
  </si>
  <si>
    <t>height</t>
  </si>
  <si>
    <t>width</t>
  </si>
  <si>
    <t>Notes</t>
  </si>
  <si>
    <t>Position from top of worksheet grid in pixels</t>
  </si>
  <si>
    <t>Position from left of worksheet grid in pixels</t>
  </si>
  <si>
    <t>Height of image in pixels</t>
  </si>
  <si>
    <t>Width of image in pixels</t>
  </si>
  <si>
    <t>visible</t>
  </si>
  <si>
    <t>Either TRUE or FALSE</t>
  </si>
  <si>
    <t>rounded</t>
  </si>
  <si>
    <t>applies to corners of charts</t>
  </si>
  <si>
    <t>image relative to cells beneath it</t>
  </si>
  <si>
    <t>enabled</t>
  </si>
  <si>
    <t>locked</t>
  </si>
  <si>
    <t>protected</t>
  </si>
  <si>
    <t>Alternative text string to apply</t>
  </si>
  <si>
    <t>shape</t>
  </si>
  <si>
    <t>Name of MSO AutoShape to use</t>
  </si>
  <si>
    <t>color</t>
  </si>
  <si>
    <t>textcolor</t>
  </si>
  <si>
    <t>The backcolor of the text in the image as color name or comma-delimited RGB vals</t>
  </si>
  <si>
    <t>Either "left" or "center"</t>
  </si>
  <si>
    <t>Either "top", "middle" or "bottom"</t>
  </si>
  <si>
    <t>The thickness of border as a number</t>
  </si>
  <si>
    <t>hyperlink</t>
  </si>
  <si>
    <t>The hyperlink of image, optionally with pipe-delimited display text</t>
  </si>
  <si>
    <t>The size of the text</t>
  </si>
  <si>
    <t>font</t>
  </si>
  <si>
    <t>The name of the font to use; if comma-delimited first that exists is used</t>
  </si>
  <si>
    <t>shadowsize</t>
  </si>
  <si>
    <t>shadowvisible</t>
  </si>
  <si>
    <t>The blur of the shadow as a number</t>
  </si>
  <si>
    <t>The shadow X offset in pixels</t>
  </si>
  <si>
    <t>The shadow Y offset in pixels</t>
  </si>
  <si>
    <t>Either "inner" or "outer"</t>
  </si>
  <si>
    <t>The offset of the reflection as a number</t>
  </si>
  <si>
    <t>The blur of the reflection as a number</t>
  </si>
  <si>
    <t>"msoShape" prefix not required in value</t>
  </si>
  <si>
    <t>red</t>
  </si>
  <si>
    <t>The size of the reflection as % of image size</t>
  </si>
  <si>
    <t>The size of the shadow as % of image size</t>
  </si>
  <si>
    <t>delete</t>
  </si>
  <si>
    <t>UPDATE_IMAGE</t>
  </si>
  <si>
    <t>REGISTER_IMAGE</t>
  </si>
  <si>
    <t>Robby</t>
  </si>
  <si>
    <t>Clickable</t>
  </si>
  <si>
    <t>Filter</t>
  </si>
  <si>
    <t>AltText=cool robot</t>
  </si>
  <si>
    <t>clickable</t>
  </si>
  <si>
    <t>Updates specified image with specified settings</t>
  </si>
  <si>
    <t>name_or_range</t>
  </si>
  <si>
    <t>A reference to the range containing the image to update or the name of the registered image to update</t>
  </si>
  <si>
    <t>[clickable]</t>
  </si>
  <si>
    <t>The range where the image to be registered can be found. If not specified then the workbook is searched for the name specified in the 'name' parameter</t>
  </si>
  <si>
    <t>The name to be applied to the registered image. If not specified, an image found in the specified range will be registered with its current name</t>
  </si>
  <si>
    <t>Either TRUE or FALSE; image is deleted if TRUE</t>
  </si>
  <si>
    <t>UpArrow,color(green)</t>
  </si>
  <si>
    <t>DownArrow,color(red)</t>
  </si>
  <si>
    <t>Either "move", "moveAndSize" or "freeFloating"</t>
  </si>
  <si>
    <t>Additional settings to be applied to inserted image. Provided as an array of 2 columns with setting name in the left column and setting value in the right column. Alternatively, settings can be provided as a comma-delimited list of settings as &lt;setting&gt;=&lt;value&gt;</t>
  </si>
  <si>
    <t>The 2-column list of setting names and values to be applied. See table at bottom of this worksheet for currently supported settings. Alternatively, settings can be provided as a comma-delimited list of settings as &lt;setting&gt;=&lt;value&gt;</t>
  </si>
  <si>
    <t>INSERT_IMAGE</t>
  </si>
  <si>
    <t>Updates the specified format setting of specified image</t>
  </si>
  <si>
    <t>Registers an image so it can be referenced by name to be updated, used as a button by SET_CLICKVALS or used as a menu icon</t>
  </si>
  <si>
    <t>The number of columns to shift the curser after a cell in range is clicked. Or if row_shift is set to range ID(s) then set to TRUE or FALSE to indicate whether to scroll to selected cell; pass 2 values (e.g.: {TRUE, FALSE}) to set scroll row and scroll column independently; pass integers instead of booleans to indicate scroll offsets. By default the cursor remains on the clicked cell</t>
  </si>
  <si>
    <t>Click Images</t>
  </si>
  <si>
    <t>Hover</t>
  </si>
  <si>
    <t>Hover Val</t>
  </si>
  <si>
    <t>Change Shape Colors</t>
  </si>
  <si>
    <t>lightgray</t>
  </si>
  <si>
    <t>gray</t>
  </si>
  <si>
    <t>Selected Table Style</t>
  </si>
  <si>
    <t>Unselected Table Style</t>
  </si>
  <si>
    <t>Prior Hover Val</t>
  </si>
  <si>
    <t>The text to display; applies to title for charts</t>
  </si>
  <si>
    <t>"title" also supported</t>
  </si>
  <si>
    <t>Substrings of the image text and/or alternative text that can be used to identify the specific image to register in cases where the specified range contains multiple images</t>
  </si>
  <si>
    <t>Substrings of the image text and/or alternative text that can be used to identify the specific image to update in cases where a specified range contains multiple images</t>
  </si>
  <si>
    <t>ClickVal</t>
  </si>
  <si>
    <t>Curr Val</t>
  </si>
  <si>
    <t>Update Image</t>
  </si>
  <si>
    <t>Disable Hover</t>
  </si>
  <si>
    <t>Set to a row vector of up to 3 TRUE/FALSE values to indicate whether to ignore right-clicks, prevent automatic post-click recalcs when Excel is in manual mode, and/or treat a selection change in the click range as a click, respectively. If any value is "image" then buttons are images in ranges. If set to "hover" then triggering event is a cursor over the click range rather than a click</t>
  </si>
  <si>
    <t>chartAreaColor</t>
  </si>
  <si>
    <t>plotAreaColor</t>
  </si>
  <si>
    <t>textColor</t>
  </si>
  <si>
    <t>applies to charts only</t>
  </si>
  <si>
    <t>can be sheet address as name or range ref; "delete" to remove</t>
  </si>
  <si>
    <t>backColor</t>
  </si>
  <si>
    <t>textBackColor</t>
  </si>
  <si>
    <t>textVerticalAlign</t>
  </si>
  <si>
    <t>textHorizontAlign</t>
  </si>
  <si>
    <t>textStyle</t>
  </si>
  <si>
    <t>fontSize</t>
  </si>
  <si>
    <t>borderColor</t>
  </si>
  <si>
    <t>borderWidth</t>
  </si>
  <si>
    <t>borderTransparency</t>
  </si>
  <si>
    <t>borderVisible</t>
  </si>
  <si>
    <t>alternativeText (or altText)</t>
  </si>
  <si>
    <t>shadowVisible</t>
  </si>
  <si>
    <t>shadowSize</t>
  </si>
  <si>
    <t>shadowColor</t>
  </si>
  <si>
    <t>shadowBlur</t>
  </si>
  <si>
    <t>shadowTransparency</t>
  </si>
  <si>
    <t>shadowOffsetX</t>
  </si>
  <si>
    <t>shadowOffsetY</t>
  </si>
  <si>
    <t>shadowObscured</t>
  </si>
  <si>
    <t>shadowStyle</t>
  </si>
  <si>
    <t>reflectionSize</t>
  </si>
  <si>
    <t>reflectionOffset</t>
  </si>
  <si>
    <t>reflectionBlur</t>
  </si>
  <si>
    <t>reflectionTransparency</t>
  </si>
  <si>
    <t>asPicture</t>
  </si>
  <si>
    <t>increment(&lt;ref or clickval&gt;, [amt])</t>
  </si>
  <si>
    <t>decrement(&lt;ref or clickval&gt;, [amt])</t>
  </si>
  <si>
    <t>control_excel(&lt;params&gt;)</t>
  </si>
  <si>
    <t>invoke(&lt;function name&gt;, [params])</t>
  </si>
  <si>
    <t>set(&lt;ref or clickval&gt;, &lt;val&gt;, ["uk"])</t>
  </si>
  <si>
    <t>Invokes the specified user function, passing specified parameters if any provided; parameters are comma-delimited list of values and are passed to specified function in order provided</t>
  </si>
  <si>
    <t>The type of file to be read. Set to "lines" to have lines of file put in rows down a column. If set to "binary([split])" or "directory([split],[filter])" then file/dir bytes are returned as a Base64-encoded string. If set to "hash" a hex-encoded MD5 hash of file bytes is returned. Default is csv if not set.</t>
  </si>
  <si>
    <t>[menu_entry]</t>
  </si>
  <si>
    <t>The rows of data to be aggregated.
If only a valid topic is provided, the first page of that report will be used unless there is a spaced pipe and page indicator following the topic (e.g. &lt;topic&gt; | 2)</t>
  </si>
  <si>
    <t>The range or ranges placed at the top (or left for HAPPENED) of the result or config details on how to process subsequent ranges. If only valid topics are provided, the all pages of reports will be used unless there is a spaced pipe and page indicator following a topic (e.g. &lt;topic&gt; | 2)</t>
  </si>
  <si>
    <t>The rows of data to be filtered.
If only a valid topic is provided, the first page of that report will be used unless there is a spaced pipe and page indicator following the topic (e.g. &lt;topic&gt; | 2)</t>
  </si>
  <si>
    <t>The data on which the lookup will be performed.
If only a valid topic is provided, the first page of that report will be used unless there is a spaced pipe and page indicator following the topic (e.g. &lt;topic&gt; | 2)</t>
  </si>
  <si>
    <t>The rows of data to be sorted. If only a valid topic is provided, the first page of that report will be used unless there is a spaced pipe and page indicator following the topic (e.g. &lt;topic&gt; | 2)</t>
  </si>
  <si>
    <t>The data range or ranges from which unique rows will be returned.
If only a valid topic is provided, the first page of that report will be used unless there is a spaced pipe and page indicator following the topic (e.g. &lt;topic&gt; | 2)</t>
  </si>
  <si>
    <t>The data from which a contiguous subset of cells is to be returned.
If only a valid topic is provided, the first page of that report will be used unless there is a spaced pipe and page indicator following the topic (e.g. &lt;topic&gt; | 2)</t>
  </si>
  <si>
    <t>The data to be padded.
If only a valid topic is provided, the first page of that report will be used unless there is a spaced pipe and page indicator following the topic (e.g. &lt;topic&gt; | 2)</t>
  </si>
  <si>
    <t>shiftHeight</t>
  </si>
  <si>
    <t>shiftWidth</t>
  </si>
  <si>
    <t>shiftUp</t>
  </si>
  <si>
    <t>shiftDown</t>
  </si>
  <si>
    <t>shiftLeft</t>
  </si>
  <si>
    <t>shiftRight</t>
  </si>
  <si>
    <t>Number of pixels to move closer to top of worksheet grid</t>
  </si>
  <si>
    <t>Number of pixels to move closer to left of worksheet grid</t>
  </si>
  <si>
    <t>Number of pixels to move farther from left of worksheet grid</t>
  </si>
  <si>
    <t>Number of pixels to move farther from top of worksheet grid</t>
  </si>
  <si>
    <t>Number of pixels to add to height of image</t>
  </si>
  <si>
    <t>Number of pixels to add to width of image</t>
  </si>
  <si>
    <t>Absolute value of value applied</t>
  </si>
  <si>
    <t>Applies specified formats to specified range(s)</t>
  </si>
  <si>
    <t>Registers a range such that, when a cell within that range is clicked or hovered over, other cells can automatically be updated with the cell's value; enables many clicking scenarios</t>
  </si>
  <si>
    <t>FORMAT_RANGE</t>
  </si>
  <si>
    <t>Format Me</t>
  </si>
  <si>
    <t>rowHeight</t>
  </si>
  <si>
    <t>Height of the range row(s) in points</t>
  </si>
  <si>
    <t>columnWidth</t>
  </si>
  <si>
    <t>Width of the range columns(s) in points</t>
  </si>
  <si>
    <t>The fill color as color name or comma-delimited RGB vals</t>
  </si>
  <si>
    <t>The text color as color name or comma-delimited RGB vals</t>
  </si>
  <si>
    <t>textAlign</t>
  </si>
  <si>
    <t>Combination of values from other align settings</t>
  </si>
  <si>
    <t>If only "center" then centering is vertical and horizontal</t>
  </si>
  <si>
    <t>autofit</t>
  </si>
  <si>
    <t>Set to "rows" and/or "columns" to autosize range rows/columns to content</t>
  </si>
  <si>
    <t>Resize done in order specified; TRUE = "rows,columns"</t>
  </si>
  <si>
    <t>"bold", "italic", "underlined", "strikethrough", "superscript" and/or "subscript"</t>
  </si>
  <si>
    <t>Names of Excel underline types supported</t>
  </si>
  <si>
    <t>tint</t>
  </si>
  <si>
    <t>Between -1.0 and 1.0</t>
  </si>
  <si>
    <t>numberFormat</t>
  </si>
  <si>
    <t>numberFormatLocal</t>
  </si>
  <si>
    <t>The Excel number format to be applied</t>
  </si>
  <si>
    <t>The Excel local number format to be applied</t>
  </si>
  <si>
    <t>fontTint</t>
  </si>
  <si>
    <t>wrap</t>
  </si>
  <si>
    <t>fitText</t>
  </si>
  <si>
    <t>If TRUE resizes text to fit cell</t>
  </si>
  <si>
    <t>mergeCells</t>
  </si>
  <si>
    <t>forceMergeCells</t>
  </si>
  <si>
    <t>Fails if merge will cause loss of data</t>
  </si>
  <si>
    <t>Forces merge even if data will be lost</t>
  </si>
  <si>
    <t>orientation</t>
  </si>
  <si>
    <t>pattern</t>
  </si>
  <si>
    <t>The cell pattern name</t>
  </si>
  <si>
    <t>Either "up", "down", "vertical" or "horizontal"</t>
  </si>
  <si>
    <t>indent</t>
  </si>
  <si>
    <t>Between 1 and 15</t>
  </si>
  <si>
    <t>border[EDGE]</t>
  </si>
  <si>
    <t>border[EDGE]Color</t>
  </si>
  <si>
    <t>border[EDGE]Weight</t>
  </si>
  <si>
    <t>border[EDGE]Style</t>
  </si>
  <si>
    <t>border[EDGE]Tint</t>
  </si>
  <si>
    <t>borderStyle</t>
  </si>
  <si>
    <t>The name of the line style to use for border</t>
  </si>
  <si>
    <t>Either TRUE or FALSE to set visibility of border</t>
  </si>
  <si>
    <t>The border color as color name or comma-delimited RGB vals</t>
  </si>
  <si>
    <t>Numeric value indicating thickness of border</t>
  </si>
  <si>
    <t>The XlLineStyle of border</t>
  </si>
  <si>
    <t>couriernew</t>
  </si>
  <si>
    <t>fontstyle</t>
  </si>
  <si>
    <t>italic,bold</t>
  </si>
  <si>
    <t>Currently Supported Image Settings</t>
  </si>
  <si>
    <t>Currently Supported Range Formats</t>
  </si>
  <si>
    <t>An array of boolean and/or subtext values that determine whether formats are applied to corresponding cell in specified range(s)</t>
  </si>
  <si>
    <t>fontstyle|this</t>
  </si>
  <si>
    <t>red|black</t>
  </si>
  <si>
    <t>textColor|^this^ red but</t>
  </si>
  <si>
    <t>italic,underline|none</t>
  </si>
  <si>
    <t>fontstyle|not</t>
  </si>
  <si>
    <t>bold|none</t>
  </si>
  <si>
    <r>
      <t xml:space="preserve">Color </t>
    </r>
    <r>
      <rPr>
        <i/>
        <u/>
        <sz val="11"/>
        <color rgb="FFFF0000"/>
        <rFont val="Calibri"/>
        <family val="2"/>
        <scheme val="minor"/>
      </rPr>
      <t>this</t>
    </r>
    <r>
      <rPr>
        <sz val="11"/>
        <color rgb="FF000000"/>
        <rFont val="Calibri"/>
        <family val="2"/>
        <scheme val="minor"/>
      </rPr>
      <t xml:space="preserve"> red but </t>
    </r>
    <r>
      <rPr>
        <b/>
        <sz val="11"/>
        <color rgb="FF000000"/>
        <rFont val="Calibri"/>
        <family val="2"/>
        <scheme val="minor"/>
      </rPr>
      <t>not</t>
    </r>
    <r>
      <rPr>
        <sz val="11"/>
        <color rgb="FF000000"/>
        <rFont val="Calibri"/>
        <family val="2"/>
        <scheme val="minor"/>
      </rPr>
      <t xml:space="preserve"> </t>
    </r>
    <r>
      <rPr>
        <i/>
        <u/>
        <sz val="11"/>
        <color rgb="FF000000"/>
        <rFont val="Calibri"/>
        <family val="2"/>
        <scheme val="minor"/>
      </rPr>
      <t>this</t>
    </r>
  </si>
  <si>
    <t>For border settings, if [EDGE] is not included (e.g. "borderColor") then  setting applies to top, bottom, left and right borders. Supported values to insert for edge are top, bottom, left, right, diagonalUp, diagonalDown, vertical and horizontal (e.g. "borderBottomWeight")</t>
  </si>
  <si>
    <t>a b c d</t>
  </si>
  <si>
    <t>w x y z</t>
  </si>
  <si>
    <t>defaultTextColor</t>
  </si>
  <si>
    <t>|bc</t>
  </si>
  <si>
    <t>purple</t>
  </si>
  <si>
    <t>|x y</t>
  </si>
  <si>
    <r>
      <t xml:space="preserve">w </t>
    </r>
    <r>
      <rPr>
        <sz val="11"/>
        <color rgb="FF800080"/>
        <rFont val="Calibri"/>
        <family val="2"/>
        <scheme val="minor"/>
      </rPr>
      <t>x y</t>
    </r>
    <r>
      <rPr>
        <sz val="11"/>
        <color rgb="FFD3D3D3"/>
        <rFont val="Calibri"/>
        <family val="2"/>
        <scheme val="minor"/>
      </rPr>
      <t xml:space="preserve"> z</t>
    </r>
  </si>
  <si>
    <t>Names of Excel underline types supported; delimit styles with a semicolon</t>
  </si>
  <si>
    <t>I am not an empty cell…</t>
  </si>
  <si>
    <t>commentVisible</t>
  </si>
  <si>
    <t>returnComment</t>
  </si>
  <si>
    <t>If range has multiple comments, those passing filter returned in column of values</t>
  </si>
  <si>
    <t>comment</t>
  </si>
  <si>
    <t>Required to update a comment/note</t>
  </si>
  <si>
    <t>lightblue</t>
  </si>
  <si>
    <t>textcolor|note</t>
  </si>
  <si>
    <t>red|darkgray</t>
  </si>
  <si>
    <t>textstyle</t>
  </si>
  <si>
    <t>timesNewRoman</t>
  </si>
  <si>
    <t>lift</t>
  </si>
  <si>
    <t>Applies multiple settings to give effect of image being raised</t>
  </si>
  <si>
    <t>size</t>
  </si>
  <si>
    <t>shiftsize</t>
  </si>
  <si>
    <t>Height and Width of image in pixels</t>
  </si>
  <si>
    <t>Number of pixels to add  to height and width of image</t>
  </si>
  <si>
    <t>Copied at 09:52:24</t>
  </si>
  <si>
    <t>Listen Examples Enabled</t>
  </si>
  <si>
    <t>If set to TRUE then workbooks will be opened in the current Excel process rather than each in a new process. A 2nd column value can be provided which, if set to TRUE, will launch workbooks without control enabled.
By default each workbook is opened in its own, new process</t>
  </si>
  <si>
    <t>Prevents additional workbooks from being opened in the current instance of Excel</t>
  </si>
  <si>
    <t>The range(s) to which formats will be applied.
Supports use of hard-coded string "self" to refer to calling range</t>
  </si>
  <si>
    <t>Recognized names are from .NET's System.Drawing.KnownColors enum</t>
  </si>
  <si>
    <t>If set then specified value will be returned for failed lookups. Can be a single value to always return...or a vector of values and the corresponding fail value will be returned when a row fails to match.
By default an #N/A error is returned for failed lookups</t>
  </si>
  <si>
    <t>Throttling Publishes</t>
  </si>
  <si>
    <t>Additional metadata to be applied to report being published; can be selected from multiple ranges.
If specified this metadata is combined with the page_names metadata into a single list of metadata entries</t>
  </si>
  <si>
    <t>Additional metadata to be applied to report being published; can be selected from multiple ranges.
If specified this metadata is combined with the include_html metadata into a single list of metadata entries</t>
  </si>
  <si>
    <t>Additional metadata to be applied to report being published; can be selected from multiple ranges.
If specified this metadata is combined with the pub_and_paste metadata into a single list of metadata entries</t>
  </si>
  <si>
    <t>Additional metadata to be applied to report being published; can be selected from multiple ranges.
If specified this metadata is combined with the pub_snapshot metadata into a single list of metadata entries</t>
  </si>
  <si>
    <t>Additional metadata to be applied to report being published; can be selected from multiple ranges.
If specified this metadata is combined with the ALLOW_FAST_RESPONSE metadata into a single list of metadata entries; only relevant if first parameter is TRUE</t>
  </si>
  <si>
    <t>Additional metadata to be applied to report being published; can be selected from multiple ranges.
If specified this metadata is combined with the delete metadata into a single list of metadata entries</t>
  </si>
  <si>
    <t>Additional metadata to be applied to report being published; can be selected from multiple ranges.
If specified this metadata is combined with the max_precision metadata into a single list of metadata entries; set to "global" to apply max precision to all publishes</t>
  </si>
  <si>
    <t>Additional metadata to be applied to report being published; can be selected from multiple ranges.
If specified this metadata is combined with the web_style metadata into a single list of metadata entries</t>
  </si>
  <si>
    <t>Additional metadata to be applied to report being published; can be selected from multiple ranges.
If specified this metadata is combined with the has_html_controls metadata into a single list of metadata entries</t>
  </si>
  <si>
    <t>Set to TRUE to have values written to file as displayed in Excel. Include 2 columns with first set to TRUE and 2nd to FALSE to write values as displayed except retain full precision of numbers. Default is to write raw data to file. For image types saves image in range to file if set to TRUE.</t>
  </si>
  <si>
    <t>If set to TRUE then method will not be calculated unless triggered by user interaction or calculated as a step in a script; If set to a number then will be throttled to not calculate more frequently than the specified number of seconds; make number negative to prevent auto recalc of blocked methods</t>
  </si>
  <si>
    <t>If set to TRUE then method will not be calculated unless triggered by user interaction or calculated as a step in a script. Throttle also supported. If a version of the message is known the topic will be returned when the method is blocked. Provide a 2nd column here set to TRUE to return block message instead</t>
  </si>
  <si>
    <t>If set to TRUE then method will not be calculated unless triggered by user interaction or calculated as a step in a script. Throttling also supported. If a cache_key is provided and the cache exists, that key will be returned when the method is blocked. Provide a 2nd column here set to TRUE to return block message instead</t>
  </si>
  <si>
    <t>If set, the method will block itself until calculated via a user action or other means; is throttle in seconds if number</t>
  </si>
  <si>
    <t>The range for which a unique identifier will be returned.
Returned ID is only valid for current process.
If hard-coded to "self" then ID of calling cell is returned</t>
  </si>
  <si>
    <t>[always]</t>
  </si>
  <si>
    <t>If set to TRUE then Excel is set to manual mode when pasting even when not strictly necessary to prevent race conditions</t>
  </si>
  <si>
    <t>The .NET format string to be used when parsing a string into a datetime. Multiple formats can be provided as a range (column vector) and they will be tried in the order provided. Optional 2nd column can be set to TRUE to avoid brute force searching for a match, or explicitly set to FALSE to have multiple datetimes returned from a single string as a row vector</t>
  </si>
  <si>
    <t>[selection_scope]</t>
  </si>
  <si>
    <t>If set to one or more ranges, the keyboard shortcut will only be applied if the currently selected cell(s) is fully within one of the specified ranges</t>
  </si>
  <si>
    <t>SELECTION</t>
  </si>
  <si>
    <t>PRIOR SELECTION</t>
  </si>
  <si>
    <t>The next range for which a unique identifier will be returned. If set to TRUE then the first parameter is interpreted as containing either an Excel address string or a named range, and the returned reference will refer to that range; Use "selection" or "prior_selection" to return ID of current/prior selected range</t>
  </si>
  <si>
    <t>Returns the friendly name of the specified range or RANGE_REF ID</t>
  </si>
  <si>
    <t>My name over to right</t>
  </si>
  <si>
    <t>[add_quotes]</t>
  </si>
  <si>
    <t>If set to TRUE then single quotes will be added around the qualified worksheet name if Excel would do the same when referenced in a formula</t>
  </si>
  <si>
    <t>Equals Comparand</t>
  </si>
  <si>
    <t>Encloses Comparand</t>
  </si>
  <si>
    <t>Intersects Comparand</t>
  </si>
  <si>
    <t>No Connection Comparand</t>
  </si>
  <si>
    <t>Equals</t>
  </si>
  <si>
    <t>Encloses</t>
  </si>
  <si>
    <t>Intersects</t>
  </si>
  <si>
    <t>The type of comparison. Currently only "edit_distance" and range comparisons are supported, but other comparison algorithms will be added over time.
A sort order comparison is performed if not specified</t>
  </si>
  <si>
    <t>Excel Ranges</t>
  </si>
  <si>
    <t>If set to TRUE then method will not be calculated unless triggered by user interaction or calculated as a step in a script; If set to a number then will be throttled to not calculate more frequently than the specified number of seconds; make number negative to prevent auto recalc of blocked methods; a default value that will be applied once can be provided in a 2nd column</t>
  </si>
  <si>
    <t>The hyperlink of range, optionally with pipe-delimited display text</t>
  </si>
  <si>
    <t>Column / Row Form (Replacing entire columns or rows)</t>
  </si>
  <si>
    <t>p</t>
  </si>
  <si>
    <t>thirty-seven</t>
  </si>
  <si>
    <t>twenty-two</t>
  </si>
  <si>
    <t>thirty</t>
  </si>
  <si>
    <t>fifty</t>
  </si>
  <si>
    <t>Job</t>
  </si>
  <si>
    <t>Username</t>
  </si>
  <si>
    <t>ssmith</t>
  </si>
  <si>
    <t>thopper</t>
  </si>
  <si>
    <t>bbragg</t>
  </si>
  <si>
    <t>alukin</t>
  </si>
  <si>
    <t>D</t>
  </si>
  <si>
    <t>E</t>
  </si>
  <si>
    <t>Replacement</t>
  </si>
  <si>
    <t>Y</t>
  </si>
  <si>
    <t>Z</t>
  </si>
  <si>
    <t>Returns the result of invoking the specified method, passing the cell value and an optional invoke config</t>
  </si>
  <si>
    <t>If short form, the new value of replaced cells.
If full form, optionally the value range(s) to be replaced.
The replacement columns/rows when replacing entire columns or rows</t>
  </si>
  <si>
    <t>If short form, the last row at which apply replacements, default is last in range.
If full form, a list of row numbers to include or exclude from replacements globally.
The row replacement mappings when replacing entire rows with new ones</t>
  </si>
  <si>
    <t>If short form, the last column at which apply replacements, default is last in range.
If full form, a list of column numbers to include or exclude from replacements globally.
The column replacement mappings when replacing entire columns with new ones</t>
  </si>
  <si>
    <t>If short form, the value(s) to be replaced.
If full form, the exact match replace settings.
Use "columns([...])" or "rows([...])" to replace entire columns/rows with new ones</t>
  </si>
  <si>
    <t>get_index(1)</t>
  </si>
  <si>
    <t>A reference to a range of cells from which offsets will be applied.
Hard-code "self" to make calling cell the start range</t>
  </si>
  <si>
    <t>Up to 3 ranges (increment, decrement, reset) to be registered under the specified name. When a cell in a range is clicked subscribers receive an updated value. If "self" is hard-coded as the value then the click range is the calling range. Use "image(&lt;name or range_ref&gt;)" for clickable image. If no range is provided then the specified name will be unregistered. Use "none()" to indicate no click ranges but keep registered</t>
  </si>
  <si>
    <t>Returns the NetBIOS name of the local computer</t>
  </si>
  <si>
    <t>[hostname]</t>
  </si>
  <si>
    <t>Returns the NetBIOS name of the local machine.
Always recalculates once when workbook is opened</t>
  </si>
  <si>
    <t>If set to TRUE then the hostname is returned instead of the NetBIOS name</t>
  </si>
  <si>
    <t>=U.PUBLISH(…)</t>
  </si>
  <si>
    <t>=U.SUBSCRIBE(…)</t>
  </si>
  <si>
    <t>=U.GET(…)</t>
  </si>
  <si>
    <t>=U.GET_LIVE(…)</t>
  </si>
  <si>
    <t>=U.GET_METADATA(…)</t>
  </si>
  <si>
    <t>=U.TWO_WAY_DATA(…)</t>
  </si>
  <si>
    <t>=U.PAGE_NAMES(…)</t>
  </si>
  <si>
    <t>=U.INCLUDE_HTML(…)</t>
  </si>
  <si>
    <t>=U.HAS_WEB_CONTROLS(…)</t>
  </si>
  <si>
    <t>=U.WEB_CONTROL.CHECKBOX(…)</t>
  </si>
  <si>
    <t>=U.WEB_CONTROL.TEXTAREA(…)</t>
  </si>
  <si>
    <t>=U.WEB_CONTROL.BUTTON(…)</t>
  </si>
  <si>
    <t>=U.WEB_CONTROL.DROPDOWN(…)</t>
  </si>
  <si>
    <t>=U.WEB_CONTROL.DATEPICKER(…)</t>
  </si>
  <si>
    <t>=U.WEB_CONTROL_LOCATION(…)</t>
  </si>
  <si>
    <t>=U.PARSE_WEB_CONTROL_VALS(…)</t>
  </si>
  <si>
    <t>=U.WEB_STYLE(…)</t>
  </si>
  <si>
    <t>=U.EVENT(…)</t>
  </si>
  <si>
    <t>=U.SEND_EMAIL(…)</t>
  </si>
  <si>
    <t>=U.SAVE_EMAIL_CONFIG(…)</t>
  </si>
  <si>
    <t>Locally encrypts and saves email credentials for email accounts for use by U.SEND_EMAIL when Outlook is not installed and configured</t>
  </si>
  <si>
    <t>=U.SEND_TEXT(…)</t>
  </si>
  <si>
    <t>=U.SAVE_TEXT_CONFIG(…)</t>
  </si>
  <si>
    <t>Locally encrypts and saves email credentials for SMS accounts for use by U.SEND_TEXT</t>
  </si>
  <si>
    <t>=U.SOUND(…)</t>
  </si>
  <si>
    <t>=U.MESSAGE_BOX(…)</t>
  </si>
  <si>
    <t>=U.VAGGREGATE(…)   |   =U.HAGGREGATE(…)</t>
  </si>
  <si>
    <t>=U.VAPPEND(…)   |   =U.HAPPEND(…)</t>
  </si>
  <si>
    <t>=U.VFILTER(…)   |   =U.HFILTER(…)</t>
  </si>
  <si>
    <t>=U.GRID_FILTER(…)</t>
  </si>
  <si>
    <t>=U.VLOOKUP(…)   |   =U.HLOOKUP(…)</t>
  </si>
  <si>
    <t>=U.GRID_LOOKUP(…)</t>
  </si>
  <si>
    <t>=U.VSORT(…)   |   =U.HSORT(…)</t>
  </si>
  <si>
    <t>=U.VUNIQUE(…)   |   =U.HUNIQUE(…)</t>
  </si>
  <si>
    <t>=U.REPLACE(…)</t>
  </si>
  <si>
    <t>=U.CONVERT(…)</t>
  </si>
  <si>
    <t>=U.SUBRANGE(…)</t>
  </si>
  <si>
    <t>=U.OFFSET(…)</t>
  </si>
  <si>
    <t>=U.REGION(…)</t>
  </si>
  <si>
    <t>=U.RANGE_REF(…)</t>
  </si>
  <si>
    <t>=U.NAMED_RANGE(…)</t>
  </si>
  <si>
    <t>=U.GRID_TO_TABLE(…)</t>
  </si>
  <si>
    <t>=U.TABLE_TO_GRID(…)</t>
  </si>
  <si>
    <t>=U.TRANSPOSE(…)</t>
  </si>
  <si>
    <t>=U.VCOMBINATIONS(…) | =U.HCOMBINATIONS(…)</t>
  </si>
  <si>
    <t>=U.VREPEAT(…) | =U.HREPEAT(…)</t>
  </si>
  <si>
    <t>=U.VINSERT(…) | =U.HINSERT(…)</t>
  </si>
  <si>
    <t>=U.FILL_LABELS(…)</t>
  </si>
  <si>
    <t>=U.PAD(…)</t>
  </si>
  <si>
    <t>=U.RESHAPE(…)</t>
  </si>
  <si>
    <t>=U.ADD_NEWLINES(…)</t>
  </si>
  <si>
    <t>=U.FORMAT_RANGE(…)</t>
  </si>
  <si>
    <t>=U.INSERT_IMAGE(…)</t>
  </si>
  <si>
    <t>=U.UPDATE_IMAGE(…)</t>
  </si>
  <si>
    <t>=U.REGISTER_IMAGE(…)</t>
  </si>
  <si>
    <t>=U.CONCAT(…)</t>
  </si>
  <si>
    <t>=U.SPLIT(…)</t>
  </si>
  <si>
    <t>=U.FORMAT_STRING(...)</t>
  </si>
  <si>
    <t>=U.PARSE_NUMBERS(…)</t>
  </si>
  <si>
    <t>=U.PARSE(…)</t>
  </si>
  <si>
    <t>=U.REGEX(…)</t>
  </si>
  <si>
    <t>=U.FIND(…)</t>
  </si>
  <si>
    <t>=U.FORMULA(…)</t>
  </si>
  <si>
    <t>=U.REMOVE_NON_ASCII(…)</t>
  </si>
  <si>
    <t>=U.URL_ENCODE(…)</t>
  </si>
  <si>
    <t>=U.COMPARE(…)</t>
  </si>
  <si>
    <t>=U.GZIP(…)</t>
  </si>
  <si>
    <t>=U.TODAY(…)</t>
  </si>
  <si>
    <t>=U.NOW(…)</t>
  </si>
  <si>
    <t>=U.TIME(…)</t>
  </si>
  <si>
    <t>Just like U.NOW but returns a time of day with the date component stripped off</t>
  </si>
  <si>
    <t>=U.PARSE_DATETIME(…)</t>
  </si>
  <si>
    <t>=U.CONVERT_DATETIME(...)</t>
  </si>
  <si>
    <t>=U.TIMEZONE(...)</t>
  </si>
  <si>
    <t>=U.SEQUENCE(…)</t>
  </si>
  <si>
    <t>=U.READ_FILE(…)</t>
  </si>
  <si>
    <t>=U.WRITE_FILE(…)</t>
  </si>
  <si>
    <t>=U.COPY_FILE(…)</t>
  </si>
  <si>
    <t>=U.FIND_FILE(...)</t>
  </si>
  <si>
    <t>=U.WATCH_FILES(...)</t>
  </si>
  <si>
    <t>=U.OPEN_DIRECTORY(…)</t>
  </si>
  <si>
    <t>=U.NETWORK_PATH(...)</t>
  </si>
  <si>
    <t>=U.RECENT(…)</t>
  </si>
  <si>
    <t>=U.LAUNCH_EXCEL(…)</t>
  </si>
  <si>
    <t>=U.CONTROL_EXCEL(…)</t>
  </si>
  <si>
    <t>=U.ENABLE_CONTROL(…)</t>
  </si>
  <si>
    <t>Enables external control of workbooks in an Excel processes that were not launched by the U.LAUNCH_EXCEL method</t>
  </si>
  <si>
    <t>=U.IS_CONTROL_ENABLED()</t>
  </si>
  <si>
    <t>=U.GET_CONTROL_SETTINGS(…)</t>
  </si>
  <si>
    <t>=U.ISOLATE_WORKBOOK(…)</t>
  </si>
  <si>
    <t>=U.GET_EXCEL_PROCESSES(…)</t>
  </si>
  <si>
    <t>=U.KILL_EXCEL_PROCESSES(…)</t>
  </si>
  <si>
    <t>=U.RECALC(...)</t>
  </si>
  <si>
    <t>=U.SET_OPEN_VALS(...)</t>
  </si>
  <si>
    <t>=U.ON_CLOSE(...)</t>
  </si>
  <si>
    <t>=U.SAVE_WORKBOOK_PASSWORD(...)</t>
  </si>
  <si>
    <t>Saves a workbook password to an encrypted, user-specific file to enable U.LAUNCH_EXCEL and Workbook Monitor to open it without prompting the user for a password</t>
  </si>
  <si>
    <t>=U.WORKBOOK_NAME(…)</t>
  </si>
  <si>
    <t>=U.WORKSHEET_NAME(...)</t>
  </si>
  <si>
    <t>=U.RANGE_NAME(...)</t>
  </si>
  <si>
    <t>=U.MENU(…)</t>
  </si>
  <si>
    <t>=U.MENU_IMAGES(…)</t>
  </si>
  <si>
    <t>=U.DO(…)</t>
  </si>
  <si>
    <t>=U.AFTER(…)</t>
  </si>
  <si>
    <t>Returns TRUE if referenced range containing an U.DO call has recalculated subsequent to the last recalculation of the calling cell</t>
  </si>
  <si>
    <t>=U.CURRENT_VALS(…)</t>
  </si>
  <si>
    <t>=U.PRIOR_VALS(…)</t>
  </si>
  <si>
    <t>=U.SET_CLICKVALS(…)</t>
  </si>
  <si>
    <t>=U.GET_CLICKVAL(…)</t>
  </si>
  <si>
    <t>Subscribes for real-time updates to values of cells clicked or hovered over in a range registered using U.SET_CLICKVALS(…)</t>
  </si>
  <si>
    <t>=U.OVERWRITE_CLICKVAL(…)</t>
  </si>
  <si>
    <t>Overwrites the current value of a range registered using U.SET_CLICKVALS(…)</t>
  </si>
  <si>
    <t>=U.KEYBOARD_SHORTCUT(…)</t>
  </si>
  <si>
    <t>=U.LISTEN(…)</t>
  </si>
  <si>
    <t>=U.INCREMENT(…)</t>
  </si>
  <si>
    <t>=U.PASTE(…)</t>
  </si>
  <si>
    <t>=U.PASTE_IN_MANUAL_MODE(...)</t>
  </si>
  <si>
    <t>If present in any cell in any workbook in Excel instance, Excel will be briefly placed in manual recalc mode during execution of U.PASTE</t>
  </si>
  <si>
    <t>=U.PASTE_OCCURRED(...)</t>
  </si>
  <si>
    <t>=U.COPY_PASTE(…)</t>
  </si>
  <si>
    <t>=U.CLEAR(…)</t>
  </si>
  <si>
    <t>=U.REVERT(…)</t>
  </si>
  <si>
    <t>=U.CREATE_SCRIPT(…)</t>
  </si>
  <si>
    <t>=U.RUN_SCRIPT(…)</t>
  </si>
  <si>
    <t>Runs a script registered using U.CREATE_SCRIPT(…)</t>
  </si>
  <si>
    <t>=U.CURRENT_SCRIPT(…)</t>
  </si>
  <si>
    <t>=U.START_PROCESS(…)</t>
  </si>
  <si>
    <t>=U.SYNC_CELLS(…)</t>
  </si>
  <si>
    <t>=U.SELECTION_PATH(…)</t>
  </si>
  <si>
    <t>=U.UUID()</t>
  </si>
  <si>
    <t>=U.MONITOR_WORKBOOK(…)</t>
  </si>
  <si>
    <t>=U.KEEP_AWAKE(...)</t>
  </si>
  <si>
    <t>=U.BACKUP_WORKBOOK(…)</t>
  </si>
  <si>
    <t>=U.BACKUP_ALL_WORKBOOKS(…)</t>
  </si>
  <si>
    <t>=U.CACHE(…)</t>
  </si>
  <si>
    <t>=U.PROFILE_WORKBOOK(…)</t>
  </si>
  <si>
    <t>=U.COUNT_FUNCTION_CALLS(…)</t>
  </si>
  <si>
    <t>=U.RAND(…)</t>
  </si>
  <si>
    <t>=U.READ_ONLY(…)</t>
  </si>
  <si>
    <t>=U.DISTRIBUTE_WORKBOOK(…)</t>
  </si>
  <si>
    <t>=U.TRUSTED_DISTRIBUTOR(…)</t>
  </si>
  <si>
    <t>=U.PROTECT_WORKBOOK(…)</t>
  </si>
  <si>
    <t>=U.UNLOCK_CELLS(…)</t>
  </si>
  <si>
    <t>Registers a range of cells that should remain unlocked, or just its formulas unhidden, when the workbook is protected using U.PROTECT_WORKBOOK(…)</t>
  </si>
  <si>
    <t>=U.AUTHN(...)</t>
  </si>
  <si>
    <t>=U.SAVE_CREDENTIALS(...)</t>
  </si>
  <si>
    <t>=U.SECRET(…)</t>
  </si>
  <si>
    <t>=U.PUB_SECRET(…)</t>
  </si>
  <si>
    <t>=U.ENCRYPT(…)</t>
  </si>
  <si>
    <t>=U.COMPILE(…)</t>
  </si>
  <si>
    <t>Compiles user-provided C# or Python code into a function callable using U.INVOKE or as a registered Excel function</t>
  </si>
  <si>
    <t>=U.INVOKE(…)</t>
  </si>
  <si>
    <t>Calls a function created using U.COMPILE</t>
  </si>
  <si>
    <t>=U.INVOKE_ASYNC(…)</t>
  </si>
  <si>
    <t>Asynchronously calls a function created using U.COMPILE</t>
  </si>
  <si>
    <t>=U.INVOKE_AS_MACRO(…)</t>
  </si>
  <si>
    <t>Calls a function created using U.COMPILE within Excel's macro context</t>
  </si>
  <si>
    <t>=U.DISTRIBUTE_FUNCTIONS(…)</t>
  </si>
  <si>
    <t>=U.TOPIC(…)</t>
  </si>
  <si>
    <t>=U.PUB_SNAPSHOT(…)</t>
  </si>
  <si>
    <t>=U.REFRESH(…)</t>
  </si>
  <si>
    <t>=U.DELETE_REPORT(...)</t>
  </si>
  <si>
    <t>=U.MAX_PRECISION(…)</t>
  </si>
  <si>
    <t>=U.PUB_AND_PASTE(…)</t>
  </si>
  <si>
    <t>Sets metadata to prevent the publish of stale data upon opening workbook when many users update the same topic concurrently (not needed if U.TWO_WAY_DATA is used)</t>
  </si>
  <si>
    <t>=U.ALLOW_PUBLISH(…)</t>
  </si>
  <si>
    <t>Manually sets internal state to allow publishes protected by U.PUB_AND_PASTE to go through</t>
  </si>
  <si>
    <t>=U.TOPICS_REPORT()</t>
  </si>
  <si>
    <t>=U.PUB_THROTTLE_MILLIS(…)</t>
  </si>
  <si>
    <t>=U.DISABLE(…)</t>
  </si>
  <si>
    <t>=U.HELP()</t>
  </si>
  <si>
    <t>=U.USERNAME(...)</t>
  </si>
  <si>
    <t>=U.ENTITY()</t>
  </si>
  <si>
    <t>=U.SERVER(...)</t>
  </si>
  <si>
    <t>=U.CONNECTED_TO_SERVER(...)</t>
  </si>
  <si>
    <t>=U.CONFIG_DIR()</t>
  </si>
  <si>
    <t>=U.VERSION(...)</t>
  </si>
  <si>
    <t>=U.ADDINS(…)</t>
  </si>
  <si>
    <t>=U.PROCESS_ID()</t>
  </si>
  <si>
    <t>=U.DEEP_LOGGING(…)</t>
  </si>
  <si>
    <t>=U.RTD_THROTTLE_MILLIS(...)</t>
  </si>
  <si>
    <t>=U.GET_PROCESSES()</t>
  </si>
  <si>
    <t>=U.LOG(...)</t>
  </si>
  <si>
    <t>U.PUBLISH</t>
  </si>
  <si>
    <t>U.PUBLISH - Multiple Pages</t>
  </si>
  <si>
    <t>U.PAGE_NAMES</t>
  </si>
  <si>
    <t>U.INCLUDE_HTML</t>
  </si>
  <si>
    <t>U.PUBLISH - Metadata</t>
  </si>
  <si>
    <t>U.PUB_AND_PASTE</t>
  </si>
  <si>
    <t>=U.PUBLISH(F66,F67,B7:C9,U.INCLUDE_HTML())</t>
  </si>
  <si>
    <t>U.TWO_WAY_DATA</t>
  </si>
  <si>
    <t>U.PUB_SNAPSHOT</t>
  </si>
  <si>
    <t>U.ALLOW_PUBLISH</t>
  </si>
  <si>
    <t>Manually sets internal flag that allows the publication of topics protected by the strong form of U.PUB_AND_PASTE.
Method is immediately replaced with a message after a single call</t>
  </si>
  <si>
    <t>U.DELETE_REPORT</t>
  </si>
  <si>
    <t>U.MAX_PRECISION</t>
  </si>
  <si>
    <t>U.WEB_STYLE</t>
  </si>
  <si>
    <t>=U.ALLOW_PUBLISH(C141)</t>
  </si>
  <si>
    <t>U.HAS_WEB_CONTROLS</t>
  </si>
  <si>
    <t>U.WEB_CONTROL.CHECKBOX</t>
  </si>
  <si>
    <t>The value of the checkbox (true = checked; false = unchecked) when displayed in a browser. Required when publishing with U.INCLUDE_HTML metadata set.</t>
  </si>
  <si>
    <t>U.WEB_CONTROL.TEXTAREA</t>
  </si>
  <si>
    <t>The text to be shown in the text area when displayed in a browser. Required when publishing with U.INCLUDE_HTML metadata set.</t>
  </si>
  <si>
    <t>U.WEB_CONTROL.BUTTON</t>
  </si>
  <si>
    <t>=U.PUBLISH(F226,F227,B225:B228,B231:C231)</t>
  </si>
  <si>
    <t>A value for the button. If a number, then the value will increment by 1 with each click; if a boolean then the value will toggle between TRUE and FALSE with each click. Required when publishing with U.INCLUDE_HTML metadata set.</t>
  </si>
  <si>
    <t>U.WEB_CONTROL.DROPDOWN</t>
  </si>
  <si>
    <t>The currently selected item in the dropdown. Required when publishing with U.INCLUDE_HTML metadata set even if just set to a blank string ("") to indicate no selection.</t>
  </si>
  <si>
    <t>U.WEB_CONTROL.DATEPICKER</t>
  </si>
  <si>
    <t>The current date (and/or time) value of the datepicker. Required when publishing with U.INCLUDE_HTML metadata set even if just set to a blank string ("") to indicate no selection specified.</t>
  </si>
  <si>
    <t>U.WEB_CONTROL_LOCATION</t>
  </si>
  <si>
    <t>U.PARSE_WEB_CONTROL_VALS</t>
  </si>
  <si>
    <t>U.DISABLE</t>
  </si>
  <si>
    <t>U.PUB_THROTTLE_MILLIS</t>
  </si>
  <si>
    <t>=U.PUB_THROTTLE_MILLIS(1000)</t>
  </si>
  <si>
    <t>=U.DISABLE("PUBLISH")</t>
  </si>
  <si>
    <t>U.SUBSCRIBE</t>
  </si>
  <si>
    <t>U.GET</t>
  </si>
  <si>
    <t>U.GET_LIVE</t>
  </si>
  <si>
    <t>Usually set to a field containing a valid topic, most commonly a cell containing a call to U.SUBSCRIBE.
Otherwise, the group of reports to which the report belongs.
Can also be a clickval name and the clickval's value will be returned</t>
  </si>
  <si>
    <t>U.GET - non-updating</t>
  </si>
  <si>
    <t>U.REFRESH</t>
  </si>
  <si>
    <t>U.GET - Page 1</t>
  </si>
  <si>
    <t>U.GET - Page 2</t>
  </si>
  <si>
    <t>U.GET_METADATA</t>
  </si>
  <si>
    <t>Usually set to a field containing a valid topic, most commonly a cell containing a call to U.SUBSCRIBE.
Otherwise, the group of reports to which the report belongs</t>
  </si>
  <si>
    <t>U.TOPICS_REPORT</t>
  </si>
  <si>
    <t>U.EVENT</t>
  </si>
  <si>
    <t>U.SEND_EMAIL</t>
  </si>
  <si>
    <t>=U.SEND_EMAIL(C10:11,C13,C15:C26)</t>
  </si>
  <si>
    <t>The time in seconds that must elapse before U.SEND_EMAIL from the calling range of cells will be allowed to resend an email. Default is 60 seconds; if zero or negative then no throttling is applied. If set to TRUE and Outlook is used then email window is displayed to the user. If 2 columns are provided and 2nd value is FALSE, the email is not sent.</t>
  </si>
  <si>
    <t>U.SAVE_EMAIL_CONFIG</t>
  </si>
  <si>
    <t>Saves the configs and/or credentials of specified email address for use by U.SEND_EMAIL. Info is encrypted and persisted locally per user.
Not required if Outlook is installed and configured on the machine</t>
  </si>
  <si>
    <t>U.SEND_TEXT</t>
  </si>
  <si>
    <t>=U.SEND_TEXT(C70:71,C74:C75)</t>
  </si>
  <si>
    <t>U.SAVE_TEXT_CONFIG</t>
  </si>
  <si>
    <t>=U.SAVE_TEXT_CONFIG(C96,C97,C98)</t>
  </si>
  <si>
    <t>Saves the Twilio account credentials of specified phone number for use by U.SEND_TEXT.
Info is encrypted and persisted locally per user.</t>
  </si>
  <si>
    <t>U.SOUND</t>
  </si>
  <si>
    <t>=U.SOUND(B136:C138)</t>
  </si>
  <si>
    <t>U.MESSAGE_BOX</t>
  </si>
  <si>
    <t>The icon to be included in the message. The following supported: Error, Exclamation, Information, Question, Stop, None.
Office icons and custom images can also be used; see info on setting images in U.MENU for details of how to specify.
Default is Information if not specified</t>
  </si>
  <si>
    <t>=U.SOUND(B146)</t>
  </si>
  <si>
    <t>If set to a string value, then the message box shown will have Yes and No buttons and any call to U.GET_CLICKVAL([clickval_name]) will be updated based on what the user selects: TRUE if the user clicks Yes; and FALSE if the user clicks No.
If a reference to a range ...or multiple ranges separated by commas and surrounded by parentheses... those ranges will be recalculated if the user clicks Yes in the message box.
If set to a range reference ID as returned from U.RANGE_REF ...or a comma-delimited list of IDs ...the specified range(s) will have their values set to the result of the message_box: TRUE if the user clicks Yes, and FALSE if the user clicks No. However if the reference ID(s) are enclosed in "calc(&lt;reference ID(s)&gt;)" then the ranges will be calculated instead of set to TRUE or FALSE</t>
  </si>
  <si>
    <t>=U.MESSAGE_BOX(C157)</t>
  </si>
  <si>
    <t>U.VAGGREGATE | U.HAGGREGATE</t>
  </si>
  <si>
    <t>U.VAGGREGATE</t>
  </si>
  <si>
    <t>U.HAGGREGATE</t>
  </si>
  <si>
    <t>U.VAPPEND | U.HAPPEND</t>
  </si>
  <si>
    <t>U.VAPPEND</t>
  </si>
  <si>
    <t>U.HAPPEND</t>
  </si>
  <si>
    <t>U.VFILTER | U.HFILTER</t>
  </si>
  <si>
    <t>U.VFILTER</t>
  </si>
  <si>
    <t>U.GRID_FILTER</t>
  </si>
  <si>
    <t>U.HFILTER</t>
  </si>
  <si>
    <t>U.VLOOKUP | U.HLOOKUP</t>
  </si>
  <si>
    <t>U.VLOOKUP</t>
  </si>
  <si>
    <t>U.GRID_LOOKUP</t>
  </si>
  <si>
    <t>U.VSORT | U.HSORT</t>
  </si>
  <si>
    <t>U.VSORT</t>
  </si>
  <si>
    <t>U.HSORT</t>
  </si>
  <si>
    <t>U.VUNIQUE | U.HUNIQUE</t>
  </si>
  <si>
    <t>U.VUNIQUE</t>
  </si>
  <si>
    <t>U.HUNIQUE</t>
  </si>
  <si>
    <t>U.REPLACE</t>
  </si>
  <si>
    <t>U.CONVERT</t>
  </si>
  <si>
    <t>U.RESTORE_CUSIPS</t>
  </si>
  <si>
    <t>U.SUBRANGE</t>
  </si>
  <si>
    <t>U.OFFSET</t>
  </si>
  <si>
    <t>U.REGION</t>
  </si>
  <si>
    <t>U.RANGE_REF</t>
  </si>
  <si>
    <t>U.NAMED_RANGE</t>
  </si>
  <si>
    <t>U.GRID_TO_TABLE</t>
  </si>
  <si>
    <t>U.TABLE_TO_GRID</t>
  </si>
  <si>
    <t>U.TRANSPOSE</t>
  </si>
  <si>
    <t>U.VCOMBINATIONS | U.HCOMBINATIONS</t>
  </si>
  <si>
    <t>U.VCOMBINATIONS</t>
  </si>
  <si>
    <t>U.HCOMBINATIONS</t>
  </si>
  <si>
    <t>U.VREPEAT | U.HREPEAT</t>
  </si>
  <si>
    <t>U.VREPEAT</t>
  </si>
  <si>
    <t>U.HREPEAT</t>
  </si>
  <si>
    <t>U.VINSERT | U.HINSERT</t>
  </si>
  <si>
    <t>U.VINSERT</t>
  </si>
  <si>
    <t>U.HINSERT</t>
  </si>
  <si>
    <t>U.FILL_LABELS</t>
  </si>
  <si>
    <t>U.PAD</t>
  </si>
  <si>
    <t>U.PAD in place of U.GET</t>
  </si>
  <si>
    <t>U.RESHAPE</t>
  </si>
  <si>
    <t>U.ADD_NEWLINES</t>
  </si>
  <si>
    <t>U.FORMAT_RANGE</t>
  </si>
  <si>
    <t>U.INSERT_IMAGE</t>
  </si>
  <si>
    <t>=U.INSERT_IMAGE(B8,B10)</t>
  </si>
  <si>
    <t>The path to the image that will be inserted, which can be local or a Web URL. All forms of specifying or making an image described in U.MENU are available. Can be a comma-delimited list of images and the first found will be inserted; transparency settings supported in U.MENU are also supported</t>
  </si>
  <si>
    <t>U.UPDATE_IMAGE</t>
  </si>
  <si>
    <t>U.REGISTER_IMAGE</t>
  </si>
  <si>
    <t>Registers images so they can be updated by name in U.UPDATE_IMAGE and also used as buttons in U.SET_CLICKVALS</t>
  </si>
  <si>
    <t>Set to TRUE to make the image available as a button in U.SET_CLICKVALS</t>
  </si>
  <si>
    <t>Offset from top of range in U.INSERT_IMAGE</t>
  </si>
  <si>
    <t>Offset from left of range in U.INSERT_IMAGE</t>
  </si>
  <si>
    <t>Offset from range height in U.INSERT_IMAGE</t>
  </si>
  <si>
    <t>Offset from range width in U.INSERT_IMAGE</t>
  </si>
  <si>
    <t>Applies to U.INSERT_IMAGE only</t>
  </si>
  <si>
    <t>Applies to U.UPDATE_IMAGE only</t>
  </si>
  <si>
    <t>U.CONCAT</t>
  </si>
  <si>
    <t>U.SPLIT</t>
  </si>
  <si>
    <t>U.FIND</t>
  </si>
  <si>
    <t>U.FORMAT_STRING</t>
  </si>
  <si>
    <t>U.PARSE_NUMBERS</t>
  </si>
  <si>
    <t>U.PARSE</t>
  </si>
  <si>
    <t>U.REGEX</t>
  </si>
  <si>
    <t>If set to TRUE then an attempt is made to parse returned values into non-string types using the same logic as U.PARSE</t>
  </si>
  <si>
    <t>U.FORMULA</t>
  </si>
  <si>
    <t>The output of U.RANGE_REF that references the cell or range whose formula should be returned. If a multi-cell range is selected, the formula from only the top-left cell in the range is returned by default.</t>
  </si>
  <si>
    <t>U.REMOVE_NON_ASCII</t>
  </si>
  <si>
    <t>U.URL_ENCODE</t>
  </si>
  <si>
    <t>U.COMPARE</t>
  </si>
  <si>
    <t>U.GZIP</t>
  </si>
  <si>
    <t>U.TODAY</t>
  </si>
  <si>
    <t>U.NOW</t>
  </si>
  <si>
    <t>U.TIME</t>
  </si>
  <si>
    <t>U.PARSE_DATETIME</t>
  </si>
  <si>
    <t>U.CONVERT_DATETIME</t>
  </si>
  <si>
    <t>U.TIMEZONE</t>
  </si>
  <si>
    <t>U.SEQUENCE</t>
  </si>
  <si>
    <t>U.RAND</t>
  </si>
  <si>
    <t>U.RANDOM</t>
  </si>
  <si>
    <t>U.WRITE_FILE</t>
  </si>
  <si>
    <t>=U.WRITE_FILE(C4,B7:C9)</t>
  </si>
  <si>
    <t>U.READ_FILE</t>
  </si>
  <si>
    <t>=U.WRITE_FILE(C39,(B45:C46,B51:C51),C41,,"append(1)")</t>
  </si>
  <si>
    <t>If set to TRUE then string fields will not be parsed into numbers, booleans and datetime values. By default values are parsed using the default logic of U.PARSE</t>
  </si>
  <si>
    <t>U.FIND_FILE</t>
  </si>
  <si>
    <t>=U.READ_FILE(C60,,,,"my_cache")</t>
  </si>
  <si>
    <t>=U.FIND_FILE("myfile.xlsx","C:\MyFiles")</t>
  </si>
  <si>
    <t>U.WATCH_FILES</t>
  </si>
  <si>
    <t>=U.WATCH_FILES("C:\My_Dir","some_file.xlsx")</t>
  </si>
  <si>
    <t>U.COPY_FILE</t>
  </si>
  <si>
    <t>=U.COPY_FILE(C110,C111)</t>
  </si>
  <si>
    <t>=U.COPY_FILE(C119:D119,,C120,,C121)</t>
  </si>
  <si>
    <t>U.OPEN_DIRECTORY</t>
  </si>
  <si>
    <t>=U.OPEN_DIRECTORY("C:\Users\jsmith")</t>
  </si>
  <si>
    <t>U.RECENT</t>
  </si>
  <si>
    <t>the path to the Python environment used by U.COMPILE (may change after U.COMPILE first used)</t>
  </si>
  <si>
    <t>U.LAUNCH_EXCEL</t>
  </si>
  <si>
    <t>U.SAVE_WORKBOOK_PASSWORD</t>
  </si>
  <si>
    <t>=U.SAVE_WORKBOOK_PASSWORD(C30,C31)</t>
  </si>
  <si>
    <t>U.CONTROL_EXCEL</t>
  </si>
  <si>
    <t>U.GET_CONTROL_SETTINGS</t>
  </si>
  <si>
    <t>U.ENABLE_CONTROL</t>
  </si>
  <si>
    <t>U.IS_CONTROL_ENABLED</t>
  </si>
  <si>
    <t>U.GET_EXCEL_PROCESSES</t>
  </si>
  <si>
    <t>U.KILL_EXCEL_PROCESSES</t>
  </si>
  <si>
    <t>U.RECALC</t>
  </si>
  <si>
    <t>=U.ENABLE_CONTROL()</t>
  </si>
  <si>
    <t>U.WORKBOOK_NAME</t>
  </si>
  <si>
    <t>U.WORKSHEET_NAME</t>
  </si>
  <si>
    <t>U.RANGE_NAME</t>
  </si>
  <si>
    <t>=U.LAUNCH_EXCEL(B168:B169, "CLEAR")</t>
  </si>
  <si>
    <t>U.SET_OPEN_VALS</t>
  </si>
  <si>
    <t>=U.KILL_EXCEL_PROCESSES(B178:B179)</t>
  </si>
  <si>
    <t>=U.RECALC(30)</t>
  </si>
  <si>
    <t>U.ON_CLOSE</t>
  </si>
  <si>
    <t>=U.WORKSHEET_NAME("blah")</t>
  </si>
  <si>
    <t>=U.WORKSHEET_NAME("color:blue")</t>
  </si>
  <si>
    <t>U.ISOLATE_WORKBOOK</t>
  </si>
  <si>
    <t>=U.ISOLATE_WORKBOOK()</t>
  </si>
  <si>
    <t>U.MENU</t>
  </si>
  <si>
    <t>=U.MENU(B3:R17,1)</t>
  </si>
  <si>
    <t>U.MENU_IMAGES</t>
  </si>
  <si>
    <t>=U.MENU(B19:R25)</t>
  </si>
  <si>
    <t>&lt;U.RANGE_REF&gt;</t>
  </si>
  <si>
    <t>The referenced range will be recalculated; can be a comma-delimited list of U.RANGE_REF outputs, and all will be recalculated</t>
  </si>
  <si>
    <t>Runs the specified script as created by U.CREATE_SCRIPT</t>
  </si>
  <si>
    <t>Applies specified controls to active workbook (or specified workbook if specified); params are comma-delimited list of settings in form of setting=value; see U.CONTROL_EXCEL doc for available settings</t>
  </si>
  <si>
    <t>=U.MENU_IMAGES()</t>
  </si>
  <si>
    <t>U.DO</t>
  </si>
  <si>
    <t>=U.DO(MYMETHOD(),U.NOW(5))</t>
  </si>
  <si>
    <t>A reference to another cell that, when recalculated, will cause U.DO to recalculate and therefore cause the specified expression to be re-evaluated.</t>
  </si>
  <si>
    <t>U.AFTER</t>
  </si>
  <si>
    <t>A reference to a cell or range containing an U.DO, U.PASTE and/or another U.AFTER method.
At a minimum the top-left corner of the range must be selected</t>
  </si>
  <si>
    <t>U.CURRENT_VALS</t>
  </si>
  <si>
    <t>U.PRIOR_VALS</t>
  </si>
  <si>
    <t>Returns the prior values seen by this instance of U.PRIOR_VALS, before any values last changed. The method will both record the change history and return a given snapshot in a single call, or can be used to return points in change history</t>
  </si>
  <si>
    <t>U.SET_CLICKVALS</t>
  </si>
  <si>
    <t>U.GET_CLICKVAL</t>
  </si>
  <si>
    <t>The number of rows to shift the curser after a cell in range is clicked. Or if set to range ID(s) as returned by U.RANGE_REF then that range is selected after a cell in range is clicked.
By default the cursor remains on the clicked cell</t>
  </si>
  <si>
    <t>If set to TRUE then click ranges will be checked to see if they contain range refs created by U.RANGE_REF and if so will treat the referred range as the click range. If ALL then each cell is checked for range refs. Provide 2nd value in row vector to apply to target_range separately</t>
  </si>
  <si>
    <t>Subscribes to receive the value of most recently clicked cell in a range registered using U.SET_CLICKVALS.
Can also return a report of all known clickvals and their values</t>
  </si>
  <si>
    <t>The name of the range registered using U.SET_CLICKVALS</t>
  </si>
  <si>
    <t>U.OVERWRITE_CLICKVAL</t>
  </si>
  <si>
    <t>Overwrites the value of most recently clicked cell in a range registered using U.SET_CLICKVALS</t>
  </si>
  <si>
    <t>The name of the range registered using U.SET_CLICKVALS; prefix with [GLOBAL] to make visible to all workbooks in instance.</t>
  </si>
  <si>
    <t>The new value to be applied to the range registered using U.SET_CLICKVALS</t>
  </si>
  <si>
    <t>U.OVERWRITE_CLICKVALS</t>
  </si>
  <si>
    <t>U.KEYBOARD_SHORTCUT</t>
  </si>
  <si>
    <t>U.NOW()</t>
  </si>
  <si>
    <t>U.GET_CLICKVAL()</t>
  </si>
  <si>
    <t>U.LISTEN</t>
  </si>
  <si>
    <t>U.INCREMENT</t>
  </si>
  <si>
    <t>U.PASTE</t>
  </si>
  <si>
    <t>U.PASTE_IN_MANUAL_MODE</t>
  </si>
  <si>
    <t>If present in any cell in any workbook in the Excel instance, Excel will briefly be placed into manual calc mode as values are updated in response to U.PASTE calls</t>
  </si>
  <si>
    <t>=U.PASTE_IN_MANUAL_MODE()</t>
  </si>
  <si>
    <t>U.PASTE_OCCURRED</t>
  </si>
  <si>
    <t>U.COPY_PASTE</t>
  </si>
  <si>
    <t>U.CLEAR</t>
  </si>
  <si>
    <t>U.REVERT</t>
  </si>
  <si>
    <t>U.CREATE_SCRIPT</t>
  </si>
  <si>
    <t>U.RUN_SCRIPT</t>
  </si>
  <si>
    <t>Runs a script created using the U.CREATE_SCRIPT method</t>
  </si>
  <si>
    <t>U.CURRENT_SCRIPT</t>
  </si>
  <si>
    <t>U.START_PROCESS</t>
  </si>
  <si>
    <t>=U.START_PROCESS(B5)</t>
  </si>
  <si>
    <t>The name of the resource saved with U.SAVE_CREDENTIALS whose username and password should be used when running process. The domain of current Windows user is assumed unless the username in the resource is in the format DOMAIN\USERNAME or USERNAME@DOMAIN. By default processes are run under the current user's Windows account</t>
  </si>
  <si>
    <t>U.SYNC_CELLS</t>
  </si>
  <si>
    <t>U.SELECTION_PATH</t>
  </si>
  <si>
    <t>U.UUID</t>
  </si>
  <si>
    <t>U.MONITOR_WORKBOOK</t>
  </si>
  <si>
    <t>=U.MONITOR_WORKBOOK("keep_me_up.xlsx")</t>
  </si>
  <si>
    <t>If set to a valid keyboard shortcut sequence as supported by U.KEYBOARD_SHORTCUT (see doc related to that method), then if not already open the workbook will be launched when the specified keyboard combination or sequence is entered. Excel does not have to be open for the workbook to be launched with a specified keyboard shortcut</t>
  </si>
  <si>
    <t>If set to a phrase as supported by U.LISTEN, then if not already open the workbook will be launched when the specified phrase is spoken into the computer's microphone. Excel does not have to be open for the workbook to be launched with a specified voice shortcut</t>
  </si>
  <si>
    <t>U.KEEP_AWAKE</t>
  </si>
  <si>
    <t>=U.KEEP_AWAKE()</t>
  </si>
  <si>
    <t>U.BACKUP_WORKBOOK</t>
  </si>
  <si>
    <t>Registers the current workbook to be backed up on the specified or default backup schedule for as long as the method exists in the workbook. Takes priority over a default schedule registered using U.BACKUP_ALL_WORKBOOKS(…)</t>
  </si>
  <si>
    <t>=U.BACKUP_WORKBOOK()</t>
  </si>
  <si>
    <t>U.BACKUP_ALL_WORKBOOKS</t>
  </si>
  <si>
    <t>=U.BACKUP_WORKBOOK(B39:D40,,50)</t>
  </si>
  <si>
    <t>=U.BACKUP_ALL_WORKBOOKS(TRUE)</t>
  </si>
  <si>
    <t>U.CACHE</t>
  </si>
  <si>
    <t>The data to be cached. Could refer to a cell containing U.SUBSCRIBE, and the report's content will be cached. If not provided and a cache key is specified, any cached data for that key will be removed</t>
  </si>
  <si>
    <t>U.PROFILE_WORKBOOK</t>
  </si>
  <si>
    <t>=U.PROFILE_WORKBOOK()</t>
  </si>
  <si>
    <t>U.COUNT_FUNCTION_CALLS</t>
  </si>
  <si>
    <t>U.READ_ONLY</t>
  </si>
  <si>
    <t>=U.READ_ONLY(B5:B6)</t>
  </si>
  <si>
    <t>The topic to which workbook updates will be published using U.DISTRIBUTE_WORKBOOK. The group name must end in WORKBOOK_CHANNEL; a default topic of &lt;entity&gt;/WORKBOOK_CHANNEL/&lt;workbook_name&gt; is used if not set.
If set to FALSE and 1st param also set to FALSE, workbook will be reverted from read-only mode to read-write mode</t>
  </si>
  <si>
    <t>=U.READ_ONLY(B20:B21,C25)</t>
  </si>
  <si>
    <t>U.DISTRIBUTE_WORKBOOK</t>
  </si>
  <si>
    <t>The name of the workbook that is being distributed. Must match the name of a workbook open in the current instance of Excel that contains a fully-specified U.READ_ONLY method.
Workbook calling this method is distributed if not set</t>
  </si>
  <si>
    <t>=U.DISTRIBUTE_WORKBOOK("XCJQR")</t>
  </si>
  <si>
    <t>U.TRUSTED_DISTRIBUTOR</t>
  </si>
  <si>
    <t>=U.TRUSTED_DISTRIBUTOR("NJOOF", "msmith")</t>
  </si>
  <si>
    <t>U.PROTECT_WORKBOOK</t>
  </si>
  <si>
    <t>If set to TRUE then all cells in the workbook will be locked except those registered by an U.UNLOCK_CELLS(…) method call</t>
  </si>
  <si>
    <t>If set to TRUE then all cells in the workbook will be hidden (formulas not shown in formula bar when workbook is protected) unless registered to allow display of formulas in an U.UNLOCK_CELLS(…) method call</t>
  </si>
  <si>
    <t>U.UNLOCK_CELLS</t>
  </si>
  <si>
    <t>=U.PROTECT_WORKBOOK(TRUE)</t>
  </si>
  <si>
    <t>If set to TRUE then the settings are applied to the cells immediately. By default the settings are registered and applied when U.PROTECT_WORKBOOK(TRUE,…) is called</t>
  </si>
  <si>
    <t>U.SECRET</t>
  </si>
  <si>
    <t>U.PUB_SECRET</t>
  </si>
  <si>
    <t>U.TOPIC</t>
  </si>
  <si>
    <t>U.ENCRYPT</t>
  </si>
  <si>
    <t>=U.ENCRYPT(B111,"machineuser()")</t>
  </si>
  <si>
    <t>U.COMPILE</t>
  </si>
  <si>
    <t>U.INVOKE</t>
  </si>
  <si>
    <t>A table of menu entry details; see documentation of U.MENU for details. When provided, specified menu entries appear in Excel's ribbon menu upon compilation of the function. Specified menu entries are also added when users receive the function as a distribution</t>
  </si>
  <si>
    <t>U.INVOKE_AS_MACRO</t>
  </si>
  <si>
    <t>U.INVOKE_ASYNC</t>
  </si>
  <si>
    <t>U.DISTRIBUTE_FUNCTIONS</t>
  </si>
  <si>
    <t>=U.DISTRIBUTE_FUNCTIONS("QOXNU", "BS,CND", "1.0.0")</t>
  </si>
  <si>
    <t>U.USERNAME</t>
  </si>
  <si>
    <t>U.ENTITY</t>
  </si>
  <si>
    <t>U.SERVER</t>
  </si>
  <si>
    <t>U.AUTHN</t>
  </si>
  <si>
    <t>U.CONNECTED_TO_SERVER</t>
  </si>
  <si>
    <t>U.SAVE_CREDENTIALS</t>
  </si>
  <si>
    <t>=U.SAVE_CREDENTIALS()</t>
  </si>
  <si>
    <t>U.CONFIG_DIR</t>
  </si>
  <si>
    <t>U.VERSION</t>
  </si>
  <si>
    <t>U.ADDINS</t>
  </si>
  <si>
    <t>=U.ADDINS(B50,C50)</t>
  </si>
  <si>
    <t>=U.ADDINS(B54:B55,"blacklist")</t>
  </si>
  <si>
    <t>U.PROCESS_ID</t>
  </si>
  <si>
    <t>U.NETWORK_PATH</t>
  </si>
  <si>
    <t>U.DEEP_LOGGING</t>
  </si>
  <si>
    <t>=U.DEEP_LOGGING()</t>
  </si>
  <si>
    <t>U.HELP</t>
  </si>
  <si>
    <t>U.RTD_THROTTLE_MILLIS</t>
  </si>
  <si>
    <t>U.LOG</t>
  </si>
  <si>
    <t>U.GET_PROCESSES</t>
  </si>
  <si>
    <t>u.bs(CP,S,X,T,r,v)</t>
  </si>
  <si>
    <t>var sw = new Stopwatch();
sw.Start();
var total = 0;
for(var i = 0; i &lt; 10000; i++) {
  foreach(var page in pages) total += xl.Sum(page);
}
var millis = sw.ElapsedMilliseconds;
var msgFmt = "Total = {0}; millis = {1}";
var msg =  string.Format(msgFmt, total, millis);
U.Log(msg);
U.SetGlobal("sum_time", msg);
return msg;</t>
  </si>
  <si>
    <t>U.GetGlobal(key)</t>
  </si>
  <si>
    <t>U.ExcelApp.Version</t>
  </si>
  <si>
    <t>using (var proc = Process.GetCurrentProcess()) {
  for(var n = 0; n &lt; 10; n++) {
    //user code can check if a cancel was requested via U.CancellationToken
    if (U.CancellationToken.IsCancellationRequested) return;
    proc.Refresh();
    var ws = proc.WorkingSet64;
    var mb = Math.Round(ws/(1024.0*1024), 3);
    var m = string.Format("Memory: {0} MB", mb);
    Thread.Sleep(1000);
    //the value returned to U.INVOKE_ASYNC can be updated with U.Update()
    U.Update(m);
  }
}</t>
  </si>
  <si>
    <r>
      <rPr>
        <sz val="8"/>
        <color theme="1" tint="0.499984740745262"/>
        <rFont val="Courier New"/>
        <family val="3"/>
      </rPr>
      <t>/***** This BS implementation only for illustration of feature *****/</t>
    </r>
    <r>
      <rPr>
        <sz val="8"/>
        <color theme="8" tint="-0.249977111117893"/>
        <rFont val="Courier New"/>
        <family val="3"/>
      </rPr>
      <t xml:space="preserve">
var d1 = (Math.Log(S/X) + (r + v*v/2) * T)/(v*Math.Sqrt(T));
var d2 = d1 - v*Math.Sqrt(T);
var isPut = CP.Trim().ToLower().StartsWith("p");</t>
    </r>
    <r>
      <rPr>
        <sz val="8"/>
        <color theme="1" tint="0.499984740745262"/>
        <rFont val="Courier New"/>
        <family val="3"/>
      </rPr>
      <t xml:space="preserve"> //"P" or "Put" works
</t>
    </r>
    <r>
      <rPr>
        <sz val="8"/>
        <color theme="8" tint="-0.249977111117893"/>
        <rFont val="Courier New"/>
        <family val="3"/>
      </rPr>
      <t xml:space="preserve">
</t>
    </r>
    <r>
      <rPr>
        <sz val="8"/>
        <color theme="1" tint="0.499984740745262"/>
        <rFont val="Courier New"/>
        <family val="3"/>
      </rPr>
      <t xml:space="preserve">//here the user-defined function CND called with U.Invoke...
</t>
    </r>
    <r>
      <rPr>
        <sz val="8"/>
        <color theme="8" tint="-0.249977111117893"/>
        <rFont val="Courier New"/>
        <family val="3"/>
      </rPr>
      <t xml:space="preserve">if (isPut) return X*Math.Exp(-r*T)*U.Invoke("CND",-d2)
              - S*U.Invoke("CND", -d1);
</t>
    </r>
    <r>
      <rPr>
        <sz val="8"/>
        <color theme="1" tint="0.499984740745262"/>
        <rFont val="Courier New"/>
        <family val="3"/>
      </rPr>
      <t xml:space="preserve">//but could also just use U.CND as done here...
</t>
    </r>
    <r>
      <rPr>
        <sz val="8"/>
        <color theme="8" tint="-0.249977111117893"/>
        <rFont val="Courier New"/>
        <family val="3"/>
      </rPr>
      <t>return S*U.CND(d1) - X*Math.Exp(-r*T)*U.CND(d2);</t>
    </r>
  </si>
  <si>
    <t xml:space="preserve">  return u.usescaler(a,b)</t>
  </si>
  <si>
    <t>U.MACHINE_NAME</t>
  </si>
  <si>
    <t>=U.MACHINE_NAME()</t>
  </si>
  <si>
    <t>A reference to the specific cell in the report_range that will contain the interactive checkbox when rendered in a browser. Cell immediately to left of formula (or above if rows layout) is assumed if value not set. If a range reference is provided then location is assumed to be the bottom-right cell of the reference.</t>
  </si>
  <si>
    <t>A reference to the specific cell in the report_range that will contain the interactive textarea when rendered in a browser. Cell immediately to left of formula (or above if rows layout) is assumed if value not set. If a range reference is provided then location is assumed to be the bottom-right cell of the reference.</t>
  </si>
  <si>
    <t>A reference to the specific cell in the report_range that will contain the interactive button when rendered in a browser. Cell immediately to left of formula (or above if rows layout) is assumed if value not set.  If a range reference is provided then location is assumed to be the bottom-right cell of the reference.</t>
  </si>
  <si>
    <t>A reference to the specific cell in the report_range that will contain the interactive dropdown when rendered in a browser. Cell immediately to left of formula (or above if rows layout) is assumed if value not set.  If a range reference is provided then location is assumed to be the bottom-right cell of the reference.</t>
  </si>
  <si>
    <t>A reference to the specific cell in the report_range that will contain the interactive datepicker when rendered in a browser. Cell immediately to left of formula (or above if rows layout) is assumed if value not set. If a range reference is provided then location is assumed to be the bottom-right cell of the reference.</t>
  </si>
  <si>
    <t>If set to TRUE then workbooks will be opened in read-only mode. By default an attempt is made to load workbooks in regular mode. If set to "CLEAR" then the launch history of the workbook(s) specified in the 1st parameter will be cleared, allowing the workbook to be re-launched before a forced time delay</t>
  </si>
  <si>
    <t>uuid()</t>
  </si>
  <si>
    <t>Replaces the value with a UUID</t>
  </si>
  <si>
    <t>encrypt(&lt;password&gt;,&lt;encrypt blanks&gt;,&lt;encrypt errors&gt;)</t>
  </si>
  <si>
    <t>Encrypts/decrypts the value using the provided password; params are same as ENCRYPT</t>
  </si>
  <si>
    <t>=U.WEB_CONTROL.HYPERLINK(…)</t>
  </si>
  <si>
    <t>=U.WEB_CONTROL.TOOLTIP(…)</t>
  </si>
  <si>
    <t>Creates a special cell value that results in a hyperlink when viewed in a browser</t>
  </si>
  <si>
    <t>Creates a special cell value that results in a tooltip being displayed when hovering over the cell content in a browser</t>
  </si>
  <si>
    <t>U.WEB_CONTROL.HYPERLINK</t>
  </si>
  <si>
    <t>U.WEB_CONTROL.TOOLTIP</t>
  </si>
  <si>
    <t>Parses the value component out of a Web control indicator string.
Cells in the input range that are not Web control indicator strings are returned unchanged</t>
  </si>
  <si>
    <t>The list of options available, either from a range of cells or as a comma-delimited list of values. If a blank is included in the list it will be placed as the first option in the rendered dropdown. Duplicate values will be ignored</t>
  </si>
  <si>
    <t>The value to display in the cell containing the hyperlink. If not the hyperlink URL, then the URL attribute must be specified in the 2nd parameter.</t>
  </si>
  <si>
    <t>A 2-column vector, with setting name on the left and its value on the right, of attributes to be applied. See table of supported attributes at the bottom of this tab. The URL attribute is required if the 1st parameter does not contain a valid URL</t>
  </si>
  <si>
    <t>A reference to the specific cell in the report_range that will contain the hyperlink when rendered in a browser. Cell immediately to left of formula (or above if rows layout) is assumed if value not set. If a range reference is provided then location is assumed to be the bottom-right cell of the reference.</t>
  </si>
  <si>
    <t>The value to display in the cell to which the tooltip is added. If no TEXT attribute is specified in the 2nd parameter, this value is set as the text of the tooltip</t>
  </si>
  <si>
    <t>A 2-column vector, with setting name on the left and its value on the right, of attributes to be applied. See table of supported attributes at the bottom of this tab. The TEXT attribute is required if the 1st parameter is not set</t>
  </si>
  <si>
    <t>URL</t>
  </si>
  <si>
    <t>Where to go for great software</t>
  </si>
  <si>
    <t>HYPERLINK</t>
  </si>
  <si>
    <t>TOOLTIP</t>
  </si>
  <si>
    <t>Causes the value to be added to the control as a tooltip so that it is displayed when the cursor is hovered over the control in a browser</t>
  </si>
  <si>
    <t>TARGET</t>
  </si>
  <si>
    <t>Determines where the new Web location is opened; supported values are standard values of the target attribute of an HTML anchor element: blank, self, parent or top</t>
  </si>
  <si>
    <t>The URL to which the hyperlink will redirect (the href attribute of the HTML anchor element); must include protocol prefix (e.g. "HTTPS://")</t>
  </si>
  <si>
    <t>The text to be displayed in the tooltip</t>
  </si>
  <si>
    <t>yikes</t>
  </si>
  <si>
    <t>well hello! my good friend</t>
  </si>
  <si>
    <t>Tooltip Text</t>
  </si>
  <si>
    <t>text=great software</t>
  </si>
  <si>
    <t>Range 1 Cache</t>
  </si>
  <si>
    <t>Range 2 Cache</t>
  </si>
  <si>
    <t>=U.COPY_PASTE($B$135:$B$137,B141)</t>
  </si>
  <si>
    <t>=U.COPY_PASTE($B$135:$B$137,B146,TRUE)</t>
  </si>
  <si>
    <t>=U.COPY_PASTE($B$135:$B$137,B151,"formats")</t>
  </si>
  <si>
    <t>=U.COPY_PASTE($B$135:$B$137,B156,"values,formats")</t>
  </si>
  <si>
    <t>=U.COMPILE(C308,C309:C312,C313,C314,,C315,,B318:B319)</t>
  </si>
  <si>
    <t>If set to TRUE then method will not be calculated unless triggered by user interaction or calculated as a step in a script; If set to a number then will be throttled to not calculate more frequently than the specified number of seconds; make number negative to prevent auto recalc of blocked methods. If a 2nd column is provided and set to TRUE script will not be queued</t>
  </si>
  <si>
    <t>location of workbook backup</t>
  </si>
  <si>
    <t>user's Windows Desktop folder</t>
  </si>
  <si>
    <t>user's MyDocuments folder</t>
  </si>
  <si>
    <t>the Windows recent files directory for the current user</t>
  </si>
  <si>
    <t>the Windows user directory for the current user</t>
  </si>
  <si>
    <t>the Windows fonts directory</t>
  </si>
  <si>
    <t>the Windows Internet cookies directory</t>
  </si>
  <si>
    <t>user's Startup folder</t>
  </si>
  <si>
    <t>machine's common Startup folder (if user has permission)</t>
  </si>
  <si>
    <t>user's StartMenu folder</t>
  </si>
  <si>
    <t>machine's common StartMenu folder (if user has permission)</t>
  </si>
  <si>
    <t>the user's top-level AppData directory</t>
  </si>
  <si>
    <t>the user's roaming AppData directory</t>
  </si>
  <si>
    <t>the user's local AppData directory</t>
  </si>
  <si>
    <t>machine's common AppData folder (if user has permission)</t>
  </si>
  <si>
    <t>The name of the report, which is unique within the report group.
Not required if subscribing to a cache key</t>
  </si>
  <si>
    <t>If set to a range references ...or ref IDs as returned from U.RANGE_REF... the referenced range will be recalculated when the method triggers. If set to TRUE (or "self") then the method will recalculate itself immediately after it triggering; if set to a number, it will recalc itself after that many seconds. Include "churn_ok" as a value to disable churn prevention.</t>
  </si>
  <si>
    <t>DIS</t>
  </si>
  <si>
    <t>The row or rows in the data range to be looked up.
Set to "replace([num_row_labels],[num_col_labels],[ignore_blanks],[ignore_errors])" for replace logic.
If "types" provided and no other params set, then a report of available lookup types is returned</t>
  </si>
  <si>
    <t>The column or columns in the data range to be looked up.
Set to the full report that will have cells replaced when using replace logic</t>
  </si>
  <si>
    <t>If set to TRUE then row and column labels are included in the result.
Default is TRUE when replace logic invoked</t>
  </si>
  <si>
    <t>ignore()</t>
  </si>
  <si>
    <t>Grid Form (Replacing specific cells based on row/column labels)</t>
  </si>
  <si>
    <t>The amount of time in seconds that must elapse before U.SEND_TEXT from the calling range of cells will be allowed to resend a text. Default is 60 seconds; if zero or negative then no throttling is applied. If 2 columns are provided and the 2nd value is FALSE, the text is not sent. If 3 columns are provided and 3rd value is TRUE an identical text can be sent on the same calendar day.</t>
  </si>
  <si>
    <t>If set to TRUE then a message box alerting the user to a workbook update will be shown when a workbook update is received.
If set to a positive number, then current version of workbook will be automatically closed after that many seconds unless already restarted.</t>
  </si>
  <si>
    <t>=U.MAKE_LINK(...)</t>
  </si>
  <si>
    <t>Creates a symbolic link path that redirects to another directory</t>
  </si>
  <si>
    <t>U.MAKE_LINK</t>
  </si>
  <si>
    <t>C:\Some_App\Version_1.2</t>
  </si>
  <si>
    <t>C:\Some_App\Current</t>
  </si>
  <si>
    <t>=U.MAKE_LINK(C180,C181)</t>
  </si>
  <si>
    <t>Link Path</t>
  </si>
  <si>
    <t>Creates a symbolic link to another directory</t>
  </si>
  <si>
    <t>link_path</t>
  </si>
  <si>
    <t>[do_not_update]</t>
  </si>
  <si>
    <t>If set to TRUE then method will not update the specified link_path if it already exists.
By default an existing link will be updated to point at the specified target</t>
  </si>
  <si>
    <t>If set then specified script, VBA macro or 3rd-party add-in method will be run; pass parameters by delimiting macro name and other params with commas (up to 5 params supported)</t>
  </si>
  <si>
    <t>The range or ranges that, when the keyboard shortcut is entered, will be recalced or have their values updated; if a string that matches a clickval name is passed as a string, a clickval override will be applied to set that value; if hard-coded to "selection" in the equation then the target is the selected cell(s) at time the shortcut is pressed</t>
  </si>
  <si>
    <t>If set, then the target will be updated with the specified value. If the target is a clickval name, that clickval will have its value set to the specified value. If hard-coded to "selection" then the value is that of the selected cell(s) when the shortcut is pressed, optionally with an offset</t>
  </si>
  <si>
    <t>The new name to be given to the worksheet or name(s) of worksheet(s) to be created or sorted.
Or a color name or Excel color index value preceded by "color:"
If set to an asterisk ("*") then a list of all worksheets in the workbook is returned</t>
  </si>
  <si>
    <t>Returns the name of the calling worksheet if no parameters set. Renames a worksheet or changes its tab color if parameters are set or returns a list of all worksheets in the current workbook if first parameter is set to an asterisk. Also supports copying, creating and sorting worksheets</t>
  </si>
  <si>
    <t>Names of Copies</t>
  </si>
  <si>
    <t>SymbolTemplate</t>
  </si>
  <si>
    <t>AIG</t>
  </si>
  <si>
    <t>=U.WORKSHEET_NAME(B217:B219,B214)</t>
  </si>
  <si>
    <t>Worksheet to Copy</t>
  </si>
  <si>
    <t>=U.ON_CLOSE(B255,B258,B262:C266)</t>
  </si>
  <si>
    <t>The "From" address in the email message.
Required if Microsoft Outlook is not installed and configured, but can also be used when multiple accounts are configured in Outlook.
If any email address is "quit()" then a flag is set such that Outlook (if used) will be closed when the Excel instance is closed; an address of "quit(false)" reverts the flag if set</t>
  </si>
  <si>
    <t xml:space="preserve">Set to TRUE to overwrite the target file(s) that may already exist. Include a 2nd column also set to TRUE to entirely replace a directory. Include a 3rd column set to TRUE to have files permanently deleted instead of sent to the recycle bin. By default the copy is aborted if specified target file already exists. </t>
  </si>
  <si>
    <t>If set to TRUE then source files are deleted after a successful copy. When copying and deleting all files in a directory and subdirectory, provide a 2nd value of FALSE to prevent deletion of the source directory structure. Provide a 3rd value of TRUE to delete the source permanently instead of sending to the recycle bin.</t>
  </si>
  <si>
    <t>The range or RANGE_REF ID whose friendly name will be returned.
Pass as a string in the form "used_range(&lt;RANGE_REF ID&gt;)" to return the friendly name of the used range of the referenced worksheet</t>
  </si>
  <si>
    <t>Returns the name of the current worksheet or all worksheets; also supports renaming, copying, creating, deleting and sorting worksheets and/or changing a worksheet's tab color</t>
  </si>
  <si>
    <t>The current name of the worksheet to be renamed or copied. Include an asterisk (*) if the 1st param is a single value and intent is to create, copy or sort worksheets. Set to the string "[delete]" to delete worksheets specified in the 1st parameter. If not provided, the worksheet containing the method is renamed</t>
  </si>
  <si>
    <t>Returns the name of the current workbook; supports returning the names of all workbooks open in the current Excel instance</t>
  </si>
  <si>
    <t>[range] OR
[as_Excel_ref]</t>
  </si>
  <si>
    <t>a,b,c,d,e,f</t>
  </si>
  <si>
    <t>The number of decimal places to which numbers should be rounded.
A default of 8 is applied if not specified; a min of 0 and a max of 15 is enforced.</t>
  </si>
  <si>
    <t>The phone number for which credentials are being saved.
Additional cells can specify any associated Alphanumeric Sender ID and/or Short Code (the order does not matter, as such IDs and short codes will be detected by their formats)</t>
  </si>
  <si>
    <t>[launch_updater]</t>
  </si>
  <si>
    <t>If set to TRUE the add-in will launch the updater application if available.
If set to "detail" a report with more version info is returned</t>
  </si>
  <si>
    <t>=U.RUN_SCRIPT(C4,TRUE)</t>
  </si>
  <si>
    <t>2023-07-28 14:30:36.727 | [First_Example] Countdown loop…</t>
  </si>
  <si>
    <t>2023-07-28 14:30:37.200 | [First_Example] start Sleep 1 second</t>
  </si>
  <si>
    <t>2023-07-28 14:30:38.421 | [First_Example] end Sleep 1 second (millis = 1221)</t>
  </si>
  <si>
    <t>2023-07-28 14:30:38.895 | [First_Example] start Decrement counter</t>
  </si>
  <si>
    <t>2023-07-28 14:30:39.116 | [First_Example] Excel responding at Decrement counter... (callCalc = True)</t>
  </si>
  <si>
    <t>2023-07-28 14:30:39.256 | [First_Example] end Decrement counter (millis = 361)</t>
  </si>
  <si>
    <t>2023-07-28 14:30:39.730 | [First_Example] Countdown loop…</t>
  </si>
  <si>
    <t>2023-07-28 14:30:40.220 | [First_Example] start Sleep 1 second</t>
  </si>
  <si>
    <t>2023-07-28 14:30:41.439 | [First_Example] end Sleep 1 second (millis = 1219)</t>
  </si>
  <si>
    <t>2023-07-28 14:30:41.923 | [First_Example] start Decrement counter</t>
  </si>
  <si>
    <t>2023-07-28 14:30:42.142 | [First_Example] Excel responding at Decrement counter... (callCalc = True)</t>
  </si>
  <si>
    <t>2023-07-28 14:30:42.299 | [First_Example] end Decrement counter (millis = 376)</t>
  </si>
  <si>
    <t>2023-07-28 14:30:42.782 | [First_Example] Countdown loop…</t>
  </si>
  <si>
    <t>2023-07-28 14:30:43.269 | [First_Example] start Sleep 1 second</t>
  </si>
  <si>
    <t>2023-07-28 14:30:44.494 | [First_Example] end Sleep 1 second (millis = 1225)</t>
  </si>
  <si>
    <t>2023-07-28 14:30:44.968 | [First_Example] start Decrement counter</t>
  </si>
  <si>
    <t>2023-07-28 14:30:45.185 | [First_Example] Excel responding at Decrement counter... (callCalc = True)</t>
  </si>
  <si>
    <t>2023-07-28 14:30:45.323 | [First_Example] end Decrement counter (millis = 355)</t>
  </si>
  <si>
    <t>2023-07-28 14:30:45.799 | [First_Example] Countdown loop…</t>
  </si>
  <si>
    <t>2023-07-28 14:30:46.028 | [First_Example] While loop is FALSE; skipping to step #10</t>
  </si>
  <si>
    <t>2023-07-28 14:30:46.514 | [First_Example] start Paste curr time</t>
  </si>
  <si>
    <t>2023-07-28 14:30:46.843 | [First_Example] Excel responding at Paste curr time... (callCalc = True)</t>
  </si>
  <si>
    <t>2023-07-28 14:30:47.002 | [First_Example] end Paste curr time (millis = 488)</t>
  </si>
  <si>
    <t>2023-07-28 14:30:47.476 | [First_Example] start Show box on completion</t>
  </si>
  <si>
    <t>2023-07-28 14:30:47.694 | [First_Example] Excel responding at Show box on completion... (callCalc = True)</t>
  </si>
  <si>
    <t>2023-07-28 14:30:51.290 | [First_Example] end Show box on completion (millis = 3814)</t>
  </si>
  <si>
    <t>2023-07-28 14:30:51.764 | [First_Example] [END] Run script First_Example (millis = 21453)</t>
  </si>
  <si>
    <t>[exclude_self]</t>
  </si>
  <si>
    <t>If set to TRUE then the workbook will remain open if opened into an Excel instance that already has workbooks open (provided another open workbook does, itself, have a U.ISOLATE_WORKBOOK call)</t>
  </si>
  <si>
    <t>If present, new workbooks opened in the Excel instance will automatically be closed and reopened in a new Excel instance.
Also by default the workbook will be relaunched in a new Excel instance if opened into an instance that already contains workbooks.</t>
  </si>
  <si>
    <t>not(B*)</t>
  </si>
  <si>
    <t>The name used to retrieve the data from the cache. If not provided, a unique ID is assigned and returned, in which case the cache will be a "read-once" cache and the data will be removed from the cache once the unique key is used. Set as "set_name(&lt;cache key&gt;)" to have an Excel name equal to the cache key applied to the calling cell</t>
  </si>
  <si>
    <t>set_name(Trades)</t>
  </si>
  <si>
    <t>=U.CACHE(B7:I20,M60)</t>
  </si>
  <si>
    <t>[quick_calc]</t>
  </si>
  <si>
    <t>If set to TRUE then some cleanup between calcs is skipped to speed up the profiling. This could lead to instability in some larger workbooks, resulting in the need to click Excel or press the Escape key after the profiling completes for Excel to become interactive again. Default is FALSE</t>
  </si>
  <si>
    <t>convert(&lt;to&gt;,&lt;from&gt;,&lt;fail_val&gt;,&lt;param_1&gt;,&lt;param_2&gt;,&lt;param_3&gt;)</t>
  </si>
  <si>
    <t>Returns the result of calling the specified compiled function with the specified parameters</t>
  </si>
  <si>
    <t>&lt;compiled_func&gt;(&lt;param1&gt;,…)</t>
  </si>
  <si>
    <t>config(trim,labels)</t>
  </si>
  <si>
    <t>If workbook name is specified, report will contain a 2nd column with saved settings for specified workbook.
If a wildcard is included then settings of matching workbooks are returned; If TRUE then settings for calling workbook is returned. File extension must be included when specifying a workbook name</t>
  </si>
  <si>
    <t>Rotated 90 Degrees</t>
  </si>
  <si>
    <t>[add_count]</t>
  </si>
  <si>
    <t>If set to TRUE then only columns explicitly specified as a key column, a column to sum, or a column to average
By default all columns in the data range are returned</t>
  </si>
  <si>
    <t>If set to TRUE then a column labeled "Num Aggregated" is appended to the result that indicates how many rows were aggregated into that result row</t>
  </si>
  <si>
    <t>Set to specify the size of calculated ranges. Supported values are "WORKSHEET", "REGION", "FORMULA" and "CELL". Default is "FORMULA". Or set to "REPORTS" to see a report of cached profile reports previously run, "CLEAR" to clear all previous profile reports from the cache, or "STOP" to stop a profiling session running in another Excel instance</t>
  </si>
  <si>
    <t>Set to TRUE to have the table's column labels, if any exist, persisted in the top-left portion of the grid. Provide TRUE/FALSE values in a 2-column array to set independently for row labels and column labels</t>
  </si>
  <si>
    <t>Set to TRUE to prevent the grid being sorted vertically by row labels and horizontally by column labels. Provide TRUE/FALSE values in a 2-column array to set independently for row sorting and column sorting. Use -1 for descending sort</t>
  </si>
  <si>
    <t>Column Aggregations</t>
  </si>
  <si>
    <t>sum(Shift Total)</t>
  </si>
  <si>
    <t>mean(Shift Avg, true)</t>
  </si>
  <si>
    <t>The labels or indexes of columns to use as the basis for aggregation. Rows containing identical values in key_columns are aggregated. Set to FALSE to indicate no key columns exist so all rows should be aggregated.
If not set, the leftmost non-numeric columns are used as key columns</t>
  </si>
  <si>
    <t>The labels or indexes of columns whose values should be averaged in aggregations, optionally with the labels or indexes of columns whose values should be used as averaging weights. If the 2nd parameter is FALSE, set to "*" to always treat the 1st row as values instead of labels.</t>
  </si>
  <si>
    <t>The labels or indexes of columns whose values should be summed in aggregations. If the 2nd parameter is FALSE, set to "*" to always treat the 1st row as values instead of labels.
If not set then any all-numeric columns are summed in aggregations</t>
  </si>
  <si>
    <t>=IF(B235,U.SEND_EMAIL(…),"do not send")</t>
  </si>
  <si>
    <t>The values to paste into the target range. Default is blanks if not provided.
Do not provide any value if setting the 4th paramter to "calc()"</t>
  </si>
  <si>
    <t>If set, these values will be copied to the target range some number of seconds after the workbook first calcs after opening (values in 2nd parameter still copied immediately at open). A default delay of 3 seconds is used unless otherwise specified. If set to the special value "calc()" and no value is included in the 2nd parameter, then the target is recalculated</t>
  </si>
  <si>
    <t>If set then input will not be split on any delimiters that reside between specified closure characters; if only a single character provided then it is both opening and closing of closure. Provide a 2nd cell containing TRUE to have closure chars removed from result, and a 3rd cell to remove them if they exist but were not necessary because a value did not contain a delimiter. No closures are recognized by default.</t>
  </si>
  <si>
    <t>Defines a range whose data can be concurrently updated by multiple users and/or that will remain in sync with interactive UWeb content</t>
  </si>
  <si>
    <t>UWeb Reports</t>
  </si>
  <si>
    <t>Creates properly formatted metadata for prompting UWeb to convert cells with special values to interactive controls in a Web browser</t>
  </si>
  <si>
    <t>Creates properly formatted metadata for prompting UWeb to apply specified style to non-HTML reports when viewed in a browser</t>
  </si>
  <si>
    <t>Helper method used to create properly formatted metadata that will prompt UWeb to apply simple styling to non-HTML reports</t>
  </si>
  <si>
    <t>Helper method used to create properly formatted metadata that will prompt UWeb to notice and interpret special HTML control values that cause interactive Web controls to be rendered</t>
  </si>
  <si>
    <t>Helper method used to create Web control indicator that will prompt UWeb to render an interactive checkbox in the indicated report cell</t>
  </si>
  <si>
    <t>Helper method used to create Web control indicator that will prompt UWeb to render an interactive textarea in the indicated report cell</t>
  </si>
  <si>
    <t>Helper method used to create Web control indicator that will prompt UWeb to render an interactive button in the indicated report cell</t>
  </si>
  <si>
    <t>Helper method used to create Web control indicator that will prompt UWeb to render an interactive dropdown in the indicated report cell</t>
  </si>
  <si>
    <t>Helper method used to create Web control indicator that will prompt UWeb to render an interactive date picker (calendar) in the indicated report cell. Supports having a time picker included or showing only a time picker</t>
  </si>
  <si>
    <t>Helper method used to create Web control indicator that will prompt UWeb to render a hyperlink in the indicated report cell</t>
  </si>
  <si>
    <t>Helper method used to create Web control indicator that will prompt UWeb to display a tooltip when the cursor hovers over the cell content</t>
  </si>
  <si>
    <t>Helper method used to create HTML control indicator that will prompt UWeb to render an interactive checkbox in the indicated report cell</t>
  </si>
  <si>
    <t>Returns the current authentication status: TRUE if successfully authenticated, FALSE if not.
Optionally takes a token that will be used for manual authentication. Tokens can be generated in UWeb.</t>
  </si>
  <si>
    <t>Publishes specified report to the U Server</t>
  </si>
  <si>
    <t>Subscribes to notifications of report updates from U Server</t>
  </si>
  <si>
    <t>Returns a unique string that U methods can interpret as an Excel range reference to enable multi-sheet referencing</t>
  </si>
  <si>
    <t>Configures U to backup all workbooks on a specified or default backup schedule even if they do not contain the method U.BACKUP_WORKBOOK(…)</t>
  </si>
  <si>
    <t>Counts the number of calls to U functions and caches a report of the counts</t>
  </si>
  <si>
    <t>Sets metadata that prompts U to capture a dated snapshot of the report being published</t>
  </si>
  <si>
    <t>Subscribes to notifications of report updates from U Server and retrieves the data content of the specified report in a single call</t>
  </si>
  <si>
    <t>Returns info about where to find example sheets (like this one) and whom to email for assistance using U</t>
  </si>
  <si>
    <t>Returns the default Entity used by U to create topics</t>
  </si>
  <si>
    <t>Returns the hostname and port of the of the U HubServer to which the U Add-In is currently connected</t>
  </si>
  <si>
    <t>Returns the directory where the U Add-In is looking for its config files</t>
  </si>
  <si>
    <t>Returns the version of the U Add-In loaded by the current instance of Excel; also enables on-demand checks for add-in updates by launching updater app</t>
  </si>
  <si>
    <t>Writes provided message to the standard U log file</t>
  </si>
  <si>
    <t>Collection of key/value pairs that can be used to annotate the report; can be selected from multiple ranges. Certain metadata entries are recognized by the U AddIn and/or server and are used to control various bits of functionality</t>
  </si>
  <si>
    <t>Manually sets internal flag that prompts U to capture an HTML version of the published range in addition to the raw data in the range</t>
  </si>
  <si>
    <t>Enables the concurrent updating of a report by multiple users. Users can be other users of the U Add-In for Excel, users of UWeb and/or custom programs connected via an U API</t>
  </si>
  <si>
    <t>Manually sets internal flag that prompts U to round numeric values to a specified precision before publishing a report</t>
  </si>
  <si>
    <t>Applies a publish throttle to all U publishes within the Excel instance.
Deleting the method will remove any applied publish throttling</t>
  </si>
  <si>
    <t>U</t>
  </si>
  <si>
    <t>Collection of key/value pairs that can be used to annotate the request.
Certain metadata entries are recognized by the U AddIn and/or server and are used to control various bits of functionality</t>
  </si>
  <si>
    <t>Used to refresh on report in the U Add-In's cache with the most recent version available</t>
  </si>
  <si>
    <t>The password required to send emails using specified email address.
If not provided then U will attempt to send using Exchange Web Services ("EWS") and default credentials of logged on user</t>
  </si>
  <si>
    <t>Returns the result of calling the U method U.CONVERT with the specified parameters</t>
  </si>
  <si>
    <t>Returns one or more unique identifiers that U methods can convert into an Excel range reference. This method enables having a multi-range parameter refer to different sheets in the workbook, which is otherwise not supported by Excel</t>
  </si>
  <si>
    <t>The next range for which a unique identifier will be returned. If set to TRUE then the result is returned as an Excel reference instead of as an U range identifier suitable for use in native Excel methods</t>
  </si>
  <si>
    <t>If set to TRUE then an U topic provided as an input will be parsed directly instead of the parse logic being applied to the report data associated with the topic</t>
  </si>
  <si>
    <t>location of U Add-In</t>
  </si>
  <si>
    <t>location of U config files</t>
  </si>
  <si>
    <t>location of U log files</t>
  </si>
  <si>
    <t>a temp folder created by U and used by certain features</t>
  </si>
  <si>
    <t>If the desire is to cache only one or a few pages from a multi-page U report, specify the pages to be cached with a filter. For example a filter of "1,3-5,8" would cache pages 1,3,4,5 and 8 of the specified report</t>
  </si>
  <si>
    <t>When present in a workbook all calls to U methods are counted and timed and the info is cached</t>
  </si>
  <si>
    <t>U_UsageExamples.xlsx</t>
  </si>
  <si>
    <t>Creates a user-defined function written in C# or Python that can be called with U.INVOKE, by using the invoke() column function in U functions that support it (U.VAGGREGATE, U.TABLE_TO_GRID and U.REPLACE) or by using Invoke(&lt;function name&gt;, &lt;parameters&gt;) within another compiled function</t>
  </si>
  <si>
    <t>Returns the default entity used to create U topics.
Always recalculates once when workbook is opened</t>
  </si>
  <si>
    <t>Returns the host:port of the U HubServer.
Always recalculates once when workbook is opened</t>
  </si>
  <si>
    <t>Returns the directory where U config files are located.
Always recalculates once when workbook is opened</t>
  </si>
  <si>
    <t>Returns the version of the U Add-In loaded or launches the add-in updater app.
Recalculates automatically when workbook is opened if parameter not set.
Supports returning a report with additional information about Excel and .NET</t>
  </si>
  <si>
    <t>Returns a report with basic info about where to seek help with using U</t>
  </si>
  <si>
    <t>Allows user to set and returns the current Excel instance and/or machine-wide RTD throttle in milliseconds. Also allows user to set a throttle that will slow only the receipt of U reports in the current Excel instance</t>
  </si>
  <si>
    <t>If set to TRUE then the specified throttle will be applied only to the receipt of U reports in the current instance only. If explicitly set to FALSE then Excel's default RTD throttle is updated in the Windows registry</t>
  </si>
  <si>
    <t>The message to be written to the U log file</t>
  </si>
  <si>
    <t>Saves the a user's Runline credentials to an encrypted, user-specific file to enable authentication in environments where Active Directory is not used; also saves creds for Web resources</t>
  </si>
  <si>
    <t>runline</t>
  </si>
  <si>
    <t>https://www.runline.com</t>
  </si>
  <si>
    <t>u</t>
  </si>
  <si>
    <t>The directory to open, or file whose directory will be opened. If not specified, directory of current workbook is opened. The same special values supported for U.OPEN_DIRECTORY are supported here</t>
  </si>
  <si>
    <t>The directory to open, or file whose directory will be opened. If not specified, directory of current workbook is opened. Various special values are supported that represent common folders as noted in the info to the left</t>
  </si>
  <si>
    <t>U.REPORT_SECRET</t>
  </si>
  <si>
    <t>U.REPORT_SECRET_SOURCE</t>
  </si>
  <si>
    <t>RUNLINE/DESK3/PNL</t>
  </si>
  <si>
    <t>Sends text with selected data and any specified attachments to specified recipients.
Up to 10 text messages per machine is supported using default Runline SMS account.
Runline does not have access to content of messages sent via default account</t>
  </si>
  <si>
    <t>If multiple custom Twilio accounts are configured, indicates the account from which text message will be sent. If a single custom account is configured that will be used, otherwise default Runline account is used.
An additional cell can include "alpha" or "short" to indicate that an associated Alphanumeric Sender ID or Short Code, respectively, should be used to send the message</t>
  </si>
  <si>
    <t>configured top directory for data exported from workbooks (typically C:\Runline\Data\)</t>
  </si>
  <si>
    <t>Runline Menu Example</t>
  </si>
  <si>
    <t>The tab on which controls will appear ("Runline Menu Example" in this example); typically extracted from other controls, so explicit entry with Type = "tab" not needed unless desire to set a custom Keytip for tab</t>
  </si>
  <si>
    <t>The top-level directly in which a workbook-specific subdirectory with backups will be saved.
Default is C:\Runline\Backups if not provided</t>
  </si>
  <si>
    <t>*note: while the secret-based security described below will suffice in many contexts, Runline plans to implement identity-based security in the future</t>
  </si>
  <si>
    <t>Persists the Runline login password for the current Windows user to an encrypted, user-specific local file. Used in environments where Active Directory is not deployed.
Also persists credentials for non-Runline resources such as FTP sites</t>
  </si>
  <si>
    <t>An optional parameter that can be used to save the user credentials for a non-default Runline environment or for a Web resource such as an FTP URL.
Set to TRUE to retrieve report of credentials set (passwords and keys not displayed)</t>
  </si>
  <si>
    <t>If set, then this username is used instead of the logged-in Windows user.
Not meaningful for Runline resources, which always use the Windows username</t>
  </si>
  <si>
    <t>When provided, deep logging is limited to messages containing Runline report topics containing one of the specified filters</t>
  </si>
  <si>
    <t>Writes the provided message to the standard U log file.
By default, log files are located in C:\Runline\Logs\U\ directory</t>
  </si>
  <si>
    <t>The names, types descriptions and default values of any parameters. Up to 20 parameters supported.
Parameter names cannot start with "U_", "U.", "RUNLINE." or "RUNLINE_" and the parameter name "invoke_config" is reserved</t>
  </si>
  <si>
    <t>www.runline.com</t>
  </si>
  <si>
    <t>Additional metadata to be applied to report being published. If specified, this metadata is combined with the pub_and_paste metadata into a single list of metadata entries</t>
  </si>
  <si>
    <t>The maximum number of times the event will fire. An optional 2nd column value can be used to specify how many events are skipped before the event fires for the first time. An optional 3rd column value can specify how many checks to ignore after opening the workbook. Default is unlimited firing with no skipped events or checks.</t>
  </si>
  <si>
    <t>Email addresses to which email will be sent.
Addresses can be in distinct cells and/or separated by a comma, colon, blank space or newline.
Set to TRUE to have a report with details of emails sent by the current process returned</t>
  </si>
  <si>
    <t>=U.SAVE_EMAIL_CONFIG(C52,C53,C54,C55,C56,C57)</t>
  </si>
  <si>
    <t>If the report range is an Excel table, set this parameter to TRUE otherwise it will be converted into a regular Excel range. Setting the value to 2 will preserve Excel tables, but will paste values as a block which could cause Excel to paste values incorrectly if filters are applied to the table.</t>
  </si>
  <si>
    <t>Range (or ranges) to be synchronized with other specified ranges. Hard-code TRUE as value in formula if any range is an Excel table to prevent it from being converted to a normal Excel range. Setting the value to 2 will preserve Excel tables, but will paste values as a block which could cause Excel to paste values incorrectly if filters are applied to the table.</t>
  </si>
  <si>
    <t>Set to TRUE when data being pasted is ultimately sourced from the exact range receiving the pasted values. If not set to TRUE in this situation, then target may flicker due to multi-thread race conditions. Set to -1 for cell-by-cell pasting and -2 to only perform cell-by-cell paste if some rows are hidden</t>
  </si>
  <si>
    <t>If provided and a valid token an attempt will be made to authenticate with this token if the add-in is not already authenticated. Valid token can be acquired on UWeb. A previously saved token can be deleted by passing "delete" in this parameter.</t>
  </si>
  <si>
    <t>r1_c1</t>
  </si>
  <si>
    <t>r1_c2</t>
  </si>
  <si>
    <t>r1_c3</t>
  </si>
  <si>
    <t>r1_c4</t>
  </si>
  <si>
    <t>r2_c1</t>
  </si>
  <si>
    <t>r2_c2</t>
  </si>
  <si>
    <t>r2_c3</t>
  </si>
  <si>
    <t>r2_c4</t>
  </si>
  <si>
    <t>r3_c1</t>
  </si>
  <si>
    <t>r3_c2</t>
  </si>
  <si>
    <t>r3_c3</t>
  </si>
  <si>
    <t>r3_c4</t>
  </si>
  <si>
    <t>r4_c1</t>
  </si>
  <si>
    <t>r4_c2</t>
  </si>
  <si>
    <t>r4_c3</t>
  </si>
  <si>
    <t>r4_c4</t>
  </si>
  <si>
    <t>r5_c1</t>
  </si>
  <si>
    <t>r5_c2</t>
  </si>
  <si>
    <t>r5_c3</t>
  </si>
  <si>
    <t>r5_c4</t>
  </si>
  <si>
    <t>Hello. Thank you for using U by Runline, and have a great day.</t>
  </si>
  <si>
    <t>=U.SET_OPEN_VALS(B235,FALSE)</t>
  </si>
  <si>
    <t>The range whose values will be incremented. If only a valid topic or cache key is provided, then pages of that report will be used. To have a topic or cache key pasted instead of its underlying data, prefix the topic or cache key with [IGNORE_CACHE]</t>
  </si>
  <si>
    <t>If set to TRUE(/FALSE) then autosubscribe of topic is enabled(/disabled) when Excel launches. Set to 32 (or 86) to enable for only 32-bit Excel, or 64 to enable for only 64-bit Excel. Only function channel topics supported. If set to TRUE and all other parameters are empty a report of auto-subscribe topics is returned. Also enables a non-RTD update mechanism.</t>
  </si>
  <si>
    <t>DELL</t>
  </si>
  <si>
    <t>Gamma</t>
  </si>
  <si>
    <t>If set to TRUE then all rows in the data range that match a row of lookup values are returned.
By default lookup values match with only the first matching data row.
Include "above(n)" and/or "below(n)" to have n rows above and/or below the match included in the result</t>
  </si>
  <si>
    <t>UPTICK/DESK2/EQ_POSITIONS | 2026-02-18 12:19:25.834</t>
  </si>
  <si>
    <t>symbol,or()</t>
  </si>
  <si>
    <t>A*</t>
  </si>
  <si>
    <t>*_B</t>
  </si>
  <si>
    <t>quantity,or(1)</t>
  </si>
  <si>
    <t>broker,or()</t>
  </si>
  <si>
    <t>or(1),p&amp;l</t>
  </si>
  <si>
    <t>If set to a positive number then the Excel instance in which the workbook is launched will be set to manual calc mode for the specified number of seconds then switched to auto calc mode. If a negative number, then after that number of seconds the instance is calculated but not changed to auto calc mode. If a 2nd number is provided in a 2nd column, the launches themselves will be staggered by that number of seconds.</t>
  </si>
  <si>
    <t>The color of the border as color name or comma-delimited or RxGyBz RGB vals</t>
  </si>
  <si>
    <t>The forecolor of the image as color name or comma-delimited or RxGyBz RGB vals</t>
  </si>
  <si>
    <t>The forecolor of chart area as color name or comma-delimited or RxGyBz RGB vals</t>
  </si>
  <si>
    <t>The forecolor of chart plot area as color name or comma-delimited or RxGyBz RGB vals</t>
  </si>
  <si>
    <t>The color of the text in the image as color name or comma-delimited or RxGyBz RGB vals</t>
  </si>
  <si>
    <t>The backcolor of the image as color name or comma-delimited or RxGyBz RGB vals</t>
  </si>
  <si>
    <t>The color of the shadow as color name or comma-delimited or RxGyBz RGB 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</si>
</sst>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6" formatCode="&quot;$&quot;#,##0_);[Red]\(&quot;$&quot;#,##0\)"/>
    <numFmt numFmtId="44" formatCode="_(&quot;$&quot;* #,##0.00_);_(&quot;$&quot;* \(#,##0.00\);_(&quot;$&quot;* &quot;-&quot;??_);_(@_)"/>
    <numFmt numFmtId="43" formatCode="_(* #,##0.00_);_(* \(#,##0.00\);_(* &quot;-&quot;??_);_(@_)"/>
    <numFmt numFmtId="164" formatCode="_(* #,##0_);_(* \(#,##0\);_(* &quot;-&quot;??_);_(@_)"/>
    <numFmt numFmtId="165" formatCode="[$-F400]h:mm:ss\ AM/PM"/>
    <numFmt numFmtId="166" formatCode="[$-409]h:mm\ AM/PM;@"/>
    <numFmt numFmtId="167" formatCode="[$-409]h:mm:ss\ AM/PM;@"/>
    <numFmt numFmtId="168" formatCode="mm/dd/yy;@"/>
    <numFmt numFmtId="169" formatCode="[$-409]m/d/yy\ h:mm\ AM/PM;@"/>
    <numFmt numFmtId="170" formatCode="m/d/yy;@"/>
    <numFmt numFmtId="171" formatCode="_(* #,##0.0000_);_(* \(#,##0.0000\);_(* &quot;-&quot;??_);_(@_)"/>
    <numFmt numFmtId="172" formatCode="[$-409]m/d/yy\ h:mm:ss\ AM/PM;@"/>
    <numFmt numFmtId="173" formatCode="_(&quot;$&quot;* #,##0_);_(&quot;$&quot;* \(#,##0\);_(&quot;$&quot;* &quot;-&quot;??_);_(@_)"/>
    <numFmt numFmtId="174" formatCode="_(* #,##0.00000_);_(* \(#,##0.00000\);_(* &quot;-&quot;??_);_(@_)"/>
    <numFmt numFmtId="175" formatCode="0.000000E+00"/>
    <numFmt numFmtId="176" formatCode="_(* #,##0.0_);_(* \(#,##0.0\);_(* &quot;-&quot;??_);_(@_)"/>
    <numFmt numFmtId="177" formatCode="_(* #,##0.000_);_(* \(#,##0.000\);_(* &quot;-&quot;??_);_(@_)"/>
  </numFmts>
  <fonts count="4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9"/>
      <color indexed="81"/>
      <name val="Tahoma"/>
      <family val="2"/>
    </font>
    <font>
      <b/>
      <sz val="24"/>
      <color theme="1"/>
      <name val="Calibri"/>
      <family val="2"/>
      <scheme val="minor"/>
    </font>
    <font>
      <sz val="11"/>
      <color theme="8" tint="-0.249977111117893"/>
      <name val="Calibri"/>
      <family val="2"/>
      <scheme val="minor"/>
    </font>
    <font>
      <sz val="11"/>
      <color theme="0"/>
      <name val="Calibri"/>
      <family val="2"/>
      <scheme val="minor"/>
    </font>
    <font>
      <i/>
      <sz val="11"/>
      <color theme="1"/>
      <name val="Calibri"/>
      <family val="2"/>
      <scheme val="minor"/>
    </font>
    <font>
      <sz val="11"/>
      <name val="Calibri"/>
      <family val="2"/>
      <scheme val="minor"/>
    </font>
    <font>
      <b/>
      <sz val="11"/>
      <name val="Calibri"/>
      <family val="2"/>
      <scheme val="minor"/>
    </font>
    <font>
      <b/>
      <u/>
      <sz val="9"/>
      <color indexed="81"/>
      <name val="Tahoma"/>
      <family val="2"/>
    </font>
    <font>
      <sz val="11"/>
      <color theme="4" tint="-0.249977111117893"/>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8" tint="-0.249977111117893"/>
      <name val="Calibri"/>
      <family val="2"/>
      <scheme val="minor"/>
    </font>
    <font>
      <b/>
      <sz val="11"/>
      <color rgb="FFFF0000"/>
      <name val="Calibri"/>
      <family val="2"/>
      <scheme val="minor"/>
    </font>
    <font>
      <b/>
      <i/>
      <sz val="11"/>
      <color theme="1"/>
      <name val="Calibri"/>
      <family val="2"/>
      <scheme val="minor"/>
    </font>
    <font>
      <i/>
      <sz val="11"/>
      <color theme="8" tint="-0.249977111117893"/>
      <name val="Calibri"/>
      <family val="2"/>
      <scheme val="minor"/>
    </font>
    <font>
      <sz val="11"/>
      <color theme="8" tint="-0.249977111117893"/>
      <name val="Calibri"/>
      <family val="2"/>
    </font>
    <font>
      <u/>
      <sz val="11"/>
      <color theme="8" tint="-0.249977111117893"/>
      <name val="Calibri"/>
      <family val="2"/>
      <scheme val="minor"/>
    </font>
    <font>
      <u/>
      <sz val="11"/>
      <color theme="1"/>
      <name val="Calibri"/>
      <family val="2"/>
      <scheme val="minor"/>
    </font>
    <font>
      <sz val="11"/>
      <color rgb="FF0070C0"/>
      <name val="Calibri"/>
      <family val="2"/>
      <scheme val="minor"/>
    </font>
    <font>
      <sz val="8"/>
      <color theme="8" tint="-0.249977111117893"/>
      <name val="Courier New"/>
      <family val="3"/>
    </font>
    <font>
      <sz val="8"/>
      <color theme="1" tint="0.499984740745262"/>
      <name val="Courier New"/>
      <family val="3"/>
    </font>
    <font>
      <sz val="11"/>
      <color theme="9" tint="-0.249977111117893"/>
      <name val="Calibri"/>
      <family val="2"/>
      <scheme val="minor"/>
    </font>
    <font>
      <b/>
      <i/>
      <sz val="11"/>
      <color rgb="FFFF0000"/>
      <name val="Courier New"/>
      <family val="3"/>
    </font>
    <font>
      <i/>
      <u/>
      <sz val="11"/>
      <color rgb="FFFF0000"/>
      <name val="Calibri"/>
      <family val="2"/>
      <scheme val="minor"/>
    </font>
    <font>
      <sz val="11"/>
      <color rgb="FF000000"/>
      <name val="Calibri"/>
      <family val="2"/>
      <scheme val="minor"/>
    </font>
    <font>
      <i/>
      <u/>
      <sz val="11"/>
      <color rgb="FF000000"/>
      <name val="Calibri"/>
      <family val="2"/>
      <scheme val="minor"/>
    </font>
    <font>
      <b/>
      <sz val="11"/>
      <color rgb="FF000000"/>
      <name val="Calibri"/>
      <family val="2"/>
      <scheme val="minor"/>
    </font>
    <font>
      <sz val="11"/>
      <color rgb="FFD3D3D3"/>
      <name val="Calibri"/>
      <family val="2"/>
      <scheme val="minor"/>
    </font>
    <font>
      <sz val="11"/>
      <color rgb="FF800080"/>
      <name val="Calibri"/>
      <family val="2"/>
      <scheme val="minor"/>
    </font>
    <font>
      <b/>
      <sz val="12"/>
      <color indexed="55"/>
      <name val="Times New Roman"/>
      <family val="1"/>
    </font>
    <font>
      <b/>
      <sz val="12"/>
      <color indexed="10"/>
      <name val="Times New Roman"/>
      <family val="1"/>
    </font>
  </fonts>
  <fills count="63">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7575"/>
        <bgColor indexed="64"/>
      </patternFill>
    </fill>
    <fill>
      <patternFill patternType="solid">
        <fgColor theme="0" tint="-0.34998626667073579"/>
        <bgColor indexed="64"/>
      </patternFill>
    </fill>
    <fill>
      <patternFill patternType="solid">
        <fgColor rgb="FF00FF00"/>
        <bgColor indexed="64"/>
      </patternFill>
    </fill>
    <fill>
      <patternFill patternType="solid">
        <fgColor rgb="FFFF0000"/>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E7C6E"/>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1" tint="0.249977111117893"/>
        <bgColor indexed="64"/>
      </patternFill>
    </fill>
    <fill>
      <patternFill patternType="solid">
        <fgColor rgb="FFFFFFFF"/>
        <bgColor indexed="64"/>
      </patternFill>
    </fill>
    <fill>
      <patternFill patternType="solid">
        <fgColor rgb="FFC4BF00"/>
        <bgColor indexed="64"/>
      </patternFill>
    </fill>
    <fill>
      <patternFill patternType="solid">
        <fgColor theme="7" tint="0.79998168889431442"/>
        <bgColor indexed="64"/>
      </patternFill>
    </fill>
    <fill>
      <patternFill patternType="solid">
        <fgColor theme="9" tint="0.5999938962981048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6">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13" fillId="0" borderId="0" applyNumberFormat="0" applyFill="0" applyBorder="0" applyAlignment="0" applyProtection="0"/>
    <xf numFmtId="0" fontId="14" fillId="0" borderId="34" applyNumberFormat="0" applyFill="0" applyAlignment="0" applyProtection="0"/>
    <xf numFmtId="0" fontId="15" fillId="0" borderId="35" applyNumberFormat="0" applyFill="0" applyAlignment="0" applyProtection="0"/>
    <xf numFmtId="0" fontId="16" fillId="0" borderId="36" applyNumberFormat="0" applyFill="0" applyAlignment="0" applyProtection="0"/>
    <xf numFmtId="0" fontId="16" fillId="0" borderId="0" applyNumberFormat="0" applyFill="0" applyBorder="0" applyAlignment="0" applyProtection="0"/>
    <xf numFmtId="0" fontId="17" fillId="15" borderId="0" applyNumberFormat="0" applyBorder="0" applyAlignment="0" applyProtection="0"/>
    <xf numFmtId="0" fontId="18" fillId="16" borderId="0" applyNumberFormat="0" applyBorder="0" applyAlignment="0" applyProtection="0"/>
    <xf numFmtId="0" fontId="19" fillId="17" borderId="0" applyNumberFormat="0" applyBorder="0" applyAlignment="0" applyProtection="0"/>
    <xf numFmtId="0" fontId="20" fillId="18" borderId="37" applyNumberFormat="0" applyAlignment="0" applyProtection="0"/>
    <xf numFmtId="0" fontId="21" fillId="19" borderId="38" applyNumberFormat="0" applyAlignment="0" applyProtection="0"/>
    <xf numFmtId="0" fontId="22" fillId="19" borderId="37" applyNumberFormat="0" applyAlignment="0" applyProtection="0"/>
    <xf numFmtId="0" fontId="23" fillId="0" borderId="39" applyNumberFormat="0" applyFill="0" applyAlignment="0" applyProtection="0"/>
    <xf numFmtId="0" fontId="24" fillId="20" borderId="40" applyNumberFormat="0" applyAlignment="0" applyProtection="0"/>
    <xf numFmtId="0" fontId="25" fillId="0" borderId="0" applyNumberFormat="0" applyFill="0" applyBorder="0" applyAlignment="0" applyProtection="0"/>
    <xf numFmtId="0" fontId="1" fillId="21" borderId="41" applyNumberFormat="0" applyFont="0" applyAlignment="0" applyProtection="0"/>
    <xf numFmtId="0" fontId="26" fillId="0" borderId="0" applyNumberFormat="0" applyFill="0" applyBorder="0" applyAlignment="0" applyProtection="0"/>
    <xf numFmtId="0" fontId="2" fillId="0" borderId="42" applyNumberFormat="0" applyFill="0" applyAlignment="0" applyProtection="0"/>
    <xf numFmtId="0" fontId="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7" fillId="45" borderId="0" applyNumberFormat="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04">
    <xf numFmtId="0" fontId="0" fillId="0" borderId="0" xfId="0"/>
    <xf numFmtId="0" fontId="0" fillId="0" borderId="1" xfId="0" applyBorder="1"/>
    <xf numFmtId="0" fontId="2" fillId="4" borderId="1" xfId="0" applyFont="1" applyFill="1" applyBorder="1"/>
    <xf numFmtId="0" fontId="2" fillId="5" borderId="1" xfId="0" applyFont="1" applyFill="1" applyBorder="1"/>
    <xf numFmtId="164" fontId="0" fillId="0" borderId="1" xfId="1" applyNumberFormat="1" applyFont="1" applyBorder="1"/>
    <xf numFmtId="43" fontId="2" fillId="5" borderId="1" xfId="1" applyFont="1" applyFill="1" applyBorder="1"/>
    <xf numFmtId="165" fontId="0" fillId="6" borderId="1" xfId="0" applyNumberFormat="1" applyFill="1" applyBorder="1"/>
    <xf numFmtId="43" fontId="2" fillId="2" borderId="1" xfId="1" applyFont="1" applyFill="1" applyBorder="1"/>
    <xf numFmtId="0" fontId="5" fillId="3" borderId="2" xfId="0" applyFont="1" applyFill="1" applyBorder="1" applyAlignment="1">
      <alignment horizontal="center" vertical="center"/>
    </xf>
    <xf numFmtId="0" fontId="2" fillId="5" borderId="1" xfId="0" applyFont="1" applyFill="1" applyBorder="1" applyAlignment="1">
      <alignment horizontal="center"/>
    </xf>
    <xf numFmtId="0" fontId="0" fillId="8" borderId="1" xfId="0" applyFill="1" applyBorder="1"/>
    <xf numFmtId="164" fontId="0" fillId="8" borderId="1" xfId="1" applyNumberFormat="1" applyFont="1" applyFill="1" applyBorder="1"/>
    <xf numFmtId="0" fontId="2" fillId="6" borderId="1" xfId="0" applyFont="1" applyFill="1" applyBorder="1"/>
    <xf numFmtId="0" fontId="2" fillId="6" borderId="1" xfId="0" applyFont="1" applyFill="1" applyBorder="1" applyAlignment="1">
      <alignment horizontal="center"/>
    </xf>
    <xf numFmtId="165" fontId="0" fillId="8" borderId="1" xfId="0" applyNumberFormat="1" applyFill="1" applyBorder="1"/>
    <xf numFmtId="14" fontId="0" fillId="0" borderId="1" xfId="1" applyNumberFormat="1" applyFont="1" applyBorder="1"/>
    <xf numFmtId="0" fontId="0" fillId="10" borderId="7" xfId="0" applyFill="1" applyBorder="1"/>
    <xf numFmtId="0" fontId="0" fillId="10" borderId="14" xfId="0" applyFill="1" applyBorder="1"/>
    <xf numFmtId="0" fontId="0" fillId="10" borderId="9" xfId="0" applyFill="1" applyBorder="1"/>
    <xf numFmtId="0" fontId="0" fillId="10" borderId="8" xfId="0" applyFill="1" applyBorder="1"/>
    <xf numFmtId="0" fontId="0" fillId="10" borderId="10" xfId="0" applyFill="1" applyBorder="1"/>
    <xf numFmtId="0" fontId="0" fillId="10" borderId="0" xfId="0" applyFill="1"/>
    <xf numFmtId="0" fontId="0" fillId="10" borderId="11" xfId="0" applyFill="1" applyBorder="1"/>
    <xf numFmtId="0" fontId="0" fillId="10" borderId="12" xfId="0" applyFill="1" applyBorder="1"/>
    <xf numFmtId="0" fontId="0" fillId="10" borderId="13" xfId="0" applyFill="1" applyBorder="1"/>
    <xf numFmtId="0" fontId="5" fillId="10" borderId="0" xfId="0" applyFont="1" applyFill="1" applyAlignment="1">
      <alignment horizontal="center" vertical="center"/>
    </xf>
    <xf numFmtId="0" fontId="3" fillId="10" borderId="0" xfId="2" applyFill="1"/>
    <xf numFmtId="0" fontId="3" fillId="10" borderId="9" xfId="2" applyFill="1" applyBorder="1"/>
    <xf numFmtId="0" fontId="8" fillId="10" borderId="0" xfId="0" applyFont="1" applyFill="1"/>
    <xf numFmtId="0" fontId="8" fillId="10" borderId="7" xfId="0" applyFont="1" applyFill="1" applyBorder="1"/>
    <xf numFmtId="0" fontId="0" fillId="10" borderId="1" xfId="0" applyFill="1" applyBorder="1"/>
    <xf numFmtId="43" fontId="0" fillId="8" borderId="1" xfId="1" applyFont="1" applyFill="1" applyBorder="1"/>
    <xf numFmtId="0" fontId="2" fillId="12" borderId="1" xfId="0" applyFont="1" applyFill="1" applyBorder="1"/>
    <xf numFmtId="0" fontId="2" fillId="12" borderId="1" xfId="0" applyFont="1" applyFill="1" applyBorder="1" applyAlignment="1">
      <alignment horizontal="center"/>
    </xf>
    <xf numFmtId="43" fontId="0" fillId="0" borderId="1" xfId="1" applyFont="1" applyBorder="1"/>
    <xf numFmtId="43" fontId="0" fillId="10" borderId="1" xfId="1" applyFont="1" applyFill="1" applyBorder="1"/>
    <xf numFmtId="164" fontId="0" fillId="10" borderId="1" xfId="1" applyNumberFormat="1" applyFont="1" applyFill="1" applyBorder="1"/>
    <xf numFmtId="164" fontId="0" fillId="13" borderId="1" xfId="1" applyNumberFormat="1" applyFont="1" applyFill="1" applyBorder="1"/>
    <xf numFmtId="165" fontId="0" fillId="5" borderId="1" xfId="0" applyNumberFormat="1" applyFill="1" applyBorder="1"/>
    <xf numFmtId="0" fontId="0" fillId="0" borderId="1" xfId="0" applyBorder="1" applyProtection="1">
      <protection locked="0"/>
    </xf>
    <xf numFmtId="164" fontId="0" fillId="0" borderId="1" xfId="1" applyNumberFormat="1" applyFont="1" applyBorder="1" applyProtection="1">
      <protection locked="0"/>
    </xf>
    <xf numFmtId="43" fontId="0" fillId="0" borderId="1" xfId="1" applyFont="1" applyBorder="1" applyProtection="1">
      <protection locked="0"/>
    </xf>
    <xf numFmtId="0" fontId="6" fillId="0" borderId="1" xfId="0" applyFont="1" applyBorder="1" applyProtection="1">
      <protection locked="0"/>
    </xf>
    <xf numFmtId="164" fontId="6" fillId="8" borderId="1" xfId="1" applyNumberFormat="1" applyFont="1" applyFill="1" applyBorder="1" applyProtection="1">
      <protection locked="0"/>
    </xf>
    <xf numFmtId="164" fontId="6" fillId="0" borderId="1" xfId="1" applyNumberFormat="1" applyFont="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center"/>
      <protection locked="0"/>
    </xf>
    <xf numFmtId="0" fontId="0" fillId="5" borderId="1" xfId="0" applyFill="1" applyBorder="1"/>
    <xf numFmtId="0" fontId="0" fillId="11" borderId="1" xfId="0" applyFill="1" applyBorder="1" applyProtection="1">
      <protection locked="0"/>
    </xf>
    <xf numFmtId="0" fontId="2" fillId="14" borderId="1" xfId="0" applyFont="1" applyFill="1" applyBorder="1" applyProtection="1">
      <protection locked="0"/>
    </xf>
    <xf numFmtId="0" fontId="2" fillId="14" borderId="1" xfId="0" applyFont="1" applyFill="1" applyBorder="1" applyAlignment="1" applyProtection="1">
      <alignment horizontal="center"/>
      <protection locked="0"/>
    </xf>
    <xf numFmtId="164" fontId="0" fillId="11" borderId="1" xfId="1" applyNumberFormat="1" applyFont="1" applyFill="1" applyBorder="1" applyProtection="1">
      <protection locked="0"/>
    </xf>
    <xf numFmtId="0" fontId="10" fillId="0" borderId="18" xfId="0" applyFont="1" applyBorder="1" applyProtection="1">
      <protection locked="0"/>
    </xf>
    <xf numFmtId="0" fontId="10" fillId="0" borderId="17" xfId="0" applyFont="1" applyBorder="1" applyAlignment="1" applyProtection="1">
      <alignment horizontal="center"/>
      <protection locked="0"/>
    </xf>
    <xf numFmtId="0" fontId="9" fillId="0" borderId="4" xfId="0" applyFont="1" applyBorder="1" applyProtection="1">
      <protection locked="0"/>
    </xf>
    <xf numFmtId="43" fontId="9" fillId="0" borderId="3" xfId="1" applyFont="1" applyBorder="1" applyProtection="1">
      <protection locked="0"/>
    </xf>
    <xf numFmtId="0" fontId="9" fillId="0" borderId="15" xfId="0" applyFont="1" applyBorder="1" applyProtection="1">
      <protection locked="0"/>
    </xf>
    <xf numFmtId="43" fontId="9" fillId="0" borderId="16" xfId="1" applyFont="1" applyBorder="1" applyProtection="1">
      <protection locked="0"/>
    </xf>
    <xf numFmtId="0" fontId="2" fillId="4" borderId="3" xfId="0" applyFont="1" applyFill="1" applyBorder="1"/>
    <xf numFmtId="0" fontId="10" fillId="5" borderId="1" xfId="0" applyFont="1" applyFill="1" applyBorder="1" applyProtection="1">
      <protection locked="0"/>
    </xf>
    <xf numFmtId="0" fontId="10" fillId="5" borderId="1" xfId="0" applyFont="1" applyFill="1" applyBorder="1" applyAlignment="1" applyProtection="1">
      <alignment horizontal="center"/>
      <protection locked="0"/>
    </xf>
    <xf numFmtId="43" fontId="6" fillId="0" borderId="1" xfId="1" applyFont="1" applyBorder="1" applyProtection="1">
      <protection locked="0"/>
    </xf>
    <xf numFmtId="0" fontId="2" fillId="5" borderId="27"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5" fontId="6" fillId="0" borderId="1" xfId="1" applyNumberFormat="1" applyFont="1" applyBorder="1" applyProtection="1">
      <protection locked="0"/>
    </xf>
    <xf numFmtId="5" fontId="0" fillId="10" borderId="1" xfId="1" applyNumberFormat="1" applyFont="1" applyFill="1" applyBorder="1"/>
    <xf numFmtId="0" fontId="0" fillId="9" borderId="0" xfId="0" applyFill="1"/>
    <xf numFmtId="164" fontId="0" fillId="12" borderId="1" xfId="1" applyNumberFormat="1" applyFont="1" applyFill="1" applyBorder="1"/>
    <xf numFmtId="43" fontId="0" fillId="12" borderId="1" xfId="1" applyFont="1" applyFill="1" applyBorder="1"/>
    <xf numFmtId="5" fontId="0" fillId="12" borderId="1" xfId="1" applyNumberFormat="1" applyFont="1" applyFill="1" applyBorder="1"/>
    <xf numFmtId="165" fontId="9" fillId="10" borderId="1" xfId="0" applyNumberFormat="1" applyFont="1" applyFill="1" applyBorder="1"/>
    <xf numFmtId="5" fontId="0" fillId="0" borderId="1" xfId="1" applyNumberFormat="1" applyFont="1" applyBorder="1"/>
    <xf numFmtId="0" fontId="6" fillId="10" borderId="28" xfId="0" applyFont="1" applyFill="1" applyBorder="1" applyProtection="1">
      <protection locked="0"/>
    </xf>
    <xf numFmtId="0" fontId="6" fillId="10" borderId="22" xfId="0" applyFont="1" applyFill="1" applyBorder="1" applyProtection="1">
      <protection locked="0"/>
    </xf>
    <xf numFmtId="0" fontId="6" fillId="10" borderId="23" xfId="0" applyFont="1" applyFill="1" applyBorder="1" applyProtection="1">
      <protection locked="0"/>
    </xf>
    <xf numFmtId="0" fontId="6" fillId="10" borderId="29" xfId="0" applyFont="1" applyFill="1" applyBorder="1" applyProtection="1">
      <protection locked="0"/>
    </xf>
    <xf numFmtId="0" fontId="6" fillId="10" borderId="24" xfId="0" applyFont="1" applyFill="1" applyBorder="1" applyProtection="1">
      <protection locked="0"/>
    </xf>
    <xf numFmtId="0" fontId="6" fillId="10" borderId="25" xfId="0" applyFont="1" applyFill="1" applyBorder="1" applyProtection="1">
      <protection locked="0"/>
    </xf>
    <xf numFmtId="0" fontId="6" fillId="10" borderId="1" xfId="0" applyFont="1" applyFill="1" applyBorder="1" applyProtection="1">
      <protection locked="0"/>
    </xf>
    <xf numFmtId="164" fontId="6" fillId="10" borderId="1" xfId="1" applyNumberFormat="1" applyFont="1" applyFill="1" applyBorder="1" applyProtection="1">
      <protection locked="0"/>
    </xf>
    <xf numFmtId="43" fontId="6" fillId="10" borderId="1" xfId="1" applyFont="1" applyFill="1" applyBorder="1" applyProtection="1">
      <protection locked="0"/>
    </xf>
    <xf numFmtId="0" fontId="2" fillId="5" borderId="22" xfId="0" applyFont="1" applyFill="1" applyBorder="1" applyAlignment="1">
      <alignment horizontal="center"/>
    </xf>
    <xf numFmtId="0" fontId="2" fillId="5" borderId="23" xfId="0" applyFont="1" applyFill="1" applyBorder="1" applyAlignment="1">
      <alignment horizontal="center"/>
    </xf>
    <xf numFmtId="0" fontId="6" fillId="10" borderId="33" xfId="0" applyFont="1" applyFill="1" applyBorder="1" applyProtection="1">
      <protection locked="0"/>
    </xf>
    <xf numFmtId="0" fontId="2" fillId="2" borderId="1" xfId="0" applyFont="1" applyFill="1" applyBorder="1"/>
    <xf numFmtId="0" fontId="12" fillId="8" borderId="1" xfId="0" applyFont="1" applyFill="1" applyBorder="1" applyProtection="1">
      <protection locked="0"/>
    </xf>
    <xf numFmtId="165" fontId="0" fillId="5" borderId="1" xfId="0" quotePrefix="1" applyNumberFormat="1" applyFill="1" applyBorder="1"/>
    <xf numFmtId="11" fontId="0" fillId="46" borderId="1" xfId="0" applyNumberFormat="1" applyFill="1" applyBorder="1" applyProtection="1">
      <protection locked="0"/>
    </xf>
    <xf numFmtId="0" fontId="2" fillId="47" borderId="1" xfId="0" applyFont="1" applyFill="1" applyBorder="1"/>
    <xf numFmtId="0" fontId="0" fillId="5" borderId="1" xfId="0" applyFill="1" applyBorder="1" applyProtection="1">
      <protection locked="0"/>
    </xf>
    <xf numFmtId="0" fontId="2" fillId="4" borderId="4" xfId="0" applyFont="1" applyFill="1" applyBorder="1"/>
    <xf numFmtId="0" fontId="9" fillId="0" borderId="1" xfId="0" applyFont="1" applyBorder="1"/>
    <xf numFmtId="0" fontId="9" fillId="0" borderId="1" xfId="0" applyFont="1" applyBorder="1" applyProtection="1">
      <protection locked="0"/>
    </xf>
    <xf numFmtId="165" fontId="0" fillId="10" borderId="1" xfId="0" applyNumberFormat="1" applyFill="1" applyBorder="1"/>
    <xf numFmtId="0" fontId="0" fillId="10" borderId="1" xfId="0" applyFill="1" applyBorder="1" applyProtection="1">
      <protection locked="0"/>
    </xf>
    <xf numFmtId="165" fontId="0" fillId="10" borderId="1" xfId="0" applyNumberFormat="1" applyFill="1" applyBorder="1" applyProtection="1">
      <protection locked="0"/>
    </xf>
    <xf numFmtId="14" fontId="0" fillId="10" borderId="1" xfId="0" applyNumberFormat="1" applyFill="1" applyBorder="1"/>
    <xf numFmtId="166" fontId="6" fillId="0" borderId="1" xfId="0" applyNumberFormat="1" applyFont="1" applyBorder="1" applyProtection="1">
      <protection locked="0"/>
    </xf>
    <xf numFmtId="165" fontId="0" fillId="10" borderId="0" xfId="0" applyNumberFormat="1" applyFill="1"/>
    <xf numFmtId="14" fontId="0" fillId="10" borderId="1" xfId="0" quotePrefix="1" applyNumberFormat="1" applyFill="1" applyBorder="1"/>
    <xf numFmtId="0" fontId="2" fillId="4" borderId="1" xfId="0" applyFont="1" applyFill="1" applyBorder="1" applyAlignment="1">
      <alignment horizontal="center"/>
    </xf>
    <xf numFmtId="0" fontId="10" fillId="5" borderId="1" xfId="0" applyFont="1" applyFill="1" applyBorder="1"/>
    <xf numFmtId="0" fontId="10" fillId="5" borderId="1" xfId="0" applyFont="1" applyFill="1" applyBorder="1" applyAlignment="1">
      <alignment horizontal="center"/>
    </xf>
    <xf numFmtId="14" fontId="6" fillId="0" borderId="1" xfId="0" applyNumberFormat="1" applyFont="1" applyBorder="1" applyProtection="1">
      <protection locked="0"/>
    </xf>
    <xf numFmtId="0" fontId="2" fillId="5" borderId="1" xfId="0" quotePrefix="1" applyFont="1" applyFill="1" applyBorder="1" applyProtection="1">
      <protection locked="0"/>
    </xf>
    <xf numFmtId="0" fontId="0" fillId="10" borderId="0" xfId="0" quotePrefix="1" applyFill="1"/>
    <xf numFmtId="167" fontId="6" fillId="0" borderId="1" xfId="0" applyNumberFormat="1" applyFont="1" applyBorder="1" applyProtection="1">
      <protection locked="0"/>
    </xf>
    <xf numFmtId="167" fontId="0" fillId="5" borderId="1" xfId="0" applyNumberFormat="1" applyFill="1" applyBorder="1"/>
    <xf numFmtId="0" fontId="0" fillId="10" borderId="1" xfId="0" applyFill="1" applyBorder="1" applyAlignment="1">
      <alignment horizontal="center"/>
    </xf>
    <xf numFmtId="167" fontId="0" fillId="10" borderId="0" xfId="0" applyNumberFormat="1" applyFill="1"/>
    <xf numFmtId="164" fontId="0" fillId="5" borderId="1" xfId="1" applyNumberFormat="1" applyFont="1" applyFill="1" applyBorder="1"/>
    <xf numFmtId="0" fontId="0" fillId="10" borderId="19" xfId="0" applyFill="1" applyBorder="1"/>
    <xf numFmtId="0" fontId="0" fillId="10" borderId="4" xfId="0" applyFill="1" applyBorder="1"/>
    <xf numFmtId="44" fontId="6" fillId="0" borderId="1" xfId="44" applyFont="1" applyBorder="1" applyProtection="1">
      <protection locked="0"/>
    </xf>
    <xf numFmtId="0" fontId="6" fillId="5" borderId="1" xfId="0" applyFont="1" applyFill="1" applyBorder="1" applyProtection="1">
      <protection locked="0"/>
    </xf>
    <xf numFmtId="0" fontId="2" fillId="5" borderId="43" xfId="0" applyFont="1" applyFill="1" applyBorder="1" applyAlignment="1">
      <alignment horizontal="center"/>
    </xf>
    <xf numFmtId="14" fontId="0" fillId="10" borderId="0" xfId="0" quotePrefix="1" applyNumberFormat="1" applyFill="1"/>
    <xf numFmtId="168" fontId="0" fillId="10" borderId="0" xfId="0" applyNumberFormat="1" applyFill="1"/>
    <xf numFmtId="15" fontId="0" fillId="10" borderId="1" xfId="0" quotePrefix="1" applyNumberFormat="1" applyFill="1" applyBorder="1"/>
    <xf numFmtId="168" fontId="0" fillId="10" borderId="1" xfId="0" applyNumberFormat="1" applyFill="1" applyBorder="1"/>
    <xf numFmtId="15" fontId="0" fillId="10" borderId="1" xfId="0" applyNumberFormat="1" applyFill="1" applyBorder="1"/>
    <xf numFmtId="169" fontId="0" fillId="10" borderId="1" xfId="0" applyNumberFormat="1" applyFill="1" applyBorder="1"/>
    <xf numFmtId="169" fontId="0" fillId="10" borderId="0" xfId="0" applyNumberFormat="1" applyFill="1"/>
    <xf numFmtId="15" fontId="0" fillId="10" borderId="0" xfId="0" quotePrefix="1" applyNumberFormat="1" applyFill="1"/>
    <xf numFmtId="1" fontId="0" fillId="10" borderId="1" xfId="1" quotePrefix="1" applyNumberFormat="1" applyFont="1" applyFill="1" applyBorder="1"/>
    <xf numFmtId="0" fontId="8" fillId="0" borderId="0" xfId="0" quotePrefix="1" applyFont="1"/>
    <xf numFmtId="0" fontId="5" fillId="3" borderId="2" xfId="0" applyFont="1" applyFill="1" applyBorder="1" applyAlignment="1" applyProtection="1">
      <alignment horizontal="center" vertical="center"/>
      <protection locked="0"/>
    </xf>
    <xf numFmtId="0" fontId="8" fillId="10" borderId="7" xfId="0" applyFont="1" applyFill="1" applyBorder="1" applyProtection="1">
      <protection locked="0"/>
    </xf>
    <xf numFmtId="0" fontId="0" fillId="10" borderId="7" xfId="0" applyFill="1" applyBorder="1" applyProtection="1">
      <protection locked="0"/>
    </xf>
    <xf numFmtId="0" fontId="0" fillId="10" borderId="8" xfId="0" applyFill="1" applyBorder="1" applyProtection="1">
      <protection locked="0"/>
    </xf>
    <xf numFmtId="0" fontId="0" fillId="0" borderId="0" xfId="0" applyProtection="1">
      <protection locked="0"/>
    </xf>
    <xf numFmtId="0" fontId="0" fillId="10" borderId="9" xfId="0" applyFill="1" applyBorder="1" applyProtection="1">
      <protection locked="0"/>
    </xf>
    <xf numFmtId="0" fontId="5" fillId="10" borderId="0" xfId="0" applyFont="1" applyFill="1" applyAlignment="1" applyProtection="1">
      <alignment horizontal="center" vertical="center"/>
      <protection locked="0"/>
    </xf>
    <xf numFmtId="0" fontId="0" fillId="10" borderId="0" xfId="0" applyFill="1" applyProtection="1">
      <protection locked="0"/>
    </xf>
    <xf numFmtId="0" fontId="0" fillId="10" borderId="10" xfId="0" applyFill="1" applyBorder="1" applyProtection="1">
      <protection locked="0"/>
    </xf>
    <xf numFmtId="0" fontId="3" fillId="10" borderId="0" xfId="2" applyFill="1" applyProtection="1">
      <protection locked="0"/>
    </xf>
    <xf numFmtId="0" fontId="2" fillId="4" borderId="1" xfId="0" applyFont="1" applyFill="1" applyBorder="1" applyProtection="1">
      <protection locked="0"/>
    </xf>
    <xf numFmtId="0" fontId="2" fillId="4" borderId="4" xfId="0" applyFont="1" applyFill="1" applyBorder="1" applyProtection="1">
      <protection locked="0"/>
    </xf>
    <xf numFmtId="0" fontId="0" fillId="10" borderId="11" xfId="0" applyFill="1" applyBorder="1" applyProtection="1">
      <protection locked="0"/>
    </xf>
    <xf numFmtId="0" fontId="0" fillId="10" borderId="12" xfId="0" applyFill="1" applyBorder="1" applyProtection="1">
      <protection locked="0"/>
    </xf>
    <xf numFmtId="0" fontId="0" fillId="10" borderId="13" xfId="0" applyFill="1" applyBorder="1" applyProtection="1">
      <protection locked="0"/>
    </xf>
    <xf numFmtId="0" fontId="25" fillId="10" borderId="1" xfId="0" applyFont="1" applyFill="1" applyBorder="1"/>
    <xf numFmtId="0" fontId="25" fillId="10" borderId="19" xfId="0" applyFont="1" applyFill="1" applyBorder="1"/>
    <xf numFmtId="0" fontId="25" fillId="10" borderId="4" xfId="0" applyFont="1" applyFill="1" applyBorder="1"/>
    <xf numFmtId="0" fontId="2" fillId="4" borderId="48" xfId="0" applyFont="1" applyFill="1" applyBorder="1"/>
    <xf numFmtId="0" fontId="9" fillId="10" borderId="1" xfId="0" applyFont="1" applyFill="1" applyBorder="1" applyProtection="1">
      <protection locked="0"/>
    </xf>
    <xf numFmtId="0" fontId="2" fillId="48" borderId="1" xfId="0" applyFont="1" applyFill="1" applyBorder="1"/>
    <xf numFmtId="0" fontId="2" fillId="49" borderId="1" xfId="0" applyFont="1" applyFill="1" applyBorder="1"/>
    <xf numFmtId="0" fontId="2" fillId="50" borderId="1" xfId="0" applyFont="1" applyFill="1" applyBorder="1"/>
    <xf numFmtId="165" fontId="0" fillId="10" borderId="1" xfId="0" quotePrefix="1" applyNumberFormat="1" applyFill="1" applyBorder="1"/>
    <xf numFmtId="0" fontId="0" fillId="10" borderId="1" xfId="1" quotePrefix="1" applyNumberFormat="1" applyFont="1" applyFill="1" applyBorder="1"/>
    <xf numFmtId="0" fontId="0" fillId="10" borderId="1" xfId="0" quotePrefix="1" applyFill="1" applyBorder="1"/>
    <xf numFmtId="14" fontId="6" fillId="10" borderId="1" xfId="0" applyNumberFormat="1" applyFont="1" applyFill="1" applyBorder="1" applyProtection="1">
      <protection locked="0"/>
    </xf>
    <xf numFmtId="170" fontId="2" fillId="5" borderId="1" xfId="0" applyNumberFormat="1" applyFont="1" applyFill="1" applyBorder="1"/>
    <xf numFmtId="170" fontId="10" fillId="5" borderId="1" xfId="0" applyNumberFormat="1" applyFont="1" applyFill="1" applyBorder="1" applyAlignment="1" applyProtection="1">
      <alignment horizontal="center"/>
      <protection locked="0"/>
    </xf>
    <xf numFmtId="0" fontId="27" fillId="5" borderId="1" xfId="0" applyFont="1" applyFill="1" applyBorder="1"/>
    <xf numFmtId="170" fontId="27" fillId="5" borderId="1" xfId="0" applyNumberFormat="1" applyFont="1" applyFill="1" applyBorder="1"/>
    <xf numFmtId="0" fontId="0" fillId="10" borderId="1" xfId="0" quotePrefix="1" applyFill="1" applyBorder="1" applyAlignment="1">
      <alignment horizontal="center"/>
    </xf>
    <xf numFmtId="11" fontId="0" fillId="10" borderId="0" xfId="0" applyNumberFormat="1" applyFill="1"/>
    <xf numFmtId="0" fontId="0" fillId="5" borderId="0" xfId="0" applyFill="1"/>
    <xf numFmtId="0" fontId="0" fillId="10" borderId="1" xfId="1" applyNumberFormat="1" applyFont="1" applyFill="1" applyBorder="1"/>
    <xf numFmtId="1" fontId="0" fillId="10" borderId="1" xfId="1" applyNumberFormat="1" applyFont="1" applyFill="1" applyBorder="1"/>
    <xf numFmtId="0" fontId="2" fillId="5" borderId="43" xfId="0" applyFont="1" applyFill="1" applyBorder="1"/>
    <xf numFmtId="0" fontId="12" fillId="10" borderId="1" xfId="0" applyFont="1" applyFill="1" applyBorder="1"/>
    <xf numFmtId="0" fontId="3" fillId="10" borderId="1" xfId="2" applyFill="1" applyBorder="1"/>
    <xf numFmtId="0" fontId="12" fillId="10" borderId="1" xfId="0" quotePrefix="1" applyFont="1" applyFill="1" applyBorder="1"/>
    <xf numFmtId="0" fontId="12" fillId="0" borderId="1" xfId="0" quotePrefix="1" applyFont="1" applyBorder="1"/>
    <xf numFmtId="0" fontId="12" fillId="0" borderId="1" xfId="0" applyFont="1" applyBorder="1"/>
    <xf numFmtId="0" fontId="2" fillId="2" borderId="3" xfId="0" applyFont="1" applyFill="1" applyBorder="1"/>
    <xf numFmtId="14" fontId="2" fillId="2" borderId="1" xfId="0" quotePrefix="1" applyNumberFormat="1" applyFont="1" applyFill="1" applyBorder="1"/>
    <xf numFmtId="169" fontId="2" fillId="2" borderId="1" xfId="0" applyNumberFormat="1" applyFont="1" applyFill="1" applyBorder="1"/>
    <xf numFmtId="14" fontId="0" fillId="0" borderId="0" xfId="0" applyNumberFormat="1"/>
    <xf numFmtId="0" fontId="6" fillId="10" borderId="1" xfId="1" applyNumberFormat="1" applyFont="1" applyFill="1" applyBorder="1" applyProtection="1">
      <protection locked="0"/>
    </xf>
    <xf numFmtId="165" fontId="9" fillId="10" borderId="1" xfId="0" applyNumberFormat="1" applyFont="1" applyFill="1" applyBorder="1" applyProtection="1">
      <protection locked="0"/>
    </xf>
    <xf numFmtId="43" fontId="0" fillId="10" borderId="1" xfId="1" quotePrefix="1" applyFont="1" applyFill="1" applyBorder="1"/>
    <xf numFmtId="11" fontId="0" fillId="10" borderId="1" xfId="0" quotePrefix="1" applyNumberFormat="1" applyFill="1" applyBorder="1"/>
    <xf numFmtId="0" fontId="3" fillId="0" borderId="1" xfId="2" applyBorder="1" applyProtection="1">
      <protection locked="0"/>
    </xf>
    <xf numFmtId="165" fontId="0" fillId="0" borderId="1" xfId="0" applyNumberFormat="1" applyBorder="1"/>
    <xf numFmtId="0" fontId="2" fillId="4" borderId="1" xfId="0" applyFont="1" applyFill="1" applyBorder="1" applyAlignment="1" applyProtection="1">
      <alignment horizontal="center"/>
      <protection locked="0"/>
    </xf>
    <xf numFmtId="0" fontId="6" fillId="0" borderId="1" xfId="0" quotePrefix="1" applyFont="1" applyBorder="1" applyProtection="1">
      <protection locked="0"/>
    </xf>
    <xf numFmtId="0" fontId="6" fillId="10" borderId="1" xfId="0" applyFont="1" applyFill="1" applyBorder="1"/>
    <xf numFmtId="0" fontId="0" fillId="10" borderId="1" xfId="0" applyFill="1" applyBorder="1" applyAlignment="1">
      <alignment wrapText="1"/>
    </xf>
    <xf numFmtId="0" fontId="2" fillId="5" borderId="3" xfId="0" applyFont="1" applyFill="1" applyBorder="1"/>
    <xf numFmtId="0" fontId="28" fillId="0" borderId="1" xfId="0" applyFont="1" applyBorder="1" applyProtection="1">
      <protection locked="0"/>
    </xf>
    <xf numFmtId="171" fontId="12" fillId="8" borderId="1" xfId="1" applyNumberFormat="1" applyFont="1" applyFill="1" applyBorder="1" applyProtection="1">
      <protection locked="0"/>
    </xf>
    <xf numFmtId="0" fontId="9" fillId="0" borderId="1" xfId="0" quotePrefix="1" applyFont="1" applyBorder="1" applyProtection="1">
      <protection locked="0"/>
    </xf>
    <xf numFmtId="0" fontId="9" fillId="10" borderId="0" xfId="2" applyFont="1" applyFill="1"/>
    <xf numFmtId="0" fontId="9" fillId="10" borderId="0" xfId="0" applyFont="1" applyFill="1"/>
    <xf numFmtId="165" fontId="9" fillId="0" borderId="1" xfId="0" quotePrefix="1" applyNumberFormat="1" applyFont="1" applyBorder="1" applyProtection="1">
      <protection locked="0"/>
    </xf>
    <xf numFmtId="0" fontId="2" fillId="2" borderId="1" xfId="0" applyFont="1" applyFill="1" applyBorder="1" applyAlignment="1">
      <alignment horizontal="center"/>
    </xf>
    <xf numFmtId="0" fontId="3" fillId="10" borderId="0" xfId="2" applyFill="1" applyBorder="1"/>
    <xf numFmtId="43" fontId="2" fillId="5" borderId="1" xfId="1" applyFont="1" applyFill="1" applyBorder="1" applyProtection="1">
      <protection locked="0"/>
    </xf>
    <xf numFmtId="43" fontId="2" fillId="2" borderId="1" xfId="1" applyFont="1" applyFill="1" applyBorder="1" applyProtection="1">
      <protection locked="0"/>
    </xf>
    <xf numFmtId="165" fontId="0" fillId="0" borderId="1" xfId="0" quotePrefix="1" applyNumberFormat="1" applyBorder="1" applyProtection="1">
      <protection locked="0"/>
    </xf>
    <xf numFmtId="14" fontId="2" fillId="5" borderId="1" xfId="0" applyNumberFormat="1" applyFont="1" applyFill="1" applyBorder="1"/>
    <xf numFmtId="170" fontId="10" fillId="5" borderId="4" xfId="0" applyNumberFormat="1" applyFont="1" applyFill="1" applyBorder="1" applyAlignment="1" applyProtection="1">
      <alignment horizontal="center"/>
      <protection locked="0"/>
    </xf>
    <xf numFmtId="0" fontId="10" fillId="5" borderId="43" xfId="0" applyFont="1" applyFill="1" applyBorder="1" applyProtection="1">
      <protection locked="0"/>
    </xf>
    <xf numFmtId="0" fontId="29" fillId="2" borderId="16" xfId="0" applyFont="1" applyFill="1" applyBorder="1"/>
    <xf numFmtId="0" fontId="2" fillId="2" borderId="15" xfId="0" applyFont="1" applyFill="1" applyBorder="1"/>
    <xf numFmtId="0" fontId="2" fillId="2" borderId="17" xfId="0" applyFont="1" applyFill="1" applyBorder="1"/>
    <xf numFmtId="0" fontId="2" fillId="2" borderId="18" xfId="0" applyFont="1" applyFill="1" applyBorder="1"/>
    <xf numFmtId="14" fontId="6" fillId="10" borderId="1" xfId="0" applyNumberFormat="1" applyFont="1" applyFill="1" applyBorder="1"/>
    <xf numFmtId="43" fontId="6" fillId="10" borderId="1" xfId="1" applyFont="1" applyFill="1" applyBorder="1"/>
    <xf numFmtId="14" fontId="2" fillId="5" borderId="43" xfId="0" applyNumberFormat="1" applyFont="1" applyFill="1" applyBorder="1"/>
    <xf numFmtId="0" fontId="0" fillId="4" borderId="1" xfId="0" applyFill="1" applyBorder="1"/>
    <xf numFmtId="14" fontId="2" fillId="5" borderId="1" xfId="1" applyNumberFormat="1" applyFont="1" applyFill="1" applyBorder="1"/>
    <xf numFmtId="43" fontId="1" fillId="10" borderId="1" xfId="1" applyFont="1" applyFill="1" applyBorder="1"/>
    <xf numFmtId="164" fontId="6" fillId="10" borderId="1" xfId="1" applyNumberFormat="1" applyFont="1" applyFill="1" applyBorder="1"/>
    <xf numFmtId="43" fontId="0" fillId="5" borderId="1" xfId="1" applyFont="1" applyFill="1" applyBorder="1"/>
    <xf numFmtId="0" fontId="27" fillId="5" borderId="43" xfId="0" applyFont="1" applyFill="1" applyBorder="1"/>
    <xf numFmtId="164" fontId="6" fillId="11" borderId="1" xfId="1" applyNumberFormat="1" applyFont="1" applyFill="1" applyBorder="1" applyProtection="1">
      <protection locked="0"/>
    </xf>
    <xf numFmtId="164" fontId="0" fillId="11" borderId="1" xfId="1" applyNumberFormat="1" applyFont="1" applyFill="1" applyBorder="1"/>
    <xf numFmtId="43" fontId="0" fillId="11" borderId="1" xfId="1" applyFont="1" applyFill="1" applyBorder="1"/>
    <xf numFmtId="0" fontId="0" fillId="12" borderId="1" xfId="0" quotePrefix="1" applyFill="1" applyBorder="1"/>
    <xf numFmtId="0" fontId="0" fillId="11" borderId="1" xfId="0" applyFill="1" applyBorder="1"/>
    <xf numFmtId="164" fontId="0" fillId="51" borderId="1" xfId="1" applyNumberFormat="1" applyFont="1" applyFill="1" applyBorder="1"/>
    <xf numFmtId="43" fontId="0" fillId="51" borderId="1" xfId="1" applyFont="1" applyFill="1" applyBorder="1"/>
    <xf numFmtId="0" fontId="0" fillId="51" borderId="1" xfId="0" applyFill="1" applyBorder="1"/>
    <xf numFmtId="9" fontId="6" fillId="0" borderId="1" xfId="45" applyFont="1" applyBorder="1" applyProtection="1">
      <protection locked="0"/>
    </xf>
    <xf numFmtId="9" fontId="6" fillId="5" borderId="1" xfId="45" applyFont="1" applyFill="1" applyBorder="1" applyProtection="1">
      <protection locked="0"/>
    </xf>
    <xf numFmtId="9" fontId="0" fillId="10" borderId="1" xfId="45" applyFont="1" applyFill="1" applyBorder="1"/>
    <xf numFmtId="9" fontId="0" fillId="5" borderId="1" xfId="45" applyFont="1" applyFill="1" applyBorder="1"/>
    <xf numFmtId="14" fontId="2" fillId="5" borderId="1" xfId="0" applyNumberFormat="1" applyFont="1" applyFill="1" applyBorder="1" applyAlignment="1">
      <alignment horizontal="center"/>
    </xf>
    <xf numFmtId="43" fontId="2" fillId="5" borderId="1" xfId="1" applyFont="1" applyFill="1" applyBorder="1" applyAlignment="1">
      <alignment horizontal="center"/>
    </xf>
    <xf numFmtId="9" fontId="6" fillId="0" borderId="1" xfId="45" applyFont="1" applyFill="1" applyBorder="1" applyProtection="1">
      <protection locked="0"/>
    </xf>
    <xf numFmtId="0" fontId="6" fillId="5" borderId="1" xfId="1" applyNumberFormat="1" applyFont="1" applyFill="1" applyBorder="1" applyAlignment="1" applyProtection="1">
      <alignment horizontal="right"/>
      <protection locked="0"/>
    </xf>
    <xf numFmtId="9" fontId="0" fillId="10" borderId="1" xfId="45" applyFont="1" applyFill="1" applyBorder="1" applyAlignment="1">
      <alignment horizontal="center"/>
    </xf>
    <xf numFmtId="9" fontId="0" fillId="5" borderId="1" xfId="45" applyFont="1" applyFill="1" applyBorder="1" applyAlignment="1">
      <alignment horizontal="center"/>
    </xf>
    <xf numFmtId="0" fontId="6" fillId="0" borderId="1" xfId="1" applyNumberFormat="1" applyFont="1" applyFill="1" applyBorder="1" applyAlignment="1" applyProtection="1">
      <alignment horizontal="right"/>
      <protection locked="0"/>
    </xf>
    <xf numFmtId="9" fontId="0" fillId="0" borderId="1" xfId="45" applyFont="1" applyFill="1" applyBorder="1" applyAlignment="1">
      <alignment horizontal="center"/>
    </xf>
    <xf numFmtId="14" fontId="10" fillId="5" borderId="1" xfId="0" quotePrefix="1" applyNumberFormat="1" applyFont="1" applyFill="1" applyBorder="1"/>
    <xf numFmtId="164" fontId="0" fillId="10" borderId="1" xfId="1" quotePrefix="1" applyNumberFormat="1" applyFont="1" applyFill="1" applyBorder="1"/>
    <xf numFmtId="14" fontId="6" fillId="10" borderId="1" xfId="0" quotePrefix="1" applyNumberFormat="1" applyFont="1" applyFill="1" applyBorder="1"/>
    <xf numFmtId="164" fontId="6" fillId="10" borderId="1" xfId="1" quotePrefix="1" applyNumberFormat="1" applyFont="1" applyFill="1" applyBorder="1"/>
    <xf numFmtId="14" fontId="2" fillId="5" borderId="1" xfId="0" quotePrefix="1" applyNumberFormat="1" applyFont="1" applyFill="1" applyBorder="1"/>
    <xf numFmtId="172" fontId="8" fillId="10" borderId="1" xfId="0" quotePrefix="1" applyNumberFormat="1" applyFont="1" applyFill="1" applyBorder="1"/>
    <xf numFmtId="0" fontId="6" fillId="5" borderId="1" xfId="0" applyFont="1" applyFill="1" applyBorder="1"/>
    <xf numFmtId="16" fontId="6" fillId="5" borderId="1" xfId="0" quotePrefix="1" applyNumberFormat="1" applyFont="1" applyFill="1" applyBorder="1"/>
    <xf numFmtId="14" fontId="9" fillId="10" borderId="0" xfId="0" quotePrefix="1" applyNumberFormat="1" applyFont="1" applyFill="1"/>
    <xf numFmtId="0" fontId="9" fillId="5" borderId="1" xfId="0" applyFont="1" applyFill="1" applyBorder="1"/>
    <xf numFmtId="16" fontId="9" fillId="5" borderId="1" xfId="0" quotePrefix="1" applyNumberFormat="1" applyFont="1" applyFill="1" applyBorder="1"/>
    <xf numFmtId="0" fontId="9" fillId="10" borderId="1" xfId="0" applyFont="1" applyFill="1" applyBorder="1"/>
    <xf numFmtId="0" fontId="30" fillId="10" borderId="1" xfId="0" applyFont="1" applyFill="1" applyBorder="1"/>
    <xf numFmtId="0" fontId="6" fillId="10" borderId="1" xfId="0" quotePrefix="1" applyFont="1" applyFill="1" applyBorder="1"/>
    <xf numFmtId="16" fontId="6" fillId="10" borderId="1" xfId="0" quotePrefix="1" applyNumberFormat="1" applyFont="1" applyFill="1" applyBorder="1" applyProtection="1">
      <protection locked="0"/>
    </xf>
    <xf numFmtId="165" fontId="0" fillId="10" borderId="1" xfId="1" quotePrefix="1" applyNumberFormat="1" applyFont="1" applyFill="1" applyBorder="1"/>
    <xf numFmtId="0" fontId="6" fillId="12" borderId="1" xfId="0" applyFont="1" applyFill="1" applyBorder="1" applyAlignment="1" applyProtection="1">
      <alignment horizontal="center"/>
      <protection locked="0"/>
    </xf>
    <xf numFmtId="0" fontId="9" fillId="10" borderId="1" xfId="0" applyFont="1" applyFill="1" applyBorder="1" applyAlignment="1">
      <alignment horizontal="center"/>
    </xf>
    <xf numFmtId="165" fontId="9" fillId="0" borderId="1" xfId="0" quotePrefix="1" applyNumberFormat="1" applyFont="1" applyBorder="1" applyAlignment="1" applyProtection="1">
      <alignment horizontal="center"/>
      <protection locked="0"/>
    </xf>
    <xf numFmtId="0" fontId="0" fillId="10" borderId="3" xfId="0" applyFill="1" applyBorder="1"/>
    <xf numFmtId="0" fontId="0" fillId="10" borderId="48" xfId="0" applyFill="1" applyBorder="1"/>
    <xf numFmtId="0" fontId="0" fillId="10" borderId="49" xfId="0" applyFill="1" applyBorder="1"/>
    <xf numFmtId="0" fontId="0" fillId="10" borderId="43" xfId="0" applyFill="1" applyBorder="1"/>
    <xf numFmtId="0" fontId="0" fillId="10" borderId="16" xfId="0" applyFill="1" applyBorder="1"/>
    <xf numFmtId="0" fontId="0" fillId="10" borderId="45" xfId="0" applyFill="1" applyBorder="1"/>
    <xf numFmtId="0" fontId="0" fillId="10" borderId="17" xfId="0" applyFill="1" applyBorder="1"/>
    <xf numFmtId="0" fontId="0" fillId="10" borderId="44" xfId="0" applyFill="1" applyBorder="1"/>
    <xf numFmtId="0" fontId="0" fillId="10" borderId="15" xfId="0" applyFill="1" applyBorder="1"/>
    <xf numFmtId="0" fontId="0" fillId="10" borderId="47" xfId="0" applyFill="1" applyBorder="1"/>
    <xf numFmtId="0" fontId="0" fillId="10" borderId="18" xfId="0" applyFill="1" applyBorder="1"/>
    <xf numFmtId="0" fontId="0" fillId="10" borderId="46" xfId="0" applyFill="1" applyBorder="1"/>
    <xf numFmtId="0" fontId="2" fillId="5" borderId="19" xfId="0" applyFont="1" applyFill="1" applyBorder="1"/>
    <xf numFmtId="0" fontId="2" fillId="5" borderId="4" xfId="0" applyFont="1" applyFill="1" applyBorder="1"/>
    <xf numFmtId="172" fontId="0" fillId="10" borderId="1" xfId="0" applyNumberFormat="1" applyFill="1" applyBorder="1"/>
    <xf numFmtId="43" fontId="6" fillId="10" borderId="1" xfId="1" quotePrefix="1" applyFont="1" applyFill="1" applyBorder="1"/>
    <xf numFmtId="14" fontId="0" fillId="10" borderId="1" xfId="1" applyNumberFormat="1" applyFont="1" applyFill="1" applyBorder="1"/>
    <xf numFmtId="43" fontId="0" fillId="6" borderId="1" xfId="1" applyFont="1" applyFill="1" applyBorder="1"/>
    <xf numFmtId="0" fontId="29" fillId="10" borderId="0" xfId="0" applyFont="1" applyFill="1"/>
    <xf numFmtId="0" fontId="6" fillId="0" borderId="1" xfId="0" applyFont="1" applyBorder="1" applyAlignment="1" applyProtection="1">
      <alignment wrapText="1"/>
      <protection locked="0"/>
    </xf>
    <xf numFmtId="0" fontId="6" fillId="13" borderId="1" xfId="0" applyFont="1" applyFill="1" applyBorder="1" applyProtection="1">
      <protection locked="0"/>
    </xf>
    <xf numFmtId="0" fontId="10" fillId="2" borderId="3" xfId="0" applyFont="1" applyFill="1" applyBorder="1" applyProtection="1">
      <protection locked="0"/>
    </xf>
    <xf numFmtId="16" fontId="10" fillId="5" borderId="43" xfId="0" quotePrefix="1" applyNumberFormat="1" applyFont="1" applyFill="1" applyBorder="1" applyProtection="1">
      <protection locked="0"/>
    </xf>
    <xf numFmtId="0" fontId="10" fillId="5" borderId="43" xfId="0" quotePrefix="1" applyFont="1" applyFill="1" applyBorder="1" applyProtection="1">
      <protection locked="0"/>
    </xf>
    <xf numFmtId="165" fontId="6" fillId="10" borderId="3" xfId="0" applyNumberFormat="1" applyFont="1" applyFill="1" applyBorder="1" applyAlignment="1">
      <alignment horizontal="center"/>
    </xf>
    <xf numFmtId="165" fontId="6" fillId="10" borderId="3" xfId="0" quotePrefix="1" applyNumberFormat="1" applyFont="1" applyFill="1" applyBorder="1" applyAlignment="1">
      <alignment horizontal="center"/>
    </xf>
    <xf numFmtId="0" fontId="8" fillId="5" borderId="1" xfId="0" applyFont="1" applyFill="1" applyBorder="1"/>
    <xf numFmtId="0" fontId="29" fillId="2" borderId="1" xfId="0" applyFont="1" applyFill="1" applyBorder="1"/>
    <xf numFmtId="0" fontId="32" fillId="0" borderId="1" xfId="0" quotePrefix="1" applyFont="1" applyBorder="1"/>
    <xf numFmtId="0" fontId="8" fillId="2" borderId="1" xfId="0" applyFont="1" applyFill="1" applyBorder="1"/>
    <xf numFmtId="0" fontId="29" fillId="2" borderId="3" xfId="0" applyFont="1" applyFill="1" applyBorder="1"/>
    <xf numFmtId="0" fontId="8" fillId="5" borderId="3" xfId="0" applyFont="1" applyFill="1" applyBorder="1"/>
    <xf numFmtId="0" fontId="29" fillId="2" borderId="20" xfId="0" applyFont="1" applyFill="1" applyBorder="1"/>
    <xf numFmtId="0" fontId="29" fillId="2" borderId="32" xfId="0" applyFont="1" applyFill="1" applyBorder="1"/>
    <xf numFmtId="0" fontId="29" fillId="2" borderId="21" xfId="0" applyFont="1" applyFill="1" applyBorder="1"/>
    <xf numFmtId="0" fontId="8" fillId="2" borderId="22" xfId="0" applyFont="1" applyFill="1" applyBorder="1"/>
    <xf numFmtId="0" fontId="8" fillId="2" borderId="23" xfId="0" applyFont="1" applyFill="1" applyBorder="1"/>
    <xf numFmtId="0" fontId="8" fillId="5" borderId="22" xfId="0" applyFont="1" applyFill="1" applyBorder="1"/>
    <xf numFmtId="0" fontId="8" fillId="5" borderId="23" xfId="0" applyFont="1" applyFill="1" applyBorder="1"/>
    <xf numFmtId="0" fontId="8" fillId="5" borderId="24" xfId="0" applyFont="1" applyFill="1" applyBorder="1"/>
    <xf numFmtId="0" fontId="8" fillId="5" borderId="25" xfId="0" applyFont="1" applyFill="1" applyBorder="1"/>
    <xf numFmtId="0" fontId="8" fillId="5" borderId="23" xfId="0" quotePrefix="1" applyFont="1" applyFill="1" applyBorder="1"/>
    <xf numFmtId="0" fontId="32" fillId="0" borderId="0" xfId="0" applyFont="1" applyAlignment="1">
      <alignment wrapText="1"/>
    </xf>
    <xf numFmtId="0" fontId="8" fillId="0" borderId="0" xfId="0" applyFont="1"/>
    <xf numFmtId="165" fontId="0" fillId="6" borderId="1" xfId="0" quotePrefix="1" applyNumberFormat="1" applyFill="1" applyBorder="1"/>
    <xf numFmtId="0" fontId="6" fillId="10" borderId="1" xfId="0" applyFont="1" applyFill="1" applyBorder="1" applyAlignment="1">
      <alignment horizontal="center"/>
    </xf>
    <xf numFmtId="0" fontId="6" fillId="0" borderId="1" xfId="0" applyFont="1" applyBorder="1"/>
    <xf numFmtId="173" fontId="6" fillId="0" borderId="1" xfId="44" applyNumberFormat="1" applyFont="1" applyBorder="1"/>
    <xf numFmtId="165" fontId="6" fillId="10" borderId="1" xfId="0" quotePrefix="1" applyNumberFormat="1" applyFont="1" applyFill="1" applyBorder="1"/>
    <xf numFmtId="6" fontId="6" fillId="0" borderId="1" xfId="0" quotePrefix="1" applyNumberFormat="1" applyFont="1" applyBorder="1" applyProtection="1">
      <protection locked="0"/>
    </xf>
    <xf numFmtId="6" fontId="6" fillId="0" borderId="1" xfId="0" applyNumberFormat="1" applyFont="1" applyBorder="1" applyProtection="1">
      <protection locked="0"/>
    </xf>
    <xf numFmtId="169" fontId="33" fillId="5" borderId="0" xfId="0" applyNumberFormat="1" applyFont="1" applyFill="1"/>
    <xf numFmtId="0" fontId="2" fillId="5" borderId="3" xfId="0" applyFont="1" applyFill="1" applyBorder="1" applyAlignment="1">
      <alignment horizontal="center"/>
    </xf>
    <xf numFmtId="0" fontId="0" fillId="10" borderId="3" xfId="0" applyFill="1" applyBorder="1" applyAlignment="1">
      <alignment horizontal="center"/>
    </xf>
    <xf numFmtId="0" fontId="0" fillId="5" borderId="0" xfId="0" applyFill="1" applyAlignment="1">
      <alignment horizontal="center"/>
    </xf>
    <xf numFmtId="174" fontId="0" fillId="10" borderId="1" xfId="1" applyNumberFormat="1" applyFont="1" applyFill="1" applyBorder="1"/>
    <xf numFmtId="175" fontId="0" fillId="10" borderId="1" xfId="1" applyNumberFormat="1" applyFont="1" applyFill="1" applyBorder="1"/>
    <xf numFmtId="165" fontId="6" fillId="10" borderId="1" xfId="0" applyNumberFormat="1" applyFont="1" applyFill="1" applyBorder="1" applyProtection="1">
      <protection locked="0"/>
    </xf>
    <xf numFmtId="164" fontId="9" fillId="10" borderId="1" xfId="1" applyNumberFormat="1" applyFont="1" applyFill="1" applyBorder="1" applyProtection="1">
      <protection locked="0"/>
    </xf>
    <xf numFmtId="0" fontId="0" fillId="11" borderId="0" xfId="0" applyFill="1"/>
    <xf numFmtId="0" fontId="34" fillId="10" borderId="1" xfId="0" applyFont="1" applyFill="1" applyBorder="1"/>
    <xf numFmtId="0" fontId="34" fillId="10" borderId="19" xfId="0" applyFont="1" applyFill="1" applyBorder="1"/>
    <xf numFmtId="0" fontId="34" fillId="10" borderId="4" xfId="0" applyFont="1" applyFill="1" applyBorder="1"/>
    <xf numFmtId="164" fontId="1" fillId="10" borderId="1" xfId="1" applyNumberFormat="1" applyFont="1" applyFill="1" applyBorder="1"/>
    <xf numFmtId="0" fontId="9" fillId="0" borderId="1" xfId="0" quotePrefix="1" applyFont="1" applyBorder="1" applyAlignment="1">
      <alignment horizontal="center"/>
    </xf>
    <xf numFmtId="0" fontId="6" fillId="0" borderId="1" xfId="0" applyFont="1" applyBorder="1" applyAlignment="1" applyProtection="1">
      <alignment horizontal="center"/>
      <protection locked="0"/>
    </xf>
    <xf numFmtId="0" fontId="6" fillId="0" borderId="1" xfId="1" applyNumberFormat="1" applyFont="1" applyBorder="1" applyProtection="1">
      <protection locked="0"/>
    </xf>
    <xf numFmtId="176" fontId="6" fillId="0" borderId="1" xfId="1" applyNumberFormat="1" applyFont="1" applyBorder="1" applyProtection="1">
      <protection locked="0"/>
    </xf>
    <xf numFmtId="176" fontId="0" fillId="10" borderId="1" xfId="1" applyNumberFormat="1" applyFont="1" applyFill="1" applyBorder="1"/>
    <xf numFmtId="0" fontId="0" fillId="6" borderId="1" xfId="0" applyFill="1" applyBorder="1"/>
    <xf numFmtId="164" fontId="0" fillId="6" borderId="1" xfId="1" applyNumberFormat="1" applyFont="1" applyFill="1" applyBorder="1"/>
    <xf numFmtId="164" fontId="0" fillId="0" borderId="1" xfId="1" applyNumberFormat="1" applyFont="1" applyFill="1" applyBorder="1"/>
    <xf numFmtId="0" fontId="0" fillId="13" borderId="1" xfId="0" applyFill="1" applyBorder="1"/>
    <xf numFmtId="176" fontId="0" fillId="6" borderId="1" xfId="1" applyNumberFormat="1" applyFont="1" applyFill="1" applyBorder="1"/>
    <xf numFmtId="164" fontId="6" fillId="0" borderId="1" xfId="1" quotePrefix="1" applyNumberFormat="1" applyFont="1" applyBorder="1" applyProtection="1">
      <protection locked="0"/>
    </xf>
    <xf numFmtId="176" fontId="0" fillId="0" borderId="1" xfId="1" applyNumberFormat="1" applyFont="1" applyFill="1" applyBorder="1"/>
    <xf numFmtId="16" fontId="6" fillId="10" borderId="1" xfId="0" quotePrefix="1" applyNumberFormat="1" applyFont="1" applyFill="1" applyBorder="1"/>
    <xf numFmtId="3" fontId="6" fillId="10" borderId="1" xfId="0" quotePrefix="1" applyNumberFormat="1" applyFont="1" applyFill="1" applyBorder="1"/>
    <xf numFmtId="3" fontId="6" fillId="9" borderId="1" xfId="0" quotePrefix="1" applyNumberFormat="1" applyFont="1" applyFill="1" applyBorder="1"/>
    <xf numFmtId="0" fontId="6" fillId="9" borderId="1" xfId="0" quotePrefix="1" applyFont="1" applyFill="1" applyBorder="1"/>
    <xf numFmtId="0" fontId="0" fillId="10" borderId="10" xfId="0" quotePrefix="1" applyFill="1" applyBorder="1"/>
    <xf numFmtId="176" fontId="0" fillId="13" borderId="1" xfId="1" applyNumberFormat="1" applyFont="1" applyFill="1" applyBorder="1"/>
    <xf numFmtId="0" fontId="2" fillId="2" borderId="19" xfId="0" applyFont="1" applyFill="1" applyBorder="1"/>
    <xf numFmtId="0" fontId="2" fillId="2" borderId="4" xfId="0" applyFont="1" applyFill="1" applyBorder="1"/>
    <xf numFmtId="19" fontId="6" fillId="0" borderId="1" xfId="0" applyNumberFormat="1" applyFont="1" applyBorder="1" applyProtection="1">
      <protection locked="0"/>
    </xf>
    <xf numFmtId="0" fontId="0" fillId="0" borderId="1" xfId="0" quotePrefix="1" applyBorder="1" applyProtection="1">
      <protection locked="0"/>
    </xf>
    <xf numFmtId="0" fontId="0" fillId="52" borderId="0" xfId="0" applyFill="1"/>
    <xf numFmtId="0" fontId="33" fillId="10" borderId="0" xfId="0" applyFont="1" applyFill="1"/>
    <xf numFmtId="165" fontId="0" fillId="10" borderId="1" xfId="0" applyNumberFormat="1" applyFill="1" applyBorder="1" applyAlignment="1">
      <alignment horizontal="center"/>
    </xf>
    <xf numFmtId="164" fontId="0" fillId="10" borderId="1" xfId="1" applyNumberFormat="1" applyFont="1" applyFill="1" applyBorder="1" applyAlignment="1">
      <alignment horizontal="center"/>
    </xf>
    <xf numFmtId="0" fontId="8" fillId="5" borderId="33" xfId="0" applyFont="1" applyFill="1" applyBorder="1"/>
    <xf numFmtId="22" fontId="0" fillId="0" borderId="0" xfId="0" applyNumberFormat="1"/>
    <xf numFmtId="165" fontId="9" fillId="10" borderId="1" xfId="0" quotePrefix="1" applyNumberFormat="1" applyFont="1" applyFill="1" applyBorder="1" applyProtection="1">
      <protection locked="0"/>
    </xf>
    <xf numFmtId="0" fontId="2" fillId="4" borderId="48" xfId="0" applyFont="1" applyFill="1" applyBorder="1" applyAlignment="1">
      <alignment horizontal="center"/>
    </xf>
    <xf numFmtId="0" fontId="32" fillId="0" borderId="48" xfId="0" quotePrefix="1" applyFont="1" applyBorder="1"/>
    <xf numFmtId="0" fontId="0" fillId="0" borderId="48" xfId="0" applyBorder="1"/>
    <xf numFmtId="0" fontId="9" fillId="0" borderId="48" xfId="0" quotePrefix="1" applyFont="1" applyBorder="1" applyAlignment="1">
      <alignment horizontal="center"/>
    </xf>
    <xf numFmtId="0" fontId="32" fillId="0" borderId="43" xfId="0" quotePrefix="1" applyFont="1" applyBorder="1"/>
    <xf numFmtId="0" fontId="0" fillId="0" borderId="43" xfId="0" applyBorder="1"/>
    <xf numFmtId="0" fontId="9" fillId="0" borderId="43" xfId="0" quotePrefix="1" applyFont="1" applyBorder="1" applyAlignment="1">
      <alignment horizontal="center"/>
    </xf>
    <xf numFmtId="0" fontId="6" fillId="10" borderId="0" xfId="0" applyFont="1" applyFill="1"/>
    <xf numFmtId="165" fontId="9" fillId="10" borderId="1" xfId="0" quotePrefix="1" applyNumberFormat="1" applyFont="1" applyFill="1" applyBorder="1"/>
    <xf numFmtId="0" fontId="9" fillId="10" borderId="1" xfId="0" quotePrefix="1" applyFont="1" applyFill="1" applyBorder="1"/>
    <xf numFmtId="164" fontId="9" fillId="10" borderId="1" xfId="1" applyNumberFormat="1" applyFont="1" applyFill="1" applyBorder="1"/>
    <xf numFmtId="164" fontId="9" fillId="0" borderId="1" xfId="1" quotePrefix="1" applyNumberFormat="1" applyFont="1" applyBorder="1" applyProtection="1">
      <protection locked="0"/>
    </xf>
    <xf numFmtId="0" fontId="0" fillId="10" borderId="0" xfId="0" applyFill="1" applyAlignment="1">
      <alignment horizontal="center"/>
    </xf>
    <xf numFmtId="0" fontId="8" fillId="10" borderId="1" xfId="0" applyFont="1" applyFill="1" applyBorder="1" applyAlignment="1">
      <alignment horizontal="center"/>
    </xf>
    <xf numFmtId="0" fontId="6" fillId="10" borderId="48" xfId="0" applyFont="1" applyFill="1" applyBorder="1" applyAlignment="1">
      <alignment horizontal="center"/>
    </xf>
    <xf numFmtId="10" fontId="6" fillId="10" borderId="1" xfId="45" applyNumberFormat="1" applyFont="1" applyFill="1" applyBorder="1"/>
    <xf numFmtId="43" fontId="6" fillId="10" borderId="1" xfId="1" applyFont="1" applyFill="1" applyBorder="1" applyAlignment="1">
      <alignment horizontal="right"/>
    </xf>
    <xf numFmtId="0" fontId="6" fillId="10" borderId="48" xfId="0" applyFont="1" applyFill="1" applyBorder="1"/>
    <xf numFmtId="165" fontId="9" fillId="0" borderId="1" xfId="1" quotePrefix="1" applyNumberFormat="1" applyFont="1" applyBorder="1" applyProtection="1">
      <protection locked="0"/>
    </xf>
    <xf numFmtId="0" fontId="6" fillId="0" borderId="43" xfId="0" applyFont="1" applyBorder="1" applyProtection="1">
      <protection locked="0"/>
    </xf>
    <xf numFmtId="0" fontId="0" fillId="53" borderId="1" xfId="0" applyFill="1" applyBorder="1"/>
    <xf numFmtId="0" fontId="0" fillId="54" borderId="3" xfId="0" applyFill="1" applyBorder="1"/>
    <xf numFmtId="0" fontId="0" fillId="54" borderId="4" xfId="0" applyFill="1" applyBorder="1"/>
    <xf numFmtId="0" fontId="0" fillId="55" borderId="1" xfId="0" applyFill="1" applyBorder="1"/>
    <xf numFmtId="0" fontId="0" fillId="9" borderId="1" xfId="0" applyFill="1" applyBorder="1"/>
    <xf numFmtId="0" fontId="0" fillId="56" borderId="1" xfId="0" applyFill="1" applyBorder="1"/>
    <xf numFmtId="0" fontId="0" fillId="57" borderId="1" xfId="0" applyFill="1" applyBorder="1"/>
    <xf numFmtId="0" fontId="0" fillId="3" borderId="1" xfId="0" applyFill="1" applyBorder="1"/>
    <xf numFmtId="0" fontId="0" fillId="49" borderId="1" xfId="0" applyFill="1" applyBorder="1"/>
    <xf numFmtId="10" fontId="6" fillId="10" borderId="1" xfId="45" applyNumberFormat="1" applyFont="1" applyFill="1" applyBorder="1" applyAlignment="1">
      <alignment horizontal="center"/>
    </xf>
    <xf numFmtId="10" fontId="6" fillId="10" borderId="1" xfId="45" applyNumberFormat="1" applyFont="1" applyFill="1" applyBorder="1" applyAlignment="1"/>
    <xf numFmtId="43" fontId="0" fillId="10" borderId="1" xfId="1" applyFont="1" applyFill="1" applyBorder="1" applyAlignment="1">
      <alignment horizontal="center"/>
    </xf>
    <xf numFmtId="10" fontId="0" fillId="10" borderId="1" xfId="45" applyNumberFormat="1" applyFont="1" applyFill="1" applyBorder="1" applyAlignment="1">
      <alignment horizontal="center"/>
    </xf>
    <xf numFmtId="43" fontId="9" fillId="6" borderId="1" xfId="1" applyFont="1" applyFill="1" applyBorder="1"/>
    <xf numFmtId="43" fontId="9" fillId="11" borderId="1" xfId="1" applyFont="1" applyFill="1" applyBorder="1"/>
    <xf numFmtId="43" fontId="6" fillId="11" borderId="1" xfId="1" applyFont="1" applyFill="1" applyBorder="1"/>
    <xf numFmtId="0" fontId="0" fillId="58" borderId="0" xfId="0" applyFill="1"/>
    <xf numFmtId="43" fontId="0" fillId="6" borderId="1" xfId="0" applyNumberFormat="1" applyFill="1" applyBorder="1"/>
    <xf numFmtId="43" fontId="6" fillId="12" borderId="1" xfId="1" applyFont="1" applyFill="1" applyBorder="1"/>
    <xf numFmtId="0" fontId="7" fillId="7" borderId="0" xfId="0" applyFont="1" applyFill="1" applyAlignment="1">
      <alignment horizontal="center"/>
    </xf>
    <xf numFmtId="0" fontId="0" fillId="10" borderId="0" xfId="0" applyFill="1" applyAlignment="1">
      <alignment wrapText="1"/>
    </xf>
    <xf numFmtId="164" fontId="6" fillId="10" borderId="43" xfId="1" applyNumberFormat="1" applyFont="1" applyFill="1" applyBorder="1"/>
    <xf numFmtId="164" fontId="27" fillId="5" borderId="1" xfId="1" applyNumberFormat="1" applyFont="1" applyFill="1" applyBorder="1"/>
    <xf numFmtId="0" fontId="25" fillId="10" borderId="0" xfId="0" applyFont="1" applyFill="1"/>
    <xf numFmtId="0" fontId="37" fillId="10" borderId="1" xfId="0" applyFont="1" applyFill="1" applyBorder="1"/>
    <xf numFmtId="0" fontId="37" fillId="10" borderId="19" xfId="0" applyFont="1" applyFill="1" applyBorder="1"/>
    <xf numFmtId="0" fontId="37" fillId="10" borderId="4" xfId="0" applyFont="1" applyFill="1" applyBorder="1"/>
    <xf numFmtId="0" fontId="35" fillId="13" borderId="1" xfId="0" applyFont="1" applyFill="1" applyBorder="1" applyAlignment="1">
      <alignment vertical="top"/>
    </xf>
    <xf numFmtId="164" fontId="9" fillId="10" borderId="1" xfId="1" applyNumberFormat="1" applyFont="1" applyFill="1" applyBorder="1" applyAlignment="1" applyProtection="1">
      <alignment horizontal="center"/>
      <protection locked="0"/>
    </xf>
    <xf numFmtId="0" fontId="6" fillId="0" borderId="1" xfId="0" quotePrefix="1" applyFont="1" applyBorder="1"/>
    <xf numFmtId="17" fontId="6" fillId="0" borderId="1" xfId="0" quotePrefix="1" applyNumberFormat="1" applyFont="1" applyBorder="1"/>
    <xf numFmtId="14" fontId="6" fillId="0" borderId="1" xfId="0" applyNumberFormat="1" applyFont="1" applyBorder="1"/>
    <xf numFmtId="0" fontId="0" fillId="12" borderId="1" xfId="0" applyFill="1" applyBorder="1"/>
    <xf numFmtId="14" fontId="0" fillId="12" borderId="1" xfId="0" applyNumberFormat="1" applyFill="1" applyBorder="1"/>
    <xf numFmtId="0" fontId="2" fillId="5" borderId="48" xfId="0" applyFont="1" applyFill="1" applyBorder="1" applyAlignment="1">
      <alignment horizontal="center"/>
    </xf>
    <xf numFmtId="0" fontId="35" fillId="13" borderId="48" xfId="0" applyFont="1" applyFill="1" applyBorder="1" applyAlignment="1">
      <alignment vertical="top"/>
    </xf>
    <xf numFmtId="0" fontId="35" fillId="13" borderId="49" xfId="0" applyFont="1" applyFill="1" applyBorder="1" applyAlignment="1">
      <alignment vertical="top"/>
    </xf>
    <xf numFmtId="0" fontId="35" fillId="13" borderId="43" xfId="0" applyFont="1" applyFill="1" applyBorder="1" applyAlignment="1">
      <alignment vertical="top"/>
    </xf>
    <xf numFmtId="0" fontId="2" fillId="5" borderId="1" xfId="0" applyFont="1" applyFill="1" applyBorder="1" applyAlignment="1">
      <alignment horizontal="left"/>
    </xf>
    <xf numFmtId="0" fontId="0" fillId="10" borderId="1" xfId="0" applyFill="1" applyBorder="1" applyAlignment="1">
      <alignment horizontal="left"/>
    </xf>
    <xf numFmtId="165" fontId="0" fillId="10" borderId="1" xfId="0" quotePrefix="1" applyNumberFormat="1" applyFill="1" applyBorder="1" applyAlignment="1">
      <alignment wrapText="1"/>
    </xf>
    <xf numFmtId="169" fontId="0" fillId="10" borderId="18" xfId="0" applyNumberFormat="1" applyFill="1" applyBorder="1"/>
    <xf numFmtId="0" fontId="6" fillId="10" borderId="43" xfId="0" applyFont="1" applyFill="1" applyBorder="1"/>
    <xf numFmtId="165" fontId="0" fillId="10" borderId="43" xfId="0" quotePrefix="1" applyNumberFormat="1" applyFill="1" applyBorder="1"/>
    <xf numFmtId="165" fontId="0" fillId="10" borderId="1" xfId="1" applyNumberFormat="1" applyFont="1" applyFill="1" applyBorder="1"/>
    <xf numFmtId="0" fontId="35" fillId="10" borderId="16" xfId="0" applyFont="1" applyFill="1" applyBorder="1"/>
    <xf numFmtId="0" fontId="35" fillId="10" borderId="17" xfId="0" applyFont="1" applyFill="1" applyBorder="1"/>
    <xf numFmtId="177" fontId="0" fillId="10" borderId="1" xfId="1" applyNumberFormat="1" applyFont="1" applyFill="1" applyBorder="1"/>
    <xf numFmtId="171" fontId="6" fillId="10" borderId="1" xfId="1" applyNumberFormat="1" applyFont="1" applyFill="1" applyBorder="1" applyProtection="1">
      <protection locked="0"/>
    </xf>
    <xf numFmtId="164" fontId="0" fillId="10" borderId="0" xfId="1" applyNumberFormat="1" applyFont="1" applyFill="1" applyBorder="1"/>
    <xf numFmtId="43" fontId="0" fillId="10" borderId="0" xfId="0" applyNumberFormat="1" applyFill="1"/>
    <xf numFmtId="0" fontId="35" fillId="13" borderId="16" xfId="0" applyFont="1" applyFill="1" applyBorder="1" applyAlignment="1">
      <alignment vertical="top"/>
    </xf>
    <xf numFmtId="0" fontId="35" fillId="13" borderId="15" xfId="0" applyFont="1" applyFill="1" applyBorder="1" applyAlignment="1">
      <alignment vertical="top"/>
    </xf>
    <xf numFmtId="0" fontId="35" fillId="13" borderId="45" xfId="0" applyFont="1" applyFill="1" applyBorder="1" applyAlignment="1">
      <alignment vertical="top"/>
    </xf>
    <xf numFmtId="0" fontId="35" fillId="13" borderId="46" xfId="0" applyFont="1" applyFill="1" applyBorder="1" applyAlignment="1">
      <alignment vertical="top"/>
    </xf>
    <xf numFmtId="0" fontId="35" fillId="13" borderId="17" xfId="0" applyFont="1" applyFill="1" applyBorder="1" applyAlignment="1">
      <alignment vertical="top"/>
    </xf>
    <xf numFmtId="0" fontId="35" fillId="13" borderId="18" xfId="0" applyFont="1" applyFill="1" applyBorder="1" applyAlignment="1">
      <alignment vertical="top"/>
    </xf>
    <xf numFmtId="0" fontId="6" fillId="10" borderId="49" xfId="0" applyFont="1" applyFill="1" applyBorder="1" applyAlignment="1">
      <alignment horizontal="center"/>
    </xf>
    <xf numFmtId="0" fontId="6" fillId="10" borderId="3" xfId="0" applyFont="1" applyFill="1" applyBorder="1"/>
    <xf numFmtId="14" fontId="0" fillId="10" borderId="0" xfId="0" applyNumberFormat="1" applyFill="1"/>
    <xf numFmtId="169" fontId="2" fillId="5" borderId="19" xfId="0" applyNumberFormat="1" applyFont="1" applyFill="1" applyBorder="1"/>
    <xf numFmtId="169" fontId="0" fillId="10" borderId="47" xfId="0" applyNumberFormat="1" applyFill="1" applyBorder="1"/>
    <xf numFmtId="0" fontId="2" fillId="5" borderId="16" xfId="0" applyFont="1" applyFill="1" applyBorder="1"/>
    <xf numFmtId="169" fontId="2" fillId="5" borderId="44" xfId="0" applyNumberFormat="1" applyFont="1" applyFill="1" applyBorder="1"/>
    <xf numFmtId="169" fontId="2" fillId="5" borderId="15" xfId="0" applyNumberFormat="1" applyFont="1" applyFill="1" applyBorder="1"/>
    <xf numFmtId="169" fontId="2" fillId="5" borderId="1" xfId="0" applyNumberFormat="1" applyFont="1" applyFill="1" applyBorder="1"/>
    <xf numFmtId="169" fontId="6" fillId="10" borderId="1" xfId="0" applyNumberFormat="1" applyFont="1" applyFill="1" applyBorder="1"/>
    <xf numFmtId="43" fontId="0" fillId="10" borderId="0" xfId="1" quotePrefix="1" applyFont="1" applyFill="1"/>
    <xf numFmtId="0" fontId="2" fillId="4" borderId="4" xfId="0" applyFont="1" applyFill="1" applyBorder="1" applyAlignment="1">
      <alignment horizontal="center"/>
    </xf>
    <xf numFmtId="0" fontId="2" fillId="2" borderId="4" xfId="0" applyFont="1" applyFill="1" applyBorder="1" applyAlignment="1">
      <alignment horizontal="center"/>
    </xf>
    <xf numFmtId="0" fontId="0" fillId="10" borderId="4" xfId="0" quotePrefix="1" applyFill="1" applyBorder="1"/>
    <xf numFmtId="0" fontId="0" fillId="10" borderId="22" xfId="0" applyFill="1" applyBorder="1" applyAlignment="1">
      <alignment horizontal="center"/>
    </xf>
    <xf numFmtId="0" fontId="0" fillId="10" borderId="23" xfId="0" applyFill="1" applyBorder="1" applyAlignment="1">
      <alignment horizontal="center"/>
    </xf>
    <xf numFmtId="165" fontId="0" fillId="10" borderId="4" xfId="0" applyNumberFormat="1" applyFill="1" applyBorder="1"/>
    <xf numFmtId="0" fontId="0" fillId="6" borderId="4" xfId="0" applyFill="1" applyBorder="1"/>
    <xf numFmtId="0" fontId="8" fillId="5" borderId="4" xfId="0" applyFont="1" applyFill="1" applyBorder="1"/>
    <xf numFmtId="0" fontId="29" fillId="2" borderId="1" xfId="0" applyFont="1" applyFill="1" applyBorder="1" applyAlignment="1">
      <alignment horizontal="center"/>
    </xf>
    <xf numFmtId="0" fontId="8" fillId="5" borderId="1" xfId="0" quotePrefix="1" applyFont="1" applyFill="1" applyBorder="1"/>
    <xf numFmtId="165" fontId="8" fillId="5" borderId="1" xfId="0" applyNumberFormat="1" applyFont="1" applyFill="1" applyBorder="1"/>
    <xf numFmtId="0" fontId="38" fillId="6" borderId="1" xfId="0" applyFont="1" applyFill="1" applyBorder="1"/>
    <xf numFmtId="14" fontId="40" fillId="10" borderId="1" xfId="0" quotePrefix="1" applyNumberFormat="1" applyFont="1" applyFill="1" applyBorder="1"/>
    <xf numFmtId="14" fontId="43" fillId="10" borderId="1" xfId="0" quotePrefix="1" applyNumberFormat="1" applyFont="1" applyFill="1" applyBorder="1"/>
    <xf numFmtId="14" fontId="44" fillId="10" borderId="1" xfId="0" quotePrefix="1" applyNumberFormat="1" applyFont="1" applyFill="1" applyBorder="1"/>
    <xf numFmtId="0" fontId="40" fillId="59" borderId="14" xfId="0" applyFont="1" applyFill="1" applyBorder="1"/>
    <xf numFmtId="0" fontId="40" fillId="59" borderId="8" xfId="0" applyFont="1" applyFill="1" applyBorder="1"/>
    <xf numFmtId="0" fontId="40" fillId="59" borderId="9" xfId="0" applyFont="1" applyFill="1" applyBorder="1"/>
    <xf numFmtId="0" fontId="40" fillId="59" borderId="10" xfId="0" applyFont="1" applyFill="1" applyBorder="1"/>
    <xf numFmtId="0" fontId="40" fillId="59" borderId="22" xfId="0" applyFont="1" applyFill="1" applyBorder="1"/>
    <xf numFmtId="0" fontId="40" fillId="10" borderId="10" xfId="0" applyFont="1" applyFill="1" applyBorder="1"/>
    <xf numFmtId="0" fontId="40" fillId="10" borderId="11" xfId="0" applyFont="1" applyFill="1" applyBorder="1"/>
    <xf numFmtId="0" fontId="40" fillId="10" borderId="13" xfId="0" applyFont="1" applyFill="1" applyBorder="1"/>
    <xf numFmtId="0" fontId="0" fillId="11" borderId="1" xfId="0" applyFill="1" applyBorder="1" applyAlignment="1">
      <alignment horizontal="center"/>
    </xf>
    <xf numFmtId="0" fontId="0" fillId="10" borderId="0" xfId="1" applyNumberFormat="1" applyFont="1" applyFill="1" applyBorder="1"/>
    <xf numFmtId="0" fontId="6" fillId="6" borderId="1" xfId="0" applyFont="1" applyFill="1" applyBorder="1"/>
    <xf numFmtId="0" fontId="3" fillId="0" borderId="0" xfId="2"/>
    <xf numFmtId="0" fontId="2" fillId="60" borderId="1" xfId="0" applyFont="1" applyFill="1" applyBorder="1"/>
    <xf numFmtId="0" fontId="0" fillId="0" borderId="1" xfId="0" quotePrefix="1" applyBorder="1"/>
    <xf numFmtId="0" fontId="0" fillId="0" borderId="0" xfId="0" quotePrefix="1"/>
    <xf numFmtId="0" fontId="9" fillId="61" borderId="1" xfId="0" applyFont="1" applyFill="1" applyBorder="1"/>
    <xf numFmtId="0" fontId="8" fillId="5" borderId="51" xfId="0" applyFont="1" applyFill="1" applyBorder="1"/>
    <xf numFmtId="0" fontId="8" fillId="5" borderId="52" xfId="0" applyFont="1" applyFill="1" applyBorder="1"/>
    <xf numFmtId="0" fontId="6" fillId="49" borderId="1" xfId="0" applyFont="1" applyFill="1" applyBorder="1"/>
    <xf numFmtId="0" fontId="0" fillId="55" borderId="4" xfId="0" applyFill="1" applyBorder="1"/>
    <xf numFmtId="0" fontId="0" fillId="57" borderId="48" xfId="0" applyFill="1" applyBorder="1"/>
    <xf numFmtId="0" fontId="0" fillId="9" borderId="15" xfId="0" applyFill="1" applyBorder="1"/>
    <xf numFmtId="0" fontId="0" fillId="9" borderId="17" xfId="0" applyFill="1" applyBorder="1"/>
    <xf numFmtId="0" fontId="0" fillId="6" borderId="2" xfId="0" applyFill="1" applyBorder="1"/>
    <xf numFmtId="0" fontId="2" fillId="53" borderId="1" xfId="0" applyFont="1" applyFill="1" applyBorder="1"/>
    <xf numFmtId="164" fontId="0" fillId="9" borderId="1" xfId="1" applyNumberFormat="1" applyFont="1" applyFill="1" applyBorder="1"/>
    <xf numFmtId="164" fontId="0" fillId="62" borderId="1" xfId="1" applyNumberFormat="1" applyFont="1" applyFill="1" applyBorder="1"/>
    <xf numFmtId="0" fontId="0" fillId="10" borderId="7" xfId="0" applyFill="1" applyBorder="1" applyAlignment="1">
      <alignment horizontal="center" vertical="center"/>
    </xf>
    <xf numFmtId="0" fontId="3" fillId="10" borderId="1" xfId="2" applyFill="1" applyBorder="1" applyAlignment="1">
      <alignment horizontal="center"/>
    </xf>
    <xf numFmtId="0" fontId="2" fillId="4" borderId="1" xfId="0" applyFont="1" applyFill="1" applyBorder="1" applyAlignment="1">
      <alignment horizontal="center"/>
    </xf>
    <xf numFmtId="0" fontId="2" fillId="4" borderId="48" xfId="0" applyFont="1" applyFill="1" applyBorder="1" applyAlignment="1">
      <alignment horizontal="center"/>
    </xf>
    <xf numFmtId="0" fontId="2" fillId="11" borderId="3" xfId="0" applyFont="1" applyFill="1" applyBorder="1" applyAlignment="1">
      <alignment horizontal="center"/>
    </xf>
    <xf numFmtId="0" fontId="2" fillId="11" borderId="19" xfId="0" applyFont="1" applyFill="1" applyBorder="1" applyAlignment="1">
      <alignment horizontal="center"/>
    </xf>
    <xf numFmtId="0" fontId="2" fillId="11" borderId="4" xfId="0" applyFont="1" applyFill="1" applyBorder="1" applyAlignment="1">
      <alignment horizontal="center"/>
    </xf>
    <xf numFmtId="0" fontId="2" fillId="11" borderId="3" xfId="0" quotePrefix="1" applyFont="1" applyFill="1" applyBorder="1" applyAlignment="1">
      <alignment horizontal="center"/>
    </xf>
    <xf numFmtId="0" fontId="2" fillId="11" borderId="19" xfId="0" quotePrefix="1" applyFont="1" applyFill="1" applyBorder="1" applyAlignment="1">
      <alignment horizontal="center"/>
    </xf>
    <xf numFmtId="0" fontId="2" fillId="11" borderId="4" xfId="0" quotePrefix="1" applyFont="1" applyFill="1" applyBorder="1" applyAlignment="1">
      <alignment horizontal="center"/>
    </xf>
    <xf numFmtId="0" fontId="2" fillId="2" borderId="1" xfId="0" applyFont="1" applyFill="1" applyBorder="1" applyAlignment="1">
      <alignment horizontal="center"/>
    </xf>
    <xf numFmtId="0" fontId="0" fillId="5" borderId="1" xfId="0" applyFill="1" applyBorder="1" applyAlignment="1">
      <alignment horizontal="left" vertical="top" wrapText="1"/>
    </xf>
    <xf numFmtId="0" fontId="0" fillId="5" borderId="1" xfId="0" applyFill="1" applyBorder="1" applyAlignment="1">
      <alignment horizontal="center"/>
    </xf>
    <xf numFmtId="0" fontId="2" fillId="3" borderId="1" xfId="0" applyFont="1" applyFill="1" applyBorder="1" applyAlignment="1">
      <alignment horizontal="center"/>
    </xf>
    <xf numFmtId="0" fontId="0" fillId="0" borderId="1" xfId="0" applyBorder="1" applyAlignment="1">
      <alignment horizontal="left" vertical="top" wrapText="1"/>
    </xf>
    <xf numFmtId="0" fontId="0" fillId="10" borderId="1" xfId="0" applyFill="1" applyBorder="1" applyAlignment="1">
      <alignment horizontal="left" vertical="top" wrapText="1"/>
    </xf>
    <xf numFmtId="0" fontId="0" fillId="10" borderId="1" xfId="0" applyFill="1" applyBorder="1" applyAlignment="1">
      <alignment horizontal="center"/>
    </xf>
    <xf numFmtId="0" fontId="7" fillId="7" borderId="9" xfId="0" applyFont="1" applyFill="1" applyBorder="1" applyAlignment="1">
      <alignment horizontal="center"/>
    </xf>
    <xf numFmtId="0" fontId="7" fillId="7" borderId="0" xfId="0" applyFont="1" applyFill="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0" fillId="5" borderId="16" xfId="0" applyFill="1" applyBorder="1" applyAlignment="1">
      <alignment horizontal="left" vertical="top" wrapText="1"/>
    </xf>
    <xf numFmtId="0" fontId="0" fillId="5" borderId="15" xfId="0" applyFill="1" applyBorder="1" applyAlignment="1">
      <alignment horizontal="left" vertical="top"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0" fillId="5" borderId="17" xfId="0" applyFill="1" applyBorder="1" applyAlignment="1">
      <alignment horizontal="left" vertical="top" wrapText="1"/>
    </xf>
    <xf numFmtId="0" fontId="0" fillId="5" borderId="18" xfId="0" applyFill="1" applyBorder="1" applyAlignment="1">
      <alignment horizontal="left" vertical="top" wrapText="1"/>
    </xf>
    <xf numFmtId="0" fontId="0" fillId="5" borderId="44" xfId="0" applyFill="1" applyBorder="1" applyAlignment="1">
      <alignment horizontal="left" vertical="top" wrapText="1"/>
    </xf>
    <xf numFmtId="0" fontId="0" fillId="5" borderId="0" xfId="0" applyFill="1" applyAlignment="1">
      <alignment horizontal="left" vertical="top" wrapText="1"/>
    </xf>
    <xf numFmtId="0" fontId="0" fillId="5" borderId="47" xfId="0" applyFill="1" applyBorder="1" applyAlignment="1">
      <alignment horizontal="left" vertical="top" wrapText="1"/>
    </xf>
    <xf numFmtId="0" fontId="0" fillId="5" borderId="48" xfId="0" applyFill="1" applyBorder="1" applyAlignment="1">
      <alignment horizontal="center"/>
    </xf>
    <xf numFmtId="0" fontId="0" fillId="5" borderId="49" xfId="0" applyFill="1" applyBorder="1" applyAlignment="1">
      <alignment horizontal="center"/>
    </xf>
    <xf numFmtId="0" fontId="0" fillId="5" borderId="43" xfId="0" applyFill="1" applyBorder="1" applyAlignment="1">
      <alignment horizontal="center"/>
    </xf>
    <xf numFmtId="43" fontId="2" fillId="2" borderId="1" xfId="1" applyFont="1" applyFill="1" applyBorder="1" applyAlignment="1">
      <alignment horizontal="center"/>
    </xf>
    <xf numFmtId="0" fontId="0" fillId="0" borderId="1" xfId="0" applyBorder="1" applyAlignment="1">
      <alignment horizont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2" fillId="2" borderId="43" xfId="0" applyFont="1" applyFill="1" applyBorder="1" applyAlignment="1">
      <alignment horizontal="center"/>
    </xf>
    <xf numFmtId="0" fontId="2" fillId="2" borderId="3" xfId="0" applyFont="1" applyFill="1" applyBorder="1" applyAlignment="1">
      <alignment horizontal="center"/>
    </xf>
    <xf numFmtId="0" fontId="2" fillId="2" borderId="19" xfId="0" applyFont="1" applyFill="1" applyBorder="1" applyAlignment="1">
      <alignment horizontal="center"/>
    </xf>
    <xf numFmtId="0" fontId="2" fillId="2" borderId="4" xfId="0" applyFont="1" applyFill="1" applyBorder="1" applyAlignment="1">
      <alignment horizontal="center"/>
    </xf>
    <xf numFmtId="0" fontId="0" fillId="0" borderId="3" xfId="0"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10" borderId="1" xfId="0" applyFill="1" applyBorder="1"/>
    <xf numFmtId="0" fontId="2" fillId="5" borderId="1" xfId="0" applyFont="1" applyFill="1" applyBorder="1" applyAlignment="1">
      <alignment horizontal="center"/>
    </xf>
    <xf numFmtId="0" fontId="7" fillId="7" borderId="3" xfId="0" applyFont="1" applyFill="1" applyBorder="1" applyAlignment="1">
      <alignment horizontal="center"/>
    </xf>
    <xf numFmtId="0" fontId="7" fillId="7" borderId="19" xfId="0" applyFont="1" applyFill="1" applyBorder="1" applyAlignment="1">
      <alignment horizontal="center"/>
    </xf>
    <xf numFmtId="0" fontId="7" fillId="7" borderId="4" xfId="0" applyFont="1" applyFill="1" applyBorder="1" applyAlignment="1">
      <alignment horizontal="center"/>
    </xf>
    <xf numFmtId="0" fontId="0" fillId="10" borderId="3" xfId="0" applyFill="1" applyBorder="1" applyAlignment="1">
      <alignment wrapText="1"/>
    </xf>
    <xf numFmtId="0" fontId="0" fillId="10" borderId="19" xfId="0" applyFill="1" applyBorder="1" applyAlignment="1">
      <alignment wrapText="1"/>
    </xf>
    <xf numFmtId="0" fontId="0" fillId="10" borderId="4" xfId="0" applyFill="1" applyBorder="1" applyAlignment="1">
      <alignment wrapText="1"/>
    </xf>
    <xf numFmtId="0" fontId="2" fillId="5" borderId="19" xfId="0" applyFont="1" applyFill="1" applyBorder="1" applyAlignment="1">
      <alignment horizontal="center"/>
    </xf>
    <xf numFmtId="0" fontId="7" fillId="7" borderId="1" xfId="0" applyFont="1" applyFill="1" applyBorder="1" applyAlignment="1">
      <alignment horizontal="center"/>
    </xf>
    <xf numFmtId="0" fontId="2" fillId="4" borderId="19"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26" xfId="0" applyFont="1" applyFill="1" applyBorder="1" applyAlignment="1">
      <alignment horizontal="center"/>
    </xf>
    <xf numFmtId="0" fontId="2" fillId="4" borderId="30" xfId="0" applyFont="1" applyFill="1" applyBorder="1" applyAlignment="1">
      <alignment horizontal="center"/>
    </xf>
    <xf numFmtId="0" fontId="2" fillId="4" borderId="31" xfId="0" applyFont="1" applyFill="1" applyBorder="1" applyAlignment="1">
      <alignment horizontal="center"/>
    </xf>
    <xf numFmtId="0" fontId="2" fillId="4" borderId="1" xfId="0" applyFont="1" applyFill="1" applyBorder="1" applyAlignment="1">
      <alignment horizontal="left" vertical="top"/>
    </xf>
    <xf numFmtId="0" fontId="2" fillId="4" borderId="20" xfId="0" applyFont="1" applyFill="1" applyBorder="1" applyAlignment="1">
      <alignment horizontal="center"/>
    </xf>
    <xf numFmtId="0" fontId="2" fillId="4" borderId="32" xfId="0" applyFont="1" applyFill="1" applyBorder="1" applyAlignment="1">
      <alignment horizontal="center"/>
    </xf>
    <xf numFmtId="0" fontId="2" fillId="4" borderId="21" xfId="0" applyFont="1" applyFill="1" applyBorder="1" applyAlignment="1">
      <alignment horizontal="center"/>
    </xf>
    <xf numFmtId="0" fontId="0" fillId="0" borderId="16" xfId="0" applyBorder="1" applyAlignment="1">
      <alignment horizontal="left" vertical="top" wrapText="1"/>
    </xf>
    <xf numFmtId="0" fontId="0" fillId="0" borderId="44" xfId="0" applyBorder="1" applyAlignment="1">
      <alignment horizontal="left" vertical="top" wrapText="1"/>
    </xf>
    <xf numFmtId="0" fontId="0" fillId="0" borderId="15" xfId="0" applyBorder="1" applyAlignment="1">
      <alignment horizontal="left" vertical="top" wrapText="1"/>
    </xf>
    <xf numFmtId="0" fontId="0" fillId="0" borderId="45" xfId="0" applyBorder="1" applyAlignment="1">
      <alignment horizontal="left" vertical="top" wrapText="1"/>
    </xf>
    <xf numFmtId="0" fontId="0" fillId="0" borderId="0" xfId="0" applyAlignment="1">
      <alignment horizontal="left" vertical="top" wrapText="1"/>
    </xf>
    <xf numFmtId="0" fontId="0" fillId="0" borderId="46" xfId="0" applyBorder="1" applyAlignment="1">
      <alignment horizontal="left" vertical="top" wrapText="1"/>
    </xf>
    <xf numFmtId="0" fontId="0" fillId="0" borderId="17" xfId="0" applyBorder="1" applyAlignment="1">
      <alignment horizontal="left" vertical="top" wrapText="1"/>
    </xf>
    <xf numFmtId="0" fontId="0" fillId="0" borderId="47" xfId="0" applyBorder="1" applyAlignment="1">
      <alignment horizontal="left" vertical="top" wrapText="1"/>
    </xf>
    <xf numFmtId="0" fontId="0" fillId="0" borderId="18" xfId="0" applyBorder="1" applyAlignment="1">
      <alignment horizontal="left" vertical="top" wrapText="1"/>
    </xf>
    <xf numFmtId="0" fontId="0" fillId="0" borderId="48" xfId="0" applyBorder="1" applyAlignment="1">
      <alignment horizontal="center"/>
    </xf>
    <xf numFmtId="0" fontId="0" fillId="0" borderId="49" xfId="0" applyBorder="1" applyAlignment="1">
      <alignment horizontal="center"/>
    </xf>
    <xf numFmtId="0" fontId="0" fillId="0" borderId="43" xfId="0" applyBorder="1" applyAlignment="1">
      <alignment horizontal="center"/>
    </xf>
    <xf numFmtId="0" fontId="10" fillId="2" borderId="3" xfId="0" applyFont="1" applyFill="1" applyBorder="1" applyAlignment="1" applyProtection="1">
      <alignment horizontal="center"/>
      <protection locked="0"/>
    </xf>
    <xf numFmtId="0" fontId="10" fillId="2" borderId="4" xfId="0" applyFont="1" applyFill="1" applyBorder="1" applyAlignment="1" applyProtection="1">
      <alignment horizontal="center"/>
      <protection locked="0"/>
    </xf>
    <xf numFmtId="0" fontId="2" fillId="4" borderId="1" xfId="0" applyFont="1" applyFill="1" applyBorder="1" applyAlignment="1">
      <alignment vertical="top"/>
    </xf>
    <xf numFmtId="0" fontId="10" fillId="4" borderId="3" xfId="0" applyFont="1" applyFill="1" applyBorder="1" applyAlignment="1" applyProtection="1">
      <alignment horizontal="center"/>
      <protection locked="0"/>
    </xf>
    <xf numFmtId="0" fontId="10" fillId="4" borderId="4" xfId="0" applyFont="1" applyFill="1" applyBorder="1" applyAlignment="1" applyProtection="1">
      <alignment horizontal="center"/>
      <protection locked="0"/>
    </xf>
    <xf numFmtId="0" fontId="2" fillId="4" borderId="1" xfId="0" applyFont="1" applyFill="1" applyBorder="1" applyAlignment="1" applyProtection="1">
      <alignment horizontal="center"/>
      <protection locked="0"/>
    </xf>
    <xf numFmtId="0" fontId="2" fillId="47" borderId="3" xfId="0" applyFont="1" applyFill="1" applyBorder="1" applyAlignment="1">
      <alignment horizontal="center"/>
    </xf>
    <xf numFmtId="0" fontId="2" fillId="47" borderId="4" xfId="0" applyFont="1" applyFill="1" applyBorder="1" applyAlignment="1">
      <alignment horizontal="center"/>
    </xf>
    <xf numFmtId="14" fontId="2" fillId="2" borderId="3" xfId="0" quotePrefix="1" applyNumberFormat="1" applyFont="1" applyFill="1" applyBorder="1" applyAlignment="1">
      <alignment horizontal="center"/>
    </xf>
    <xf numFmtId="14" fontId="2" fillId="2" borderId="19" xfId="0" quotePrefix="1" applyNumberFormat="1" applyFont="1" applyFill="1" applyBorder="1" applyAlignment="1">
      <alignment horizontal="center"/>
    </xf>
    <xf numFmtId="14" fontId="2" fillId="2" borderId="4" xfId="0" quotePrefix="1" applyNumberFormat="1" applyFont="1" applyFill="1" applyBorder="1" applyAlignment="1">
      <alignment horizontal="center"/>
    </xf>
    <xf numFmtId="0" fontId="0" fillId="10" borderId="16" xfId="0" applyFill="1" applyBorder="1" applyAlignment="1">
      <alignment horizontal="left" vertical="top" wrapText="1"/>
    </xf>
    <xf numFmtId="0" fontId="0" fillId="10" borderId="44" xfId="0" applyFill="1" applyBorder="1" applyAlignment="1">
      <alignment horizontal="left" vertical="top" wrapText="1"/>
    </xf>
    <xf numFmtId="0" fontId="0" fillId="10" borderId="15" xfId="0" applyFill="1" applyBorder="1" applyAlignment="1">
      <alignment horizontal="left" vertical="top" wrapText="1"/>
    </xf>
    <xf numFmtId="0" fontId="0" fillId="10" borderId="45" xfId="0" applyFill="1" applyBorder="1" applyAlignment="1">
      <alignment horizontal="left" vertical="top" wrapText="1"/>
    </xf>
    <xf numFmtId="0" fontId="0" fillId="10" borderId="0" xfId="0" applyFill="1" applyAlignment="1">
      <alignment horizontal="left" vertical="top" wrapText="1"/>
    </xf>
    <xf numFmtId="0" fontId="0" fillId="10" borderId="46" xfId="0" applyFill="1" applyBorder="1" applyAlignment="1">
      <alignment horizontal="left" vertical="top" wrapText="1"/>
    </xf>
    <xf numFmtId="0" fontId="0" fillId="10" borderId="17" xfId="0" applyFill="1" applyBorder="1" applyAlignment="1">
      <alignment horizontal="left" vertical="top" wrapText="1"/>
    </xf>
    <xf numFmtId="0" fontId="0" fillId="10" borderId="47" xfId="0" applyFill="1" applyBorder="1" applyAlignment="1">
      <alignment horizontal="left" vertical="top" wrapText="1"/>
    </xf>
    <xf numFmtId="0" fontId="0" fillId="10" borderId="18" xfId="0" applyFill="1" applyBorder="1" applyAlignment="1">
      <alignment horizontal="left" vertical="top" wrapText="1"/>
    </xf>
    <xf numFmtId="0" fontId="0" fillId="10" borderId="48" xfId="0" applyFill="1" applyBorder="1" applyAlignment="1">
      <alignment horizontal="center" wrapText="1"/>
    </xf>
    <xf numFmtId="0" fontId="0" fillId="10" borderId="43" xfId="0" applyFill="1" applyBorder="1" applyAlignment="1">
      <alignment horizontal="center" wrapText="1"/>
    </xf>
    <xf numFmtId="0" fontId="7" fillId="7" borderId="45" xfId="0" applyFont="1" applyFill="1" applyBorder="1" applyAlignment="1">
      <alignment horizontal="center"/>
    </xf>
    <xf numFmtId="0" fontId="2" fillId="3" borderId="3" xfId="0" applyFont="1" applyFill="1" applyBorder="1" applyAlignment="1">
      <alignment horizontal="center"/>
    </xf>
    <xf numFmtId="0" fontId="2" fillId="3" borderId="19" xfId="0" applyFont="1" applyFill="1" applyBorder="1" applyAlignment="1">
      <alignment horizontal="center"/>
    </xf>
    <xf numFmtId="0" fontId="2" fillId="3" borderId="4" xfId="0" applyFont="1" applyFill="1" applyBorder="1" applyAlignment="1">
      <alignment horizontal="center"/>
    </xf>
    <xf numFmtId="174" fontId="2" fillId="4" borderId="1" xfId="1" applyNumberFormat="1" applyFont="1" applyFill="1" applyBorder="1" applyAlignment="1">
      <alignment horizontal="center"/>
    </xf>
    <xf numFmtId="0" fontId="2" fillId="2" borderId="3" xfId="0" applyFont="1" applyFill="1" applyBorder="1"/>
    <xf numFmtId="0" fontId="2" fillId="2" borderId="19" xfId="0" applyFont="1" applyFill="1" applyBorder="1"/>
    <xf numFmtId="0" fontId="2" fillId="2" borderId="4" xfId="0" applyFont="1" applyFill="1" applyBorder="1"/>
    <xf numFmtId="0" fontId="7" fillId="7" borderId="5" xfId="0" applyFont="1" applyFill="1" applyBorder="1" applyAlignment="1">
      <alignment horizontal="center"/>
    </xf>
    <xf numFmtId="0" fontId="7" fillId="7" borderId="50" xfId="0" applyFont="1" applyFill="1" applyBorder="1" applyAlignment="1">
      <alignment horizontal="center"/>
    </xf>
    <xf numFmtId="0" fontId="7" fillId="7" borderId="6" xfId="0" applyFont="1" applyFill="1" applyBorder="1" applyAlignment="1">
      <alignment horizontal="center"/>
    </xf>
    <xf numFmtId="0" fontId="2" fillId="4" borderId="16" xfId="0" applyFont="1" applyFill="1" applyBorder="1" applyAlignment="1">
      <alignment horizontal="center"/>
    </xf>
    <xf numFmtId="0" fontId="2" fillId="4" borderId="15" xfId="0" applyFont="1" applyFill="1" applyBorder="1" applyAlignment="1">
      <alignment horizontal="center"/>
    </xf>
    <xf numFmtId="0" fontId="2" fillId="14" borderId="1" xfId="0" applyFont="1" applyFill="1" applyBorder="1" applyAlignment="1">
      <alignment horizontal="center"/>
    </xf>
    <xf numFmtId="0" fontId="2" fillId="14" borderId="3" xfId="0" applyFont="1" applyFill="1" applyBorder="1" applyAlignment="1">
      <alignment horizontal="center"/>
    </xf>
    <xf numFmtId="0" fontId="2" fillId="14" borderId="4" xfId="0" applyFont="1" applyFill="1" applyBorder="1" applyAlignment="1">
      <alignment horizontal="center"/>
    </xf>
    <xf numFmtId="0" fontId="0" fillId="9" borderId="0" xfId="0" applyFill="1" applyAlignment="1">
      <alignment horizontal="center"/>
    </xf>
    <xf numFmtId="0" fontId="0" fillId="10" borderId="48" xfId="0" applyFill="1" applyBorder="1" applyAlignment="1">
      <alignment horizontal="center"/>
    </xf>
    <xf numFmtId="0" fontId="0" fillId="10" borderId="49" xfId="0" applyFill="1" applyBorder="1" applyAlignment="1">
      <alignment horizontal="center"/>
    </xf>
    <xf numFmtId="0" fontId="0" fillId="10" borderId="43" xfId="0" applyFill="1" applyBorder="1" applyAlignment="1">
      <alignment horizontal="center"/>
    </xf>
    <xf numFmtId="0" fontId="35" fillId="10" borderId="1" xfId="0" applyFont="1" applyFill="1" applyBorder="1" applyAlignment="1">
      <alignment vertical="top" wrapText="1"/>
    </xf>
    <xf numFmtId="0" fontId="35" fillId="10" borderId="1" xfId="0" applyFont="1" applyFill="1" applyBorder="1" applyAlignment="1">
      <alignment horizontal="left" vertical="top" wrapText="1"/>
    </xf>
    <xf numFmtId="0" fontId="35" fillId="10" borderId="16" xfId="0" applyFont="1" applyFill="1" applyBorder="1" applyAlignment="1">
      <alignment vertical="top" wrapText="1"/>
    </xf>
    <xf numFmtId="0" fontId="35" fillId="10" borderId="44" xfId="0" applyFont="1" applyFill="1" applyBorder="1" applyAlignment="1">
      <alignment vertical="top" wrapText="1"/>
    </xf>
    <xf numFmtId="0" fontId="35" fillId="10" borderId="15" xfId="0" applyFont="1" applyFill="1" applyBorder="1" applyAlignment="1">
      <alignment vertical="top" wrapText="1"/>
    </xf>
    <xf numFmtId="0" fontId="35" fillId="10" borderId="45" xfId="0" applyFont="1" applyFill="1" applyBorder="1" applyAlignment="1">
      <alignment vertical="top" wrapText="1"/>
    </xf>
    <xf numFmtId="0" fontId="35" fillId="10" borderId="0" xfId="0" applyFont="1" applyFill="1" applyAlignment="1">
      <alignment vertical="top" wrapText="1"/>
    </xf>
    <xf numFmtId="0" fontId="35" fillId="10" borderId="46" xfId="0" applyFont="1" applyFill="1" applyBorder="1" applyAlignment="1">
      <alignment vertical="top" wrapText="1"/>
    </xf>
    <xf numFmtId="0" fontId="35" fillId="10" borderId="17" xfId="0" applyFont="1" applyFill="1" applyBorder="1" applyAlignment="1">
      <alignment vertical="top" wrapText="1"/>
    </xf>
    <xf numFmtId="0" fontId="35" fillId="10" borderId="47" xfId="0" applyFont="1" applyFill="1" applyBorder="1" applyAlignment="1">
      <alignment vertical="top" wrapText="1"/>
    </xf>
    <xf numFmtId="0" fontId="35" fillId="10" borderId="18" xfId="0" applyFont="1" applyFill="1" applyBorder="1" applyAlignment="1">
      <alignment vertical="top"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44"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45" builtinId="5"/>
    <cellStyle name="Title" xfId="3" builtinId="15" customBuiltin="1"/>
    <cellStyle name="Total" xfId="19" builtinId="25" customBuiltin="1"/>
    <cellStyle name="Warning Text" xfId="16" builtinId="11" customBuiltin="1"/>
  </cellStyles>
  <dxfs count="11">
    <dxf>
      <font>
        <color theme="0" tint="-0.499984740745262"/>
      </font>
      <fill>
        <patternFill>
          <bgColor theme="0" tint="-0.14996795556505021"/>
        </patternFill>
      </fill>
    </dxf>
    <dxf>
      <font>
        <b/>
        <i val="0"/>
      </font>
      <fill>
        <patternFill>
          <bgColor rgb="FFFFFF00"/>
        </patternFill>
      </fill>
    </dxf>
    <dxf>
      <font>
        <color theme="0" tint="-0.499984740745262"/>
      </font>
      <fill>
        <patternFill>
          <bgColor theme="0" tint="-0.14996795556505021"/>
        </patternFill>
      </fill>
    </dxf>
    <dxf>
      <fill>
        <patternFill>
          <bgColor rgb="FFFFFF00"/>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border diagonalUp="0" diagonalDown="0">
        <left style="thin">
          <color indexed="64"/>
        </left>
        <right/>
        <top style="thin">
          <color indexed="64"/>
        </top>
        <bottom style="thin">
          <color indexed="64"/>
        </bottom>
      </border>
      <protection locked="0" hidden="0"/>
    </dxf>
    <dxf>
      <font>
        <strike val="0"/>
        <outline val="0"/>
        <shadow val="0"/>
        <u val="none"/>
        <vertAlign val="baseline"/>
        <sz val="11"/>
        <color auto="1"/>
        <name val="Calibri"/>
        <scheme val="minor"/>
      </font>
      <fill>
        <patternFill patternType="none">
          <fgColor indexed="64"/>
          <bgColor auto="1"/>
        </patternFill>
      </fill>
      <border diagonalUp="0" diagonalDown="0">
        <left/>
        <right style="thin">
          <color indexed="64"/>
        </right>
        <top style="thin">
          <color indexed="64"/>
        </top>
        <bottom style="thin">
          <color indexed="64"/>
        </bottom>
      </border>
      <protection locked="0" hidden="0"/>
    </dxf>
    <dxf>
      <border>
        <top style="thin">
          <color indexed="64"/>
        </top>
        <vertical/>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auto="1"/>
        </patternFill>
      </fill>
      <border diagonalUp="0" diagonalDown="0">
        <left style="thin">
          <color indexed="64"/>
        </left>
        <right style="thin">
          <color indexed="64"/>
        </right>
        <top/>
        <bottom/>
      </border>
      <protection locked="0" hidden="0"/>
    </dxf>
    <dxf>
      <border>
        <bottom style="thin">
          <color indexed="64"/>
        </bottom>
        <vertical/>
        <horizontal/>
      </border>
    </dxf>
    <dxf>
      <font>
        <strike val="0"/>
        <outline val="0"/>
        <shadow val="0"/>
        <u val="none"/>
        <vertAlign val="baseline"/>
        <sz val="11"/>
        <color auto="1"/>
        <name val="Calibri"/>
        <scheme val="minor"/>
      </font>
      <fill>
        <patternFill patternType="none">
          <fgColor indexed="64"/>
          <bgColor auto="1"/>
        </patternFill>
      </fill>
      <border diagonalUp="0" diagonalDown="0">
        <left style="thin">
          <color indexed="64"/>
        </left>
        <right style="thin">
          <color indexed="64"/>
        </right>
        <top/>
        <bottom/>
      </border>
      <protection locked="0" hidden="0"/>
    </dxf>
  </dxfs>
  <tableStyles count="0" defaultTableStyle="TableStyleMedium9" defaultPivotStyle="PivotStyleLight16"/>
  <colors>
    <mruColors>
      <color rgb="FF4372C4"/>
      <color rgb="FFFFFFCC"/>
      <color rgb="FFC4BF00"/>
      <color rgb="FFF4EE00"/>
      <color rgb="FF0000FF"/>
      <color rgb="FFFFFF99"/>
      <color rgb="FFFE7C6E"/>
      <color rgb="FF00FF00"/>
      <color rgb="FFFF7575"/>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rtdsrv_3094061c4c1b46d98df56674035f365b">
      <tp>
        <v>0.89322916666424101</v>
        <stp/>
        <stp>U.TIME_X_0.893229166664241</stp>
        <tr r="C38" s="20"/>
        <tr r="B37" s="59"/>
      </tp>
      <tp t="s">
        <v>[REF]{{34856#2238124317712!R29C2}}</v>
        <stp/>
        <stp>U.RANGE_REF_8be10f25-560c-4ce2-975c-c152e0d8e91c</stp>
        <stp>[REF]{{34856#2238124317712!R29C2}}</stp>
        <tr r="J5" s="59"/>
      </tp>
    </main>
    <main first="rtdsrv_3094061c4c1b46d98df56674035f365b">
      <tp t="s">
        <v>hover_example_2</v>
        <stp/>
        <stp>U.SET_CLICK_VALS_U_USAGEEXAMPLES.XLSX|HOVER_EXAMPLE_2</stp>
        <tr r="D133" s="30"/>
      </tp>
      <tp t="s">
        <v>[REF]{{34856#2238102196432!R1C1}}</v>
        <stp/>
        <stp>U.RANGE_REF___DYNAMIC__SELECTION</stp>
        <stp>[REF]{{34856#2238102196432!R1C1}}</stp>
        <tr r="E65" s="35"/>
      </tp>
    </main>
    <main first="rtdsrv_df764c4270e74b60966f10a6aa890d36">
      <tp t="s">
        <v>U/TIME/EXAMPLE | 2026-05-03 21:26:15.243</v>
        <stp/>
        <stp>U/TIME/EXAMPLE</stp>
        <tr r="B88" s="20"/>
      </tp>
    </main>
    <main first="rtdsrv_3094061c4c1b46d98df56674035f365b">
      <tp>
        <v>46145.893208911999</v>
        <stp/>
        <stp>U.NOW_X_46145.893208912</stp>
        <tr r="D91" s="30"/>
      </tp>
      <tp t="s">
        <v>Eastern Standard Time</v>
        <stp/>
        <stp>U.TIMEZONE</stp>
        <tr r="C152" s="20"/>
      </tp>
      <tp t="b">
        <v>1</v>
        <stp/>
        <stp>U.ISCONNECTED</stp>
        <tr r="C19" s="13"/>
      </tp>
    </main>
    <main first="rtdsrv_df764c4270e74b60966f10a6aa890d36">
      <tp t="s">
        <v>U/DESK1/PNL_AND_PRICES2 | 2026-04-14 08:06:26.124</v>
        <stp/>
        <stp>U/DESK1/PNL_AND_PRICES2</stp>
        <tr r="C90" s="10"/>
      </tp>
    </main>
    <main first="rtdsrv_3094061c4c1b46d98df56674035f365b">
      <tp t="s">
        <v>POSITIONCHANGES</v>
        <stp/>
        <stp>PositionChanges</stp>
        <tr r="M56" s="39"/>
      </tp>
    </main>
    <main first="rtdsrv_3094061c4c1b46d98df56674035f365b">
      <tp t="s">
        <v>[REF]{{34856#2238120306000!R18C2:R20C3}},[REF]{{34856#2238120306000!R23C2:R25C3}}</v>
        <stp/>
        <stp>U.RANGE_REF_ccdc8d73-8ede-447f-92bb-16781a7eca0c</stp>
        <stp>[REF]{{34856#2238120306000!R18C2:R20C3}},[REF]{{34856#2238120306000!R23C2:R25C3}}</stp>
        <tr r="B37" s="1"/>
      </tp>
    </main>
    <main first="rtdsrv_3094061c4c1b46d98df56674035f365b">
      <tp t="s">
        <v>[REF]{{34856#2238067041648!R5C7}}</v>
        <stp/>
        <stp>U.RANGE_REF_d5f18a3a-c241-4ec2-a3cb-38884faacc36</stp>
        <stp>[REF]{{BAD}}</stp>
        <tr r="AA137" s="2"/>
      </tp>
    </main>
    <main first="rtdsrv_3094061c4c1b46d98df56674035f365b">
      <tp t="s">
        <v>[REF]{{34856#2238120306000!R249C2}}</v>
        <stp/>
        <stp>U.RANGE_REF_14e8084e-0dac-413e-8031-f5162cc0f392</stp>
        <stp>[REF]{{BAD}}</stp>
        <tr r="AA21" s="2"/>
      </tp>
      <tp t="s">
        <v>[REF]{{34856#2238123967040!R3C16:R26C25}}</v>
        <stp/>
        <stp>U.RANGE_REF_7784d805-de17-4314-a683-4f40f1dd1ca1</stp>
        <stp>[REF]{{BAD}}</stp>
        <tr r="AD68" s="2"/>
      </tp>
      <tp t="s">
        <v>[REF]{{34856#2238067033536!R92C11:R97C20}}</v>
        <stp/>
        <stp>U.RANGE_REF_9d8ecc48-46d0-4ea3-891f-cd4314da0ac1</stp>
        <stp>[REF]{{BAD}}</stp>
        <tr r="AD182" s="2"/>
      </tp>
      <tp t="s">
        <v>[REF]{{34856#2238067028128!R26C17:R34C26}}</v>
        <stp/>
        <stp>U.RANGE_REF_a974de9b-66dc-46bb-a4ad-997cedba82fa</stp>
        <stp>[REF]{{BAD}}</stp>
        <tr r="AD142" s="2"/>
      </tp>
    </main>
    <main first="rtdsrv_3094061c4c1b46d98df56674035f365b">
      <tp t="s">
        <v>[REF]{{34856#2238120306000!R178C17:R189C26}}</v>
        <stp/>
        <stp>U.RANGE_REF_168eccbd-02dd-4ab5-84a6-7326b47ee745</stp>
        <stp>[REF]{{BAD}}</stp>
        <tr r="AD11" s="2"/>
      </tp>
      <tp t="s">
        <v>[REF]{{34856#2238066875056!R11C4}}</v>
        <stp/>
        <stp>U.RANGE_REF_af6001d5-1952-4250-a7f1-d03afc1a1c70</stp>
        <stp>[REF]{{BAD}}</stp>
        <tr r="AA116" s="2"/>
      </tp>
      <tp t="s">
        <v>[REF]{{34856#2238124315008!R52C19:R63C28}}</v>
        <stp/>
        <stp>U.RANGE_REF_beac458b-8f49-4e7e-9970-5c80d6a87593</stp>
        <stp>[REF]{{BAD}}</stp>
        <tr r="AD94" s="2"/>
      </tp>
    </main>
    <main first="rtdsrv_3094061c4c1b46d98df56674035f365b">
      <tp t="s">
        <v>[REF]{{34856#2238124317712!R37C15}}</v>
        <stp/>
        <stp>U.RANGE_REF_388a7f5b-c570-4646-a923-24abc79294f2</stp>
        <stp>[REF]{{34856#2238124317712!R37C15}}</stp>
        <tr r="I7" s="59"/>
      </tp>
    </main>
    <main first="rtdsrv_3094061c4c1b46d98df56674035f365b">
      <tp t="s">
        <v>[REF]{{34856#2238123964336!R32C13:R49C22}}</v>
        <stp/>
        <stp>U.RANGE_REF_18ce4592-00e2-4d84-9fd7-05bcebec274e</stp>
        <stp>[REF]{{BAD}}</stp>
        <tr r="AD59" s="2"/>
      </tp>
    </main>
    <main first="rtdsrv_3094061c4c1b46d98df56674035f365b">
      <tp t="s">
        <v>[REF]{{34856#2238120306000!R171C3}}</v>
        <stp/>
        <stp>U.RANGE_REF_6209634e-6eba-4e1b-a515-7e0d433d5492</stp>
        <stp>[REF]{{BAD}}</stp>
        <tr r="AA171" s="2"/>
      </tp>
      <tp t="s">
        <v>[REF]{{34856#2238124315008!R158C2:R161C7}}</v>
        <stp/>
        <stp>U.RANGE_REF_480e1cad-1930-4e10-bca0-ef93bd618d99</stp>
        <stp>[REF]{{BAD}}</stp>
        <tr r="AA99" s="2"/>
      </tp>
      <tp t="s">
        <v>[REF]{{34856#2238120306000!R497C2}}</v>
        <stp/>
        <stp>U.RANGE_REF_8292f27f-084b-473e-8f60-51c3333b1683</stp>
        <stp>[REF]{{BAD}}</stp>
        <tr r="AA173" s="2"/>
      </tp>
    </main>
    <main first="rtdsrv_3094061c4c1b46d98df56674035f365b">
      <tp t="s">
        <v>[REF]{{34856#2238123134864!R133C11:R150C20}}</v>
        <stp/>
        <stp>U.RANGE_REF_0f04fd6b-8272-4c03-a07b-85857bbb03b2</stp>
        <stp>[REF]{{BAD}}</stp>
        <tr r="AD29" s="2"/>
      </tp>
      <tp t="s">
        <v>[REF]{{34856#2238067041648!R53C7}}</v>
        <stp/>
        <stp>U.RANGE_REF_df9f9332-7993-46b1-8cc3-a834b29bf1d1</stp>
        <stp>[REF]{{BAD}}</stp>
        <tr r="AA138" s="2"/>
      </tp>
      <tp t="s">
        <v>[REF]{{34856#2238124290672!R3C13:R16C22}}</v>
        <stp/>
        <stp>U.RANGE_REF_780e4ace-a47b-4656-b2b8-2ff006a2ca6e</stp>
        <stp>[REF]{{BAD}}</stp>
        <tr r="AD73" s="2"/>
      </tp>
    </main>
    <main first="rtdsrv_3094061c4c1b46d98df56674035f365b">
      <tp t="s">
        <v>[REF]{{34856#2238123134864!R41C11:R64C20}}</v>
        <stp/>
        <stp>U.RANGE_REF_3afe07c1-8d7a-4741-9a19-a8cd99e0070c</stp>
        <stp>[REF]{{BAD}}</stp>
        <tr r="AD25" s="2"/>
      </tp>
      <tp t="s">
        <v>[REF]{{34856#2238066866944!R3C17:R17C26}}</v>
        <stp/>
        <stp>U.RANGE_REF_a587bb6d-bf02-470b-bc6d-574ac0488bb7</stp>
        <stp>[REF]{{BAD}}</stp>
        <tr r="AD120" s="2"/>
      </tp>
    </main>
    <main first="rtdsrv_3094061c4c1b46d98df56674035f365b">
      <tp t="s">
        <v>[REF]{{34856#2238067033536!R8C3}}</v>
        <stp/>
        <stp>U.RANGE_REF_3e94fec6-6724-40ae-aaad-de039211ecf1</stp>
        <stp>[REF]{{BAD}}</stp>
        <tr r="AA179" s="2"/>
      </tp>
    </main>
    <main first="rtdsrv_3094061c4c1b46d98df56674035f365b">
      <tp t="s">
        <v>[REF]{{34856#2238120306000!R29C17:R40C26}}</v>
        <stp/>
        <stp>U.RANGE_REF_77823e48-3589-4612-8f52-981ffb145ee9</stp>
        <stp>[REF]{{BAD}}</stp>
        <tr r="AD166" s="2"/>
      </tp>
    </main>
    <main first="rtdsrv_3094061c4c1b46d98df56674035f365b">
      <tp t="s">
        <v>CTRL + S</v>
        <stp/>
        <stp>U.KEYBOARD_SHORTCUT_|LAST|</stp>
        <tr r="D103" s="57"/>
      </tp>
      <tp t="s">
        <v>Range name Colleagues set</v>
        <stp/>
        <stp>U.NAMED_RANGE_R74C5|COLLEAGUES</stp>
        <tr r="E74" s="35"/>
      </tp>
      <tp t="s">
        <v>[REF]{{34856#2238066885872!R11C7}}</v>
        <stp/>
        <stp>U.RANGE_REF_070e46c6-e602-4899-9daf-a538bd8a43e1</stp>
        <stp>[REF]{{BAD}}</stp>
        <tr r="AA128" s="2"/>
      </tp>
    </main>
    <main first="rtdsrv_3094061c4c1b46d98df56674035f365b">
      <tp t="s">
        <v>[REF]{{34856#2238123953520!R11C4:R13C4}}</v>
        <stp/>
        <stp>U.RANGE_REF_b074dc7b-5f9f-4eef-b071-cd8038a240cf</stp>
        <stp>[REF]{{BAD}}</stp>
        <tr r="AA56" s="2"/>
      </tp>
      <tp t="s">
        <v>[REF]{{34856#2238124315008!R118C19:R132C28}}</v>
        <stp/>
        <stp>U.RANGE_REF_5e8f1301-f365-4e9d-ac8d-15aae77ceadf</stp>
        <stp>[REF]{{BAD}}</stp>
        <tr r="AD101" s="2"/>
      </tp>
    </main>
    <main first="rtdsrv_3094061c4c1b46d98df56674035f365b">
      <tp t="s">
        <v>[REF]{{34856#2238067033536!R44C11:R55C20}}</v>
        <stp/>
        <stp>U.RANGE_REF_63b257a9-a9eb-4a55-8620-5e4a00e3496c</stp>
        <stp>[REF]{{BAD}}</stp>
        <tr r="AD151" s="2"/>
      </tp>
      <tp>
        <v>46145.895138888889</v>
        <stp/>
        <stp>U.NOW_60000_X</stp>
        <tr r="C56" s="10"/>
      </tp>
    </main>
    <main first="rtdsrv_3094061c4c1b46d98df56674035f365b">
      <tp t="s">
        <v>[REF]{{34856#2238066885872!R7C7}}</v>
        <stp/>
        <stp>U.RANGE_REF_3be5dc9d-e190-4c71-9025-228d4989a455</stp>
        <stp>[REF]{{BAD}}</stp>
        <tr r="AA127" s="2"/>
      </tp>
    </main>
    <main first="rtdsrv_3094061c4c1b46d98df56674035f365b">
      <tp t="s">
        <v>[REF]{{34856#2238121636256!R7C12:R16C20}}</v>
        <stp/>
        <stp>U.RANGE_REF_6ef75ebd-a9f1-4d14-9b5c-d7e46346aab5</stp>
        <stp>[REF]{{BAD}}</stp>
        <tr r="AA31" s="2"/>
      </tp>
    </main>
    <main first="rtdsrv_3094061c4c1b46d98df56674035f365b">
      <tp t="s">
        <v>[REF]{{34856#2238110037024!R3C17:R32C26}}</v>
        <stp/>
        <stp>U.RANGE_REF_d906f272-722a-4d5a-b414-82aecb4a0c9b</stp>
        <stp>[REF]{{BAD}}</stp>
        <tr r="AD43" s="2"/>
      </tp>
      <tp t="s">
        <v>[REF]{{34856#2238067044352!R38C22:R106C31}}</v>
        <stp/>
        <stp>U.RANGE_REF_9e0d70ac-ab94-43aa-8c4d-197c6b527f81</stp>
        <stp>[REF]{{BAD}}</stp>
        <tr r="AD158" s="2"/>
      </tp>
      <tp t="s">
        <v>Function Clamp compiled at 2026-05-03 21:26:20</v>
        <stp/>
        <stp>U.COMPILE_CLAMP</stp>
        <tr r="E5" s="60"/>
      </tp>
    </main>
    <main first="rtdsrv_3094061c4c1b46d98df56674035f365b">
      <tp t="s">
        <v>Function BS compiled at 2026-05-03 21:26:20</v>
        <stp/>
        <stp>U.COMPILE_BS</stp>
        <tr r="G52" s="60"/>
      </tp>
    </main>
    <main first="rtdsrv_3094061c4c1b46d98df56674035f365b">
      <tp t="s">
        <v>[REF]{{34856#2238120306000!R369C2:R370C3}}</v>
        <stp/>
        <stp>U.RANGE_REF_32f31b4e-b840-4bd3-875c-b07f24e0c77a</stp>
        <stp>[REF]{{BAD}}</stp>
        <tr r="AA20" s="2"/>
      </tp>
      <tp t="s">
        <v>[REF]{{34856#2238124309600!R153C17:R170C26}}</v>
        <stp/>
        <stp>U.RANGE_REF_19829aac-ced1-4b38-8de5-326a8951b3f1</stp>
        <stp>[REF]{{BAD}}</stp>
        <tr r="AD90" s="2"/>
      </tp>
    </main>
    <main first="rtdsrv_3094061c4c1b46d98df56674035f365b">
      <tp t="s">
        <v>[REF]{{34856#2238067047056!R103C5:R105C6}}</v>
        <stp/>
        <stp>U.RANGE_REF_1a1f67e3-9f3f-4f63-a059-6b1fd032b2e4</stp>
        <stp>[REF]{{BAD}}</stp>
        <tr r="AA155" s="2"/>
      </tp>
    </main>
    <main first="rtdsrv_3094061c4c1b46d98df56674035f365b">
      <tp t="s">
        <v>[REF]{{34856#2238123940000!R3C13:R20C22}}</v>
        <stp/>
        <stp>U.RANGE_REF_649a0ca2-4d58-45d0-b080-4165075678c4</stp>
        <stp>[REF]{{BAD}}</stp>
        <tr r="AD51" s="2"/>
      </tp>
      <tp t="s">
        <v>[REF]{{34856#2238067033536!R75C3}}</v>
        <stp/>
        <stp>U.RANGE_REF_f69c25da-0715-4b7b-a3d1-bd4afd4dae70</stp>
        <stp>[REF]{{BAD}}</stp>
        <tr r="AA186" s="2"/>
      </tp>
    </main>
    <main first="rtdsrv_3094061c4c1b46d98df56674035f365b">
      <tp t="s">
        <v>[REF]{{34856#2238124317712!R89C20}}</v>
        <stp/>
        <stp>U.RANGE_REF_d2f513d1-53d4-4bc2-859d-92d784d0dc98</stp>
        <stp>[REF]{{BAD}}</stp>
        <tr r="AA110" s="2"/>
      </tp>
      <tp t="s">
        <v>[REF]{{34856#2238123958928!R3C16:R20C25}}</v>
        <stp/>
        <stp>U.RANGE_REF_bc4bf652-07ac-4faa-abe7-47da56847018</stp>
        <stp>[REF]{{BAD}}</stp>
        <tr r="AD63" s="2"/>
      </tp>
    </main>
    <main first="rtdsrv_3094061c4c1b46d98df56674035f365b">
      <tp t="s">
        <v>[REF]{{34856#2238120306000!R103C17:R117C26}}</v>
        <stp/>
        <stp>U.RANGE_REF_97c299e7-ea4c-434b-b1b1-3b22a7836f08</stp>
        <stp>[REF]{{BAD}}</stp>
        <tr r="AD164" s="2"/>
      </tp>
    </main>
    <main first="rtdsrv_3094061c4c1b46d98df56674035f365b">
      <tp t="s">
        <v>[REF]{{34856#2238067038944!R52C17:R72C26}}</v>
        <stp/>
        <stp>U.RANGE_REF_4fc09bb7-29a7-4824-beed-f9493d4ea709</stp>
        <stp>[REF]{{BAD}}</stp>
        <tr r="AD147" s="2"/>
      </tp>
      <tp t="s">
        <v>[REF]{{34856#2238106958512!R6C9:R10C12}}</v>
        <stp/>
        <stp>U.RANGE_REF_ad553100-bc77-4799-afb6-52379d79d082</stp>
        <stp>[REF]{{BAD}}</stp>
        <tr r="AA41" s="2"/>
      </tp>
    </main>
    <main first="rtdsrv_3094061c4c1b46d98df56674035f365b">
      <tp t="s">
        <v>Function CND compiled at 2026-05-03 21:26:20</v>
        <stp/>
        <stp>U.COMPILE_CND</stp>
        <tr r="G70" s="60"/>
      </tp>
      <tp t="s">
        <v>[REF]{{34856#2238123969744!R3C12:R17C21}}</v>
        <stp/>
        <stp>U.RANGE_REF_387789c8-a9ea-4401-96d6-f2a92ed3a323</stp>
        <stp>[REF]{{BAD}}</stp>
        <tr r="AD64" s="2"/>
      </tp>
      <tp t="s">
        <v>[REF]{{34856#2238124290672!R5C5}}</v>
        <stp/>
        <stp>U.RANGE_REF_60f999b4-cc3e-415a-8ebb-269071e5785e</stp>
        <stp>[REF]{{BAD}}</stp>
        <tr r="AA73" s="2"/>
      </tp>
      <tp t="s">
        <v>[REF]{{34856#2238066864240!R55C2:R57C2}}</v>
        <stp/>
        <stp>U.RANGE_REF_9a5f36a1-c64b-4907-8e83-28932267e921</stp>
        <stp>[REF]{{BAD}}</stp>
        <tr r="AA113" s="2"/>
      </tp>
    </main>
    <main first="rtdsrv_3094061c4c1b46d98df56674035f365b">
      <tp t="s">
        <v>[REF]{{34856#2238124315008!R135C19:R143C28}}</v>
        <stp/>
        <stp>U.RANGE_REF_618b74c3-4b8d-4ffe-aee0-43fbd674fb33</stp>
        <stp>[REF]{{BAD}}</stp>
        <tr r="AD105" s="2"/>
      </tp>
      <tp t="s">
        <v>[REF]{{34856#2238067041648!R23C17:R43C26}}</v>
        <stp/>
        <stp>U.RANGE_REF_8acb99a7-284f-4ba1-9840-35cc74ff4fd0</stp>
        <stp>[REF]{{BAD}}</stp>
        <tr r="AD138" s="2"/>
      </tp>
    </main>
    <main first="rtdsrv_3094061c4c1b46d98df56674035f365b">
      <tp t="s">
        <v>[REF]{{34856#2238123945408!R7C8:R10C9}}</v>
        <stp/>
        <stp>U.RANGE_REF_694c5930-a230-45dd-9f2a-abbb4fe70888</stp>
        <stp>[REF]{{BAD}}</stp>
        <tr r="AA54" s="2"/>
      </tp>
      <tp t="s">
        <v>[REF]{{34856#2238067044352!R5C5}}</v>
        <stp/>
        <stp>U.RANGE_REF_01062b80-7c28-4764-8fd3-0138588ef08f</stp>
        <stp>[REF]{{BAD}}</stp>
        <tr r="AA157" s="2"/>
      </tp>
    </main>
    <main first="rtdsrv_3094061c4c1b46d98df56674035f365b">
      <tp t="s">
        <v>[REF]{{34856#2238124315008!R178C5}}</v>
        <stp/>
        <stp>U.RANGE_REF_f514f100-7677-4619-a5e3-0580a24238ca</stp>
        <stp>[REF]{{BAD}}</stp>
        <tr r="AA100" s="2"/>
      </tp>
    </main>
    <main first="rtdsrv_3094061c4c1b46d98df56674035f365b">
      <tp t="s">
        <v>[REF]{{34856#2238110039728!R71C17:R88C26}}</v>
        <stp/>
        <stp>U.RANGE_REF_757450a0-f38a-4c9c-8605-ba88e4ab18ba</stp>
        <stp>[REF]{{BAD}}</stp>
        <tr r="AD45" s="2"/>
      </tp>
    </main>
    <main first="rtdsrv_3094061c4c1b46d98df56674035f365b">
      <tp t="s">
        <v>[REF]{{34856#2238067033536!R119C2}}</v>
        <stp/>
        <stp>U.RANGE_REF_f0bf4adc-f1c9-4b46-9eb1-83d63012b78e</stp>
        <stp>[REF]{{BAD}}</stp>
        <tr r="AA188" s="2"/>
      </tp>
    </main>
    <main first="rtdsrv_3094061c4c1b46d98df56674035f365b">
      <tp t="s">
        <v>[REF]{{34856#2238067033536!R150C11:R158C20}}</v>
        <stp/>
        <stp>U.RANGE_REF_15f59ec0-7966-4e8e-a0de-4f458d16c07d</stp>
        <stp>[REF]{{BAD}}</stp>
        <tr r="AD186" s="2"/>
      </tp>
      <tp t="s">
        <v>[REF]{{34856#2238124301488!R6C5:R7C5}}</v>
        <stp/>
        <stp>U.RANGE_REF_da2c7a87-e612-42bd-8f11-11700ab87237</stp>
        <stp>[REF]{{BAD}}</stp>
        <tr r="AA70" s="2"/>
      </tp>
      <tp t="s">
        <v>[REF]{{34856#2238124287968!R3C13:R29C22}}</v>
        <stp/>
        <stp>U.RANGE_REF_84aa0603-c111-46da-b64c-d781456ce0f2</stp>
        <stp>[REF]{{BAD}}</stp>
        <tr r="AD65" s="2"/>
      </tp>
    </main>
    <main first="rtdsrv_3094061c4c1b46d98df56674035f365b">
      <tp t="s">
        <v>[REF]{{34856#2238067033536!R33C11:R41C20}}</v>
        <stp/>
        <stp>U.RANGE_REF_a003978a-8fcb-40a5-a2fa-f550f7bf053b</stp>
        <stp>[REF]{{BAD}}</stp>
        <tr r="AD180" s="2"/>
      </tp>
      <tp>
        <v>46145.893291284723</v>
        <stp/>
        <stp>SYNC_CELLS ID=0D7D590FB21245B1B4FEFF7B6C8E53E5</stp>
        <tr r="E26" s="38"/>
      </tp>
    </main>
    <main first="rtdsrv_3094061c4c1b46d98df56674035f365b">
      <tp t="s">
        <v>[REF]{{34856#2238066877760!R5C4}}</v>
        <stp/>
        <stp>U.RANGE_REF_d5ef989c-881c-4e1d-925d-76efe296a166</stp>
        <stp>[REF]{{BAD}}</stp>
        <tr r="AA118" s="2"/>
      </tp>
      <tp t="s">
        <v>[REF]{{34856#2238124315008!R200C5}}</v>
        <stp/>
        <stp>U.RANGE_REF_8654cb57-7aec-454c-86b8-a977b7617d2c</stp>
        <stp>[REF]{{BAD}}</stp>
        <tr r="AA106" s="2"/>
      </tp>
      <tp t="s">
        <v>[REF]{{34856#2238124304192!R180C9}}</v>
        <stp/>
        <stp>U.RANGE_REF_5db6273c-b4f4-43c2-8c88-9b4e926f7259</stp>
        <stp>[REF]{{BAD}}</stp>
        <tr r="AA69" s="2"/>
      </tp>
    </main>
    <main first="rtdsrv_3094061c4c1b46d98df56674035f365b">
      <tp t="s">
        <v>[REF]{{34856#2238066885872!R26C17:R52C26}}</v>
        <stp/>
        <stp>U.RANGE_REF_8341070c-0e88-4abc-8e37-eedf84a11d9d</stp>
        <stp>[REF]{{BAD}}</stp>
        <tr r="AD128" s="2"/>
      </tp>
      <tp t="s">
        <v>[REF]{{34856#2238120306000!R192C17:R206C26}}</v>
        <stp/>
        <stp>U.RANGE_REF_1a9461c8-61bd-45fd-956f-1f01826483aa</stp>
        <stp>[REF]{{BAD}}</stp>
        <tr r="AD12" s="2"/>
      </tp>
    </main>
    <main first="rtdsrv_3094061c4c1b46d98df56674035f365b">
      <tp t="s">
        <v>[REF]{{34856#2238067033536!R25C11:R30C20}}</v>
        <stp/>
        <stp>U.RANGE_REF_27760ce6-1114-4f24-8c76-d4835e5d1b10</stp>
        <stp>[REF]{{BAD}}</stp>
        <tr r="AD179" s="2"/>
      </tp>
      <tp t="s">
        <v>[REF]{{34856#2238067044352!R180C22:R248C31}}</v>
        <stp/>
        <stp>U.RANGE_REF_1d11bf0f-c9bb-43ba-81eb-ac1fc5dc81f6</stp>
        <stp>[REF]{{BAD}}</stp>
        <tr r="AD159" s="2"/>
      </tp>
      <tp t="s">
        <v>[REF]{{34856#2238124309600!R152C3}}</v>
        <stp/>
        <stp>U.RANGE_REF_6f24e793-9adb-4ad5-93f1-1baf4c6707ef</stp>
        <stp>[REF]{{BAD}}</stp>
        <tr r="AA88" s="2"/>
      </tp>
    </main>
    <main first="rtdsrv_3094061c4c1b46d98df56674035f365b">
      <tp t="s">
        <v>[REF]{{34856#2238067038944!R101C2}}</v>
        <stp/>
        <stp>U.RANGE_REF_11426afd-8afe-4b77-bba2-aa91c94554e5</stp>
        <stp>[REF]{{BAD}}</stp>
        <tr r="AA148" s="2"/>
      </tp>
    </main>
    <main first="rtdsrv_3094061c4c1b46d98df56674035f365b">
      <tp t="s">
        <v>[REF]{{34856#2238066885872!R53C7}}</v>
        <stp/>
        <stp>U.RANGE_REF_c9873c77-ce2e-4f6c-9d9c-396fbe2eebd5</stp>
        <stp>[REF]{{BAD}}</stp>
        <tr r="AA129" s="2"/>
      </tp>
    </main>
    <main first="rtdsrv_3094061c4c1b46d98df56674035f365b">
      <tp t="s">
        <v>[REF]{{34856#2238116407088!R7C7:R12C8}}</v>
        <stp/>
        <stp>U.RANGE_REF_2dec9531-874c-4d3b-8bed-8e9f827f62bf</stp>
        <stp>[REF]{{BAD}}</stp>
        <tr r="AA32" s="2"/>
      </tp>
    </main>
    <main first="rtdsrv_3094061c4c1b46d98df56674035f365b">
      <tp t="s">
        <v>[REF]{{34856#2238067033536!R6C3}}</v>
        <stp/>
        <stp>U.RANGE_REF_9af22520-bbd2-45bc-a61e-d977d746b59c</stp>
        <stp>[REF]{{BAD}}</stp>
        <tr r="AA178" s="2"/>
      </tp>
    </main>
    <main first="rtdsrv_3094061c4c1b46d98df56674035f365b">
      <tp t="s">
        <v>[REF]{{34856#2238123956224!R3C14:R26C23}}</v>
        <stp/>
        <stp>U.RANGE_REF_d52dcdb7-1f3c-44eb-a294-44840476cde8</stp>
        <stp>[REF]{{BAD}}</stp>
        <tr r="AD52" s="2"/>
      </tp>
      <tp t="s">
        <v>[REF]{{34856#2238118159472!R95C17:R118C26}}</v>
        <stp/>
        <stp>U.RANGE_REF_6d911bf3-f266-4d5e-9484-21aa34dd0b4a</stp>
        <stp>[REF]{{BAD}}</stp>
        <tr r="AD7" s="2"/>
      </tp>
    </main>
    <main first="rtdsrv_3094061c4c1b46d98df56674035f365b">
      <tp t="s">
        <v>[REF]{{34856#2238120306000!R164C17:R175C26}}</v>
        <stp/>
        <stp>U.RANGE_REF_eb808def-113f-48b4-aaec-6358886af1dc</stp>
        <stp>[REF]{{BAD}}</stp>
        <tr r="AD21" s="2"/>
      </tp>
    </main>
    <main first="rtdsrv_3094061c4c1b46d98df56674035f365b">
      <tp t="s">
        <v>[REF]{{34856#2238124315008!R228C5}}</v>
        <stp/>
        <stp>U.RANGE_REF_33104d5e-f060-41df-bd29-3559155a4ce7</stp>
        <stp>[REF]{{BAD}}</stp>
        <tr r="AA107" s="2"/>
      </tp>
    </main>
    <main first="rtdsrv_3094061c4c1b46d98df56674035f365b">
      <tp t="s">
        <v>[REF]{{34856#2238066875056!R52C11:R66C20}}</v>
        <stp/>
        <stp>U.RANGE_REF_2fd2956e-aa43-4929-9ff1-87831e715fe4</stp>
        <stp>[REF]{{BAD}}</stp>
        <tr r="AD117" s="2"/>
      </tp>
    </main>
    <main first="rtdsrv_3094061c4c1b46d98df56674035f365b">
      <tp t="s">
        <v>[REF]{{34856#2238120306000!R35C6}}</v>
        <stp/>
        <stp>U.RANGE_REF_07298d6c-bd02-4125-a897-f52320402760</stp>
        <stp>[REF]{{BAD}}</stp>
        <tr r="AA166" s="2"/>
      </tp>
      <tp t="s">
        <v>[REF]{{34856#2238124309600!R61C5}}</v>
        <stp/>
        <stp>U.RANGE_REF_0042b075-91fd-452b-9d3e-79ebfd0079e0</stp>
        <stp>[REF]{{BAD}}</stp>
        <tr r="AA83" s="2"/>
      </tp>
    </main>
    <main first="rtdsrv_3094061c4c1b46d98df56674035f365b">
      <tp t="s">
        <v>[REF]{{34856#2238067047056!R34C17:R48C26}}</v>
        <stp/>
        <stp>U.RANGE_REF_95bc0d13-9123-4543-b65d-6ee531e8f1a4</stp>
        <stp>[REF]{{BAD}}</stp>
        <tr r="AD163" s="2"/>
      </tp>
      <tp t="s">
        <v>[REF]{{34856#2238124309600!R5C5}}</v>
        <stp/>
        <stp>U.RANGE_REF_c1eab95b-9388-4bed-8221-e4578d0a9505</stp>
        <stp>[REF]{{BAD}}</stp>
        <tr r="AA84" s="2"/>
      </tp>
    </main>
    <main first="rtdsrv_3094061c4c1b46d98df56674035f365b">
      <tp t="s">
        <v>[REF]{{34856#2238124306896!R100C3}}</v>
        <stp/>
        <stp>U.RANGE_REF_81c589b9-1eec-450c-9fb3-063eae126126</stp>
        <stp>[REF]{{BAD}}</stp>
        <tr r="AA79" s="2"/>
      </tp>
    </main>
    <main first="rtdsrv_3094061c4c1b46d98df56674035f365b">
      <tp t="s">
        <v>[REF]{{34856#2238124317712!R59C15}}</v>
        <stp/>
        <stp>U.RANGE_REF_915284d1-5d54-4229-bba4-db9ff37349da</stp>
        <stp>[REF]{{34856#2238124317712!R59C15}}</stp>
        <tr r="I8" s="59"/>
      </tp>
    </main>
    <main first="rtdsrv_3094061c4c1b46d98df56674035f365b">
      <tp t="s">
        <v>[REF]{{34856#2238120306000!R339C17:R347C26}}</v>
        <stp/>
        <stp>U.RANGE_REF_0b41d7dc-f4f6-4e75-87d6-0a670d5d876b</stp>
        <stp>[REF]{{BAD}}</stp>
        <tr r="AD174" s="2"/>
      </tp>
      <tp t="s">
        <v>[REF]{{34856#2238124315008!R203C19:R217C28}}</v>
        <stp/>
        <stp>U.RANGE_REF_e0ceb6ea-3ec3-44a3-862c-83e5f2234b02</stp>
        <stp>[REF]{{BAD}}</stp>
        <tr r="AD103" s="2"/>
      </tp>
    </main>
    <main first="rtdsrv_3094061c4c1b46d98df56674035f365b">
      <tp t="s">
        <v>[REF]{{34856#2238066885872!R55C17:R60C26}}</v>
        <stp/>
        <stp>U.RANGE_REF_f80496e3-0d04-413d-b1ef-3ee79a63afc1</stp>
        <stp>[REF]{{BAD}}</stp>
        <tr r="AD129" s="2"/>
      </tp>
    </main>
    <main first="rtdsrv_3094061c4c1b46d98df56674035f365b">
      <tp t="s">
        <v>[REF]{{34856#2238124315008!R235C5}}</v>
        <stp/>
        <stp>U.RANGE_REF_1aa10eb9-3b03-44ac-81c5-ed8fbd818f36</stp>
        <stp>[REF]{{BAD}}</stp>
        <tr r="AA102" s="2"/>
      </tp>
    </main>
    <main first="rtdsrv_3094061c4c1b46d98df56674035f365b">
      <tp t="s">
        <v>[REF]{{34856#2238067044352!R109C22:R177C31}}</v>
        <stp/>
        <stp>U.RANGE_REF_7b1b0423-37ac-41b6-8170-87edffade9f3</stp>
        <stp>[REF]{{BAD}}</stp>
        <tr r="AD160" s="2"/>
      </tp>
    </main>
    <main first="rtdsrv_3094061c4c1b46d98df56674035f365b">
      <tp t="s">
        <v>[REF]{{34856#2238123964336!R102C4}}</v>
        <stp/>
        <stp>U.RANGE_REF_4dad76fd-a25d-4b77-8705-7f1db651b3b0</stp>
        <stp>[REF]{{BAD}}</stp>
        <tr r="AA60" s="2"/>
      </tp>
    </main>
    <main first="rtdsrv_3094061c4c1b46d98df56674035f365b">
      <tp t="s">
        <v>[REF]{{34856#2238120306000!R507C2}}</v>
        <stp/>
        <stp>U.RANGE_REF_4e82134b-59dc-404d-ab9a-e259025f9f24</stp>
        <stp>[REF]{{BAD}}</stp>
        <tr r="AA174" s="2"/>
      </tp>
      <tp t="s">
        <v>[REF]{{34856#2238120306000!R148C17:R162C26}}</v>
        <stp/>
        <stp>U.RANGE_REF_e3fbc0d5-76b0-4473-89e7-71e515b7fcb6</stp>
        <stp>[REF]{{BAD}}</stp>
        <tr r="AD169" s="2"/>
      </tp>
      <tp t="s">
        <v>[REF]{{34856#2238067033536!R58C11:R66C20}}</v>
        <stp/>
        <stp>U.RANGE_REF_64f7be69-ae06-42b6-9a00-050e862307ae</stp>
        <stp>[REF]{{BAD}}</stp>
        <tr r="AD181" s="2"/>
      </tp>
    </main>
    <main first="rtdsrv_3094061c4c1b46d98df56674035f365b">
      <tp t="s">
        <v>[REF]{{34856#2238120306000!R280C17:R294C26}}</v>
        <stp/>
        <stp>U.RANGE_REF_265bdd57-b4dc-45ba-8e5c-14e33afa9327</stp>
        <stp>[REF]{{BAD}}</stp>
        <tr r="AD17" s="2"/>
      </tp>
      <tp t="s">
        <v>[REF]{{34856#2238066885872!R3C17:R23C26}}</v>
        <stp/>
        <stp>U.RANGE_REF_45bd5e15-abf3-4a5b-96d2-bc43652fd4cc</stp>
        <stp>[REF]{{BAD}}</stp>
        <tr r="AD127" s="2"/>
      </tp>
      <tp t="s">
        <v>[REF]{{34856#2238067047056!R51C17:R62C26}}</v>
        <stp/>
        <stp>U.RANGE_REF_62f2cffe-0606-4156-96b4-b083c29530e0</stp>
        <stp>[REF]{{BAD}}</stp>
        <tr r="AD155" s="2"/>
      </tp>
      <tp t="s">
        <v>[REF]{{34856#2238123134864!R96C3}}</v>
        <stp/>
        <stp>U.RANGE_REF_54bfaf62-b5d5-4a41-bcff-b8680dcb4f40</stp>
        <stp>[REF]{{BAD}}</stp>
        <tr r="AA27" s="2"/>
      </tp>
    </main>
    <main first="rtdsrv_3094061c4c1b46d98df56674035f365b">
      <tp t="s">
        <v>[REF]{{34856#2238110039728!R5C5}}</v>
        <stp/>
        <stp>U.RANGE_REF_d5bab34e-74d0-4065-8454-5229783dd91f</stp>
        <stp>[REF]{{BAD}}</stp>
        <tr r="AA44" s="2"/>
      </tp>
      <tp t="s">
        <v>[REF]{{34856#2238067033536!R131C11:R136C20}}</v>
        <stp/>
        <stp>U.RANGE_REF_ef18ad96-3f6a-4961-bd0b-a49d48b0201e</stp>
        <stp>[REF]{{BAD}}</stp>
        <tr r="AD185" s="2"/>
      </tp>
      <tp t="s">
        <v>[REF]{{34856#2238067044352!R16C5}}</v>
        <stp/>
        <stp>U.RANGE_REF_0a2ba9c9-c371-43c1-8d4d-d2675a36dfe6</stp>
        <stp>[REF]{{BAD}}</stp>
        <tr r="AA158" s="2"/>
      </tp>
      <tp t="s">
        <v>[REF]{{34856#2238110034320!R5C6:R13C7}}</v>
        <stp/>
        <stp>U.RANGE_REF_b035e640-41bb-4cc1-a4b6-5d1ca82ce4e2</stp>
        <stp>[REF]{{BAD}}</stp>
        <tr r="AA50" s="2"/>
      </tp>
    </main>
    <main first="rtdsrv_3094061c4c1b46d98df56674035f365b">
      <tp t="s">
        <v>[REF]{{34856#2238110039728!R74C5}}</v>
        <stp/>
        <stp>U.RANGE_REF_c4eb65ce-0333-4ae6-b666-56d6fa822c9f</stp>
        <stp>[REF]{{BAD}}</stp>
        <tr r="AA45" s="2"/>
      </tp>
    </main>
    <main first="rtdsrv_3094061c4c1b46d98df56674035f365b">
      <tp t="s">
        <v>[REF]{{34856#2238123945408!R3C17:R17C26}}</v>
        <stp/>
        <stp>U.RANGE_REF_03c63d62-eded-44f6-b73b-3f49d2aaafcc</stp>
        <stp>[REF]{{BAD}}</stp>
        <tr r="AD54" s="2"/>
      </tp>
    </main>
    <main first="rtdsrv_3094061c4c1b46d98df56674035f365b">
      <tp t="s">
        <v>[REF]{{34856#2238067036240!R5C3}}</v>
        <stp/>
        <stp>U.RANGE_REF_30132db8-2fb7-4371-93dd-d36f58cc18af</stp>
        <stp>[REF]{{BAD}}</stp>
        <tr r="AA135" s="2"/>
      </tp>
    </main>
    <main first="rtdsrv_3094061c4c1b46d98df56674035f365b">
      <tp t="s">
        <v>[REF]{{34856#2238067033536!R186C11:R200C20}}</v>
        <stp/>
        <stp>U.RANGE_REF_37ac627d-80ec-4b9e-8307-fc0eed4bb009</stp>
        <stp>[REF]{{BAD}}</stp>
        <tr r="AD189" s="2"/>
      </tp>
    </main>
    <main first="rtdsrv_3094061c4c1b46d98df56674035f365b">
      <tp t="s">
        <v>[REF]{{34856#2238124293376!R6C6:R10C6}}</v>
        <stp/>
        <stp>U.RANGE_REF_1b40ddf1-8e1f-4926-b578-2de69f934d67</stp>
        <stp>[REF]{{BAD}}</stp>
        <tr r="AA81" s="2"/>
      </tp>
      <tp t="s">
        <v>[REF]{{34856#2238118159472!R155C2:R182C6}}</v>
        <stp/>
        <stp>U.RANGE_REF_27690910-4248-4dd8-9004-7408d5d15106</stp>
        <stp>[REF]{{BAD}}</stp>
        <tr r="AA172" s="2"/>
      </tp>
    </main>
    <main first="rtdsrv_3094061c4c1b46d98df56674035f365b">
      <tp t="s">
        <v>[REF]{{34856#2238124315008!R35C19:R49C28}}</v>
        <stp/>
        <stp>U.RANGE_REF_b9182cf5-28bb-48c5-b17f-9297a8e27c0b</stp>
        <stp>[REF]{{BAD}}</stp>
        <tr r="AD104" s="2"/>
      </tp>
      <tp t="s">
        <v>[REF]{{34856#2238067038944!R75C17:R95C26}}</v>
        <stp/>
        <stp>U.RANGE_REF_f8c76057-0749-441e-823f-79f87212875e</stp>
        <stp>[REF]{{BAD}}</stp>
        <tr r="AD148" s="2"/>
      </tp>
      <tp t="s">
        <v>[REF]{{34856#2238066888576!R3C17:R20C26}}</v>
        <stp/>
        <stp>U.RANGE_REF_3d31a054-0261-4bf3-80cf-6e124f086166</stp>
        <stp>[REF]{{BAD}}</stp>
        <tr r="AD131" s="2"/>
      </tp>
    </main>
    <main first="rtdsrv_3094061c4c1b46d98df56674035f365b">
      <tp t="s">
        <v>[REF]{{34856#2238067033536!R203C11:R208C20}}</v>
        <stp/>
        <stp>U.RANGE_REF_f04cdf42-8b28-4850-a005-3bf05df56530</stp>
        <stp>[REF]{{BAD}}</stp>
        <tr r="AD188" s="2"/>
      </tp>
      <tp t="s">
        <v>[REF]{{34856#2238110026208!R3C22:R20C31}}</v>
        <stp/>
        <stp>U.RANGE_REF_c4368835-6aaa-4456-b32b-6fb337013059</stp>
        <stp>[REF]{{BAD}}</stp>
        <tr r="AD47" s="2"/>
      </tp>
    </main>
    <main first="rtdsrv_3094061c4c1b46d98df56674035f365b">
      <tp t="s">
        <v>[REF]{{34856#2238120306000!R443C3}}</v>
        <stp/>
        <stp>U.RANGE_REF_aaaa10f2-22d0-428a-afe2-c7efe9d620b2</stp>
        <stp>[REF]{{BAD}}</stp>
        <tr r="AA18" s="2"/>
      </tp>
      <tp t="s">
        <v>[REF]{{34856#2238124309600!R58C17:R84C26}}</v>
        <stp/>
        <stp>U.RANGE_REF_31d0775f-5f63-4399-b478-d2cef294a51e</stp>
        <stp>[REF]{{BAD}}</stp>
        <tr r="AD86" s="2"/>
      </tp>
      <tp t="s">
        <v>[REF]{{34856#2238123134864!R49C3}}</v>
        <stp/>
        <stp>U.RANGE_REF_299bd9d8-2f0d-48dc-a1d7-bacf322dac94</stp>
        <stp>[REF]{{BAD}}</stp>
        <tr r="AA25" s="2"/>
      </tp>
    </main>
    <main first="rtdsrv_3094061c4c1b46d98df56674035f365b">
      <tp t="s">
        <v>[REF]{{34856#2238124293376!R3C13:R20C22}}</v>
        <stp/>
        <stp>U.RANGE_REF_1d538fd6-2d67-48f9-beeb-413508ddb9db</stp>
        <stp>[REF]{{BAD}}</stp>
        <tr r="AD81" s="2"/>
      </tp>
      <tp t="s">
        <v>[REF]{{34856#2238067033536!R12C3}}</v>
        <stp/>
        <stp>U.RANGE_REF_4b7be686-d9c1-4215-96d3-5b16bf32d4cb</stp>
        <stp>[REF]{{BAD}}</stp>
        <tr r="AA151" s="2"/>
      </tp>
      <tp t="s">
        <v>[REF]{{34856#2238120306000!R297C17:R311C26}}</v>
        <stp/>
        <stp>U.RANGE_REF_ec20cd0f-beb5-4595-9e0e-e5bd66feb8ba</stp>
        <stp>[REF]{{BAD}}</stp>
        <tr r="AD18" s="2"/>
      </tp>
    </main>
    <main first="rtdsrv_3094061c4c1b46d98df56674035f365b">
      <tp t="s">
        <v>[REF]{{34856#2238124312304!R3C13:R17C22}}</v>
        <stp/>
        <stp>U.RANGE_REF_e7dd3e2e-466d-4cc8-9ead-db212ca33c32</stp>
        <stp>[REF]{{BAD}}</stp>
        <tr r="AD143" s="2"/>
      </tp>
      <tp t="s">
        <v>[REF]{{34856#2238116439920!R7C5:R14C6}}</v>
        <stp/>
        <stp>U.RANGE_REF_21f28d75-a093-433a-b5e6-dc459fe171b8</stp>
        <stp>[REF]{{BAD}}</stp>
        <tr r="AA38" s="2"/>
      </tp>
      <tp t="s">
        <v>[REF]{{34856#2238110026208!R49C22:R57C31}}</v>
        <stp/>
        <stp>U.RANGE_REF_caa046e0-f2e1-4141-a3d4-a630ed7d5db2</stp>
        <stp>[REF]{{BAD}}</stp>
        <tr r="AD49" s="2"/>
      </tp>
    </main>
    <main first="rtdsrv_3094061c4c1b46d98df56674035f365b">
      <tp t="s">
        <v>[REF]{{34856#2238120306000!R226C17:R240C26}}</v>
        <stp/>
        <stp>U.RANGE_REF_aa0f96c5-1c03-48c6-92e1-422db8d4fa3e</stp>
        <stp>[REF]{{BAD}}</stp>
        <tr r="AD14" s="2"/>
      </tp>
    </main>
    <main first="rtdsrv_3094061c4c1b46d98df56674035f365b">
      <tp t="s">
        <v>[REF]{{34856#2238067047056!R17C17:R31C26}}</v>
        <stp/>
        <stp>U.RANGE_REF_b0f1b9c4-352e-4d7d-ad1c-1a23e7669d3a</stp>
        <stp>[REF]{{BAD}}</stp>
        <tr r="AD154" s="2"/>
      </tp>
    </main>
    <main first="rtdsrv_3094061c4c1b46d98df56674035f365b">
      <tp t="s">
        <v>[REF]{{34856#2238066869648!R5C5}}</v>
        <stp/>
        <stp>U.RANGE_REF_7d033b45-db82-4cdc-b05f-ecd650f622a6</stp>
        <stp>[REF]{{BAD}}</stp>
        <tr r="AA125" s="2"/>
      </tp>
      <tp t="s">
        <v>[REF]{{34856#2238120306000!R379C3}}</v>
        <stp/>
        <stp>U.RANGE_REF_b42c3cb2-bdb7-4f8e-b6e2-b1aed63c5f78</stp>
        <stp>[REF]{{BAD}}</stp>
        <tr r="AA13" s="2"/>
      </tp>
      <tp t="s">
        <v>[REF]{{34856#2238124315008!R71C2:R128C2}}</v>
        <stp/>
        <stp>U.RANGE_REF_2c2bd071-b51d-4bb7-88e1-a9fd86251e6a</stp>
        <stp>[REF]{{BAD}}</stp>
        <tr r="AA97" s="2"/>
      </tp>
      <tp t="s">
        <v>[REF]{{34856#2238066875056!R8C4}}</v>
        <stp/>
        <stp>U.RANGE_REF_272ab4e0-d593-4c70-870b-eff939d1dba3</stp>
        <stp>[REF]{{BAD}}</stp>
        <tr r="AA115" s="2"/>
      </tp>
    </main>
    <main first="rtdsrv_3094061c4c1b46d98df56674035f365b">
      <tp t="s">
        <v>[REF]{{34856#2238123961632!R7C7}}</v>
        <stp/>
        <stp>U.RANGE_REF_2b8e0da3-0127-476a-8cf9-ac24e320be2c</stp>
        <stp>[REF]{{BAD}}</stp>
        <tr r="AA62" s="2"/>
      </tp>
    </main>
    <main first="rtdsrv_3094061c4c1b46d98df56674035f365b">
      <tp t="s">
        <v>[REF]{{34856#2238123964336!R8C4}}</v>
        <stp/>
        <stp>U.RANGE_REF_056b9040-d762-4c47-8d75-28d89d6c751f</stp>
        <stp>[REF]{{BAD}}</stp>
        <tr r="AA58" s="2"/>
      </tp>
      <tp t="s">
        <v>[REF]{{34856#2238110034320!R3C14:R23C23}}</v>
        <stp/>
        <stp>U.RANGE_REF_0cee95b4-5719-445b-a1e8-aabe928fd417</stp>
        <stp>[REF]{{BAD}}</stp>
        <tr r="AD50" s="2"/>
      </tp>
    </main>
    <main first="rtdsrv_3094061c4c1b46d98df56674035f365b">
      <tp t="s">
        <v>[REF]{{34856#2238110039728!R3C17:R68C26}}</v>
        <stp/>
        <stp>U.RANGE_REF_a9f043df-ef36-499d-a163-e808c1f2ccb7</stp>
        <stp>[REF]{{BAD}}</stp>
        <tr r="AD44" s="2"/>
      </tp>
    </main>
    <main first="rtdsrv_3094061c4c1b46d98df56674035f365b">
      <tp t="s">
        <v>[REF]{{34856#2238120306000!R243C17:R260C26}}</v>
        <stp/>
        <stp>U.RANGE_REF_090107ae-27b0-4096-975d-d37ba55a8ec9</stp>
        <stp>[REF]{{BAD}}</stp>
        <tr r="AD15" s="2"/>
      </tp>
      <tp t="s">
        <v>[REF]{{34856#2238124315008!R96C19:R101C28}}</v>
        <stp/>
        <stp>U.RANGE_REF_827845f6-158d-4226-af3c-eae36107341e</stp>
        <stp>[REF]{{BAD}}</stp>
        <tr r="AD99" s="2"/>
      </tp>
      <tp t="s">
        <v>[REF]{{34856#2238124306896!R18C3}}</v>
        <stp/>
        <stp>U.RANGE_REF_daf604d3-0e7e-4388-a12b-e8a48d2a2f51</stp>
        <stp>[REF]{{BAD}}</stp>
        <tr r="AA76" s="2"/>
      </tp>
    </main>
    <main first="rtdsrv_3094061c4c1b46d98df56674035f365b">
      <tp t="s">
        <v>[REF]{{34856#2238124298784!R3C13:R26C22}}</v>
        <stp/>
        <stp>U.RANGE_REF_7715680a-b626-4d34-ac9e-f039d8c03da0</stp>
        <stp>[REF]{{BAD}}</stp>
        <tr r="AD72" s="2"/>
      </tp>
      <tp t="s">
        <v>[REF]{{34856#2238067047056!R82C2:R82C3}}</v>
        <stp/>
        <stp>U.RANGE_REF_0b57d9fa-5682-4d51-aa25-d53858b387b3</stp>
        <stp>[REF]{{BAD}}</stp>
        <tr r="AA154" s="2"/>
      </tp>
      <tp t="s">
        <v>[REF]{{34856#2238118159472!R56C3}}</v>
        <stp/>
        <stp>U.RANGE_REF_feccd9d2-caa1-4160-8c46-3be19aeac338</stp>
        <stp>[REF]{{BAD}}</stp>
        <tr r="AA165" s="2"/>
      </tp>
      <tp t="s">
        <v>[REF]{{34856#2238066864240!R37C11:R45C20}}</v>
        <stp/>
        <stp>U.RANGE_REF_deabbf0e-5f75-45d7-a1ea-aa8b119f6141</stp>
        <stp>[REF]{{BAD}}</stp>
        <tr r="AD113" s="2"/>
      </tp>
    </main>
    <main first="rtdsrv_3094061c4c1b46d98df56674035f365b">
      <tp t="s">
        <v>bpierce</v>
        <stp/>
        <stp>U.USERNAME</stp>
        <tr r="C4" s="13"/>
      </tp>
    </main>
    <main first="rtdsrv_3094061c4c1b46d98df56674035f365b">
      <tp t="s">
        <v>[REF]{{34856#2238124315008!R255C5}}</v>
        <stp/>
        <stp>U.RANGE_REF_e2ae902e-0ed9-4eb8-aa51-50afdab0dbf8</stp>
        <stp>[REF]{{BAD}}</stp>
        <tr r="AA103" s="2"/>
      </tp>
    </main>
    <main first="rtdsrv_3094061c4c1b46d98df56674035f365b">
      <tp t="s">
        <v>[REF]{{34856#2238067028128!R82C10}}</v>
        <stp/>
        <stp>U.RANGE_REF_ad230db9-4529-42b3-b2b6-8860a53e5e41</stp>
        <stp>[REF]{{BAD}}</stp>
        <tr r="AA142" s="2"/>
      </tp>
      <tp t="s">
        <v>[REF]{{34856#2238113901360!R6C8:R6C9}}</v>
        <stp/>
        <stp>U.RANGE_REF_2cba758c-36ac-4752-acf2-15d70b9a2faa</stp>
        <stp>[REF]{{BAD}}</stp>
        <tr r="AA23" s="2"/>
      </tp>
    </main>
    <main first="rtdsrv_3094061c4c1b46d98df56674035f365b">
      <tp t="s">
        <v>[REF]{{34856#2238123134864!R70C3}}</v>
        <stp/>
        <stp>U.RANGE_REF_8ca3dc7d-e4bd-4838-9205-3c44b613be03</stp>
        <stp>[REF]{{BAD}}</stp>
        <tr r="AA26" s="2"/>
      </tp>
      <tp t="s">
        <v>[REF]{{34856#2238066875056!R208C4}}</v>
        <stp/>
        <stp>U.RANGE_REF_70155889-379a-403b-b697-2e9d08df336e</stp>
        <stp>[REF]{{BAD}}</stp>
        <tr r="AA117" s="2"/>
      </tp>
      <tp t="s">
        <v>[REF]{{34856#2238067028128!R3C17:R23C26}}</v>
        <stp/>
        <stp>U.RANGE_REF_637357eb-8f04-4f21-b165-a5af067e315f</stp>
        <stp>[REF]{{BAD}}</stp>
        <tr r="AD141" s="2"/>
      </tp>
      <tp t="s">
        <v>[REF]{{34856#2238067036240!R86C3}}</v>
        <stp/>
        <stp>U.RANGE_REF_3cc51ba3-943e-48f3-b92f-34d555bd6f4d</stp>
        <stp>[REF]{{BAD}}</stp>
        <tr r="AA136" s="2"/>
      </tp>
      <tp t="s">
        <v>[REF]{{34856#2238118522976!R3C16:R29C25}}</v>
        <stp/>
        <stp>U.RANGE_REF_25bae650-fbc6-453e-98a0-fad4081f9425</stp>
        <stp>[REF]{{BAD}}</stp>
        <tr r="AD40" s="2"/>
      </tp>
    </main>
    <main first="rtdsrv_3094061c4c1b46d98df56674035f365b">
      <tp t="s">
        <v>[REF]{{34856#2238067033536!R113C2}}</v>
        <stp/>
        <stp>U.RANGE_REF_da2f144b-97b6-449f-8951-0775194918a8</stp>
        <stp>[REF]{{BAD}}</stp>
        <tr r="AA189" s="2"/>
      </tp>
      <tp t="s">
        <v>[REF]{{34856#2238124306896!R3C11:R11C20}}</v>
        <stp/>
        <stp>U.RANGE_REF_bd17f56a-0b88-4f53-b232-950baaa103dd</stp>
        <stp>[REF]{{BAD}}</stp>
        <tr r="AD75" s="2"/>
      </tp>
      <tp t="s">
        <v>[REF]{{34856#2238067033536!R69C11:R89C20}}</v>
        <stp/>
        <stp>U.RANGE_REF_dc51f414-9430-442a-b734-09fb085f1558</stp>
        <stp>[REF]{{BAD}}</stp>
        <tr r="AD152" s="2"/>
      </tp>
    </main>
    <main first="rtdsrv_3094061c4c1b46d98df56674035f365b">
      <tp t="s">
        <v>[REF]{{34856#2238124309600!R107C17:R133C26}}</v>
        <stp/>
        <stp>U.RANGE_REF_7547f2b6-7461-4493-a754-de4ef6e907eb</stp>
        <stp>[REF]{{BAD}}</stp>
        <tr r="AD85" s="2"/>
      </tp>
      <tp t="s">
        <v>[REF]{{34856#2238066872352!R5C5}}</v>
        <stp/>
        <stp>U.RANGE_REF_a06c0298-2696-4ecf-b55f-cb9e8ab7d9fd</stp>
        <stp>[REF]{{BAD}}</stp>
        <tr r="AA130" s="2"/>
      </tp>
    </main>
    <main first="rtdsrv_3094061c4c1b46d98df56674035f365b">
      <tp t="s">
        <v>[REF]{{34856#2238124309600!R112C3}}</v>
        <stp/>
        <stp>U.RANGE_REF_1ffc802c-151b-486b-bc3a-cb79556baacb</stp>
        <stp>[REF]{{BAD}}</stp>
        <tr r="AA85" s="2"/>
      </tp>
    </main>
    <main first="rtdsrv_3094061c4c1b46d98df56674035f365b">
      <tp t="s">
        <v>[REF]{{34856#2238118159472!R115C2:R130C4}}</v>
        <stp/>
        <stp>U.RANGE_REF_18f34207-b78c-406d-b32b-2bd814632f32</stp>
        <stp>[REF]{{BAD}}</stp>
        <tr r="AA7" s="2"/>
      </tp>
      <tp t="s">
        <v>[REF]{{34856#2238110026208!R292C9:R294C10}}</v>
        <stp/>
        <stp>U.RANGE_REF_4d380ec7-1b51-4d4a-b025-a9d3b2532175</stp>
        <stp>[REF]{{BAD}}</stp>
        <tr r="AA49" s="2"/>
      </tp>
    </main>
    <main first="rtdsrv_3094061c4c1b46d98df56674035f365b">
      <tp t="s">
        <v>[REF]{{34856#2238113323168!R303C11}}</v>
        <stp/>
        <stp>U.RANGE_REF_56fa3f76-0d75-4d67-988f-b36f2431997d</stp>
        <stp>[REF]{{BAD}}</stp>
        <tr r="AA36" s="2"/>
      </tp>
      <tp t="s">
        <v>[REF]{{34856#2238067033536!R161C11:R166C20}}</v>
        <stp/>
        <stp>U.RANGE_REF_e6416204-6ceb-442d-ab3d-4e3bfcda8557</stp>
        <stp>[REF]{{BAD}}</stp>
        <tr r="AD176" s="2"/>
      </tp>
      <tp t="s">
        <v>[REF]{{34856#2238067038944!R48C2}}</v>
        <stp/>
        <stp>U.RANGE_REF_097c14b2-eec3-498a-a0b8-69f87f7c5c86</stp>
        <stp>[REF]{{BAD}}</stp>
        <tr r="AA146" s="2"/>
      </tp>
      <tp t="s">
        <v>[REF]{{34856#2238066875056!R6C11:R38C20}}</v>
        <stp/>
        <stp>U.RANGE_REF_a9c324dc-9974-448c-ba79-f4441ee0fe73</stp>
        <stp>[REF]{{BAD}}</stp>
        <tr r="AD115" s="2"/>
      </tp>
      <tp t="s">
        <v>[REF]{{34856#2238118159472!R10C3}}</v>
        <stp/>
        <stp>U.RANGE_REF_51ae6581-51d3-4717-ba40-3e3f6f955032</stp>
        <stp>[REF]{{BAD}}</stp>
        <tr r="AA5" s="2"/>
      </tp>
      <tp t="s">
        <v>[REF]{{34856#2238120306000!R314C17:R325C26}}</v>
        <stp/>
        <stp>U.RANGE_REF_ecc5e74f-8af1-4798-b5aa-35b2f7f9a220</stp>
        <stp>[REF]{{BAD}}</stp>
        <tr r="AD19" s="2"/>
      </tp>
      <tp t="s">
        <v>[REF]{{34856#2238124309600!R99C3}}</v>
        <stp/>
        <stp>U.RANGE_REF_a48c1bf9-232e-441e-af14-68a29f8c14a6</stp>
        <stp>[REF]{{BAD}}</stp>
        <tr r="AA87" s="2"/>
      </tp>
      <tp t="s">
        <v>[REF]{{34856#2238118159472!R72C17:R92C26}}</v>
        <stp/>
        <stp>U.RANGE_REF_e2f3b16b-9532-44cc-93e6-ec8ffa95dc3e</stp>
        <stp>[REF]{{BAD}}</stp>
        <tr r="AD165" s="2"/>
      </tp>
      <tp t="s">
        <v>[REF]{{34856#2238120306000!R209C17:R223C26}}</v>
        <stp/>
        <stp>U.RANGE_REF_4a4f1606-80bd-4caa-8dff-3fb22e475de3</stp>
        <stp>[REF]{{BAD}}</stp>
        <tr r="AD13" s="2"/>
      </tp>
      <tp t="s">
        <v>[REF]{{34856#2238067044352!R251C22:R280C31}}</v>
        <stp/>
        <stp>U.RANGE_REF_1a4d89a7-9dea-47d2-9fb8-5d864a1ba0a2</stp>
        <stp>[REF]{{BAD}}</stp>
        <tr r="AD161" s="2"/>
      </tp>
      <tp t="s">
        <v>[REF]{{34856#2238124306896!R152C3}}</v>
        <stp/>
        <stp>U.RANGE_REF_bb66baa4-cd9c-4ad1-976a-365985412827</stp>
        <stp>[REF]{{BAD}}</stp>
        <tr r="AA80" s="2"/>
      </tp>
    </main>
    <main first="rtdsrv_3094061c4c1b46d98df56674035f365b">
      <tp t="s">
        <v>[REF]{{34856#2238124315008!R146C19:R160C28}}</v>
        <stp/>
        <stp>U.RANGE_REF_5b4d7d6a-faa7-4a0b-a3e1-760173f191e4</stp>
        <stp>[REF]{{BAD}}</stp>
        <tr r="AD106" s="2"/>
      </tp>
    </main>
    <main first="rtdsrv_3094061c4c1b46d98df56674035f365b">
      <tp t="s">
        <v>[REF]{{34856#2238124317712!R17C23:R25C32}}</v>
        <stp/>
        <stp>U.RANGE_REF_9b43b507-f011-4ed9-bd30-8f14ad0b55d1</stp>
        <stp>[REF]{{BAD}}</stp>
        <tr r="AD110" s="2"/>
      </tp>
    </main>
    <main first="rtdsrv_3094061c4c1b46d98df56674035f365b">
      <tp t="s">
        <v>[REF]{{34856#2238067033536!R100C11:R111C20}}</v>
        <stp/>
        <stp>U.RANGE_REF_77a0a5d0-97cb-4a8d-8043-3ed2ccf1cec0</stp>
        <stp>[REF]{{BAD}}</stp>
        <tr r="AD183" s="2"/>
      </tp>
      <tp t="s">
        <v>[REF]{{34856#2238124306896!R79C11:R87C20}}</v>
        <stp/>
        <stp>U.RANGE_REF_5ed4e89b-94bc-4254-9601-da1a1b96f40f</stp>
        <stp>[REF]{{BAD}}</stp>
        <tr r="AD80" s="2"/>
      </tp>
      <tp t="s">
        <v>[REF]{{34856#2238067047056!R14C2:R14C3}}</v>
        <stp/>
        <stp>U.RANGE_REF_a2b5f353-13fe-4994-ab7a-f420a24346c6</stp>
        <stp>[REF]{{BAD}}</stp>
        <tr r="AA153" s="2"/>
      </tp>
    </main>
    <main first="rtdsrv_3094061c4c1b46d98df56674035f365b">
      <tp t="s">
        <v>[REF]{{34856#2238110037024!R20C2:R32C5}}</v>
        <stp/>
        <stp>U.RANGE_REF_a160d378-c03c-4ee8-8471-b22287e7f17c</stp>
        <stp>[REF]{{BAD}}</stp>
        <tr r="AA43" s="2"/>
      </tp>
    </main>
    <main first="rtdsrv_3094061c4c1b46d98df56674035f365b">
      <tp t="s">
        <v>[REF]{{34856#2238123942704!R3C13:R20C22}}</v>
        <stp/>
        <stp>U.RANGE_REF_1e762e09-56cf-4427-8213-d1fda3a2e0e3</stp>
        <stp>[REF]{{BAD}}</stp>
        <tr r="AD57" s="2"/>
      </tp>
    </main>
    <main first="rtdsrv_3094061c4c1b46d98df56674035f365b">
      <tp t="s">
        <v>[REF]{{34856#2238066883168!R140C4}}</v>
        <stp/>
        <stp>U.RANGE_REF_920a0562-cafb-4938-a3a1-fa57bfa0b2b3</stp>
        <stp>[REF]{{BAD}}</stp>
        <tr r="AA124" s="2"/>
      </tp>
      <tp t="s">
        <v>[REF]{{34856#2238124306896!R44C4}}</v>
        <stp/>
        <stp>U.RANGE_REF_fb70b2d1-2db4-477a-b9b1-1fd4c509332c</stp>
        <stp>[REF]{{BAD}}</stp>
        <tr r="AA78" s="2"/>
      </tp>
      <tp t="s">
        <v>[REF]{{34856#2238124315008!R77C19:R85C28}}</v>
        <stp/>
        <stp>U.RANGE_REF_78750f78-3e75-42c2-ab0c-ea6281a31f16</stp>
        <stp>[REF]{{BAD}}</stp>
        <tr r="AD95" s="2"/>
      </tp>
    </main>
    <main first="rtdsrv_3094061c4c1b46d98df56674035f365b">
      <tp t="s">
        <v>[REF]{{34856#2238120306000!R120C17:R134C26}}</v>
        <stp/>
        <stp>U.RANGE_REF_40160fc4-4d94-435c-9e2e-767a18169455</stp>
        <stp>[REF]{{BAD}}</stp>
        <tr r="AD171" s="2"/>
      </tp>
      <tp t="s">
        <v>[REF]{{34856#2238118159472!R3C17:R23C26}}</v>
        <stp/>
        <stp>U.RANGE_REF_3959bfe4-8ca3-4420-8664-2860aba1e002</stp>
        <stp>[REF]{{BAD}}</stp>
        <tr r="AD5" s="2"/>
      </tp>
      <tp t="s">
        <v>[REF]{{34856#2238067030832!R3C24:R23C33}}</v>
        <stp/>
        <stp>U.RANGE_REF_d6ed566c-6bdc-46e6-b0fe-fcbc39be5c4c</stp>
        <stp>[REF]{{BAD}}</stp>
        <tr r="AD140" s="2"/>
      </tp>
      <tp t="s">
        <v>[REF]{{34856#2238124315008!R290C5}}</v>
        <stp/>
        <stp>U.RANGE_REF_b6abd567-9d08-462a-b812-dfc5ebc12bad</stp>
        <stp>[REF]{{BAD}}</stp>
        <tr r="AA98" s="2"/>
      </tp>
      <tp t="s">
        <v>[REF]{{34856#2238067047056!R57C3}}</v>
        <stp/>
        <stp>U.RANGE_REF_1e7b6528-e79a-4d28-8ac5-11686b00f5af</stp>
        <stp>[REF]{{BAD}}</stp>
        <tr r="AA163" s="2"/>
      </tp>
      <tp t="s">
        <v>DESKTOP-U4LCAN8</v>
        <stp/>
        <stp>U.MACHINENAME</stp>
        <tr r="C6" s="13"/>
      </tp>
      <tp t="s">
        <v>[REF]{{34856#2238124315008!R220C19:R228C28}}</v>
        <stp/>
        <stp>U.RANGE_REF_89b35fdf-e101-4b67-bb00-6a5167c4c517</stp>
        <stp>[REF]{{BAD}}</stp>
        <tr r="AD98" s="2"/>
      </tp>
    </main>
    <main first="rtdsrv_3094061c4c1b46d98df56674035f365b">
      <tp>
        <v>46145</v>
        <stp/>
        <stp>U.TODAY</stp>
        <tr r="C111" s="45"/>
        <tr r="C4" s="20"/>
      </tp>
      <tp t="s">
        <v>[REF]{{34856#2238124317712!R31C15}}</v>
        <stp/>
        <stp>U.RANGE_REF_52ea5f8e-7a3d-40a0-81d7-4ba5eee1e10e</stp>
        <stp>[REF]{{34856#2238124317712!R31C15}}</stp>
        <tr r="I6" s="59"/>
      </tp>
    </main>
    <main first="rtdsrv_3094061c4c1b46d98df56674035f365b">
      <tp t="s">
        <v>Memory: 593.32 MB</v>
        <stp/>
        <stp>U.INVOKE_2238067044352!R222C7_GETMEMORYUSAGE__</stp>
        <tr r="G222" s="60"/>
      </tp>
      <tp t="s">
        <v>Range name ColleaguesCount set</v>
        <stp/>
        <stp>U.NAMED_RANGE_R87C5|COLLEAGUESCOUNT</stp>
        <tr r="E87" s="35"/>
      </tp>
      <tp t="s">
        <v>[REF]{{34856#2238117867360!R1C1}}</v>
        <stp/>
        <stp>U.RANGE_REF_f205a084-2cc7-427f-9984-eff56a49efd2</stp>
        <stp>[REF]{{34856#2238117867360!R1C1}}</stp>
        <tr r="AH13" s="2"/>
      </tp>
    </main>
    <main first="rtdsrv_3094061c4c1b46d98df56674035f365b">
      <tp t="s">
        <v>[REF]{{34856#2238124287968!R1C1}}</v>
        <stp/>
        <stp>U.RANGE_REF_d836c761-7a09-452a-9ea7-d818c5fd4d23</stp>
        <stp>[REF]{{34856#2238124287968!R1C1}}</stp>
        <tr r="AH35" s="2"/>
      </tp>
      <tp t="s">
        <v>[REF]{{34856#2238124298784!R1C1}}</v>
        <stp/>
        <stp>U.RANGE_REF_d0c31596-50c5-4a2c-a642-e50157f9e045</stp>
        <stp>[REF]{{34856#2238124298784!R1C1}}</stp>
        <tr r="AH39" s="2"/>
      </tp>
    </main>
    <main first="rtdsrv_3094061c4c1b46d98df56674035f365b">
      <tp t="s">
        <v>[REF]{{34856#2238123953520!R1C1}}</v>
        <stp/>
        <stp>U.RANGE_REF_66c42c3e-1a2b-4b4e-ad84-e52dcc2f3463</stp>
        <stp>[REF]{{34856#2238123953520!R1C1}}</stp>
        <tr r="AH28" s="2"/>
      </tp>
    </main>
    <main first="rtdsrv_3094061c4c1b46d98df56674035f365b">
      <tp t="s">
        <v>[REF]{{34856#2238106958512!R1C1}}</v>
        <stp/>
        <stp>U.RANGE_REF_57dd92fe-71ea-4a67-b49e-5deb876d7679</stp>
        <stp>[REF]{{34856#2238106958512!R1C1}}</stp>
        <tr r="AH17" s="2"/>
      </tp>
      <tp t="s">
        <v/>
        <stp/>
        <stp>U.GET_CLICK_VALS_U_USAGEEXAMPLES.XLSX|RETURN INDEX</stp>
        <tr r="D59" s="30"/>
      </tp>
      <tp t="s">
        <v>Return Index</v>
        <stp/>
        <stp>U.SET_CLICK_VALS_U_USAGEEXAMPLES.XLSX|RETURN INDEX</stp>
        <tr r="D56" s="30"/>
      </tp>
      <tp t="s">
        <v>[REF]{{34856#2238098038048!R1C1}}</v>
        <stp/>
        <stp>U.RANGE_REF_073f0225-b2ac-423e-b42c-fe0bffd3943a</stp>
        <stp>[REF]{{34856#2238098038048!R1C1}}</stp>
        <tr r="AH15" s="2"/>
      </tp>
      <tp t="s">
        <v>[REF]{{34856#2238110039728!R1C1}}</v>
        <stp/>
        <stp>U.RANGE_REF_57709b00-c7f5-42c3-b2f3-e349b355573a</stp>
        <stp>[REF]{{34856#2238110039728!R1C1}}</stp>
        <tr r="AH20" s="2"/>
      </tp>
      <tp t="s">
        <v>[REF]{{34856#2238113323168!R1C1}}</v>
        <stp/>
        <stp>U.RANGE_REF_5fd5380b-1a3a-4e40-a2b7-84250b9331b7</stp>
        <stp>[REF]{{34856#2238113323168!R1C1}}</stp>
        <tr r="AH12" s="2"/>
      </tp>
    </main>
    <main first="rtdsrv_3094061c4c1b46d98df56674035f365b">
      <tp t="s">
        <v>[REF]{{34856#2238118522976!R1C1}}</v>
        <stp/>
        <stp>U.RANGE_REF_cfdc11a9-38ca-41a3-a776-910945a4f1f5</stp>
        <stp>[REF]{{34856#2238118522976!R1C1}}</stp>
        <tr r="AH16" s="2"/>
      </tp>
      <tp t="s">
        <v>[REF]{{34856#2238124301488!R1C1}}</v>
        <stp/>
        <stp>U.RANGE_REF_16960c2e-06a9-4858-9e5c-3895cc7a0df6</stp>
        <stp>[REF]{{34856#2238124301488!R1C1}}</stp>
        <tr r="AH37" s="2"/>
      </tp>
    </main>
    <main first="rtdsrv_3094061c4c1b46d98df56674035f365b">
      <tp t="s">
        <v>[REF]{{34856#2238066877760!R1C1}}</v>
        <stp/>
        <stp>U.RANGE_REF_6989d72a-9aae-4d0d-b4d1-d71179ac8139</stp>
        <stp>[REF]{{34856#2238066877760!R1C1}}</stp>
        <tr r="AH49" s="2"/>
      </tp>
      <tp t="s">
        <v>[REF]{{34856#2238123969744!R1C1}}</v>
        <stp/>
        <stp>U.RANGE_REF_b17d1359-7c19-4e4f-b787-09f0e0b34f47</stp>
        <stp>[REF]{{34856#2238123969744!R1C1}}</stp>
        <tr r="AH34" s="2"/>
      </tp>
    </main>
    <main first="rtdsrv_3094061c4c1b46d98df56674035f365b">
      <tp t="s">
        <v>[REF]{{34856#2238110034320!R1C1}}</v>
        <stp/>
        <stp>U.RANGE_REF_99e30106-3ba7-42e5-a727-69340b03d30b</stp>
        <stp>[REF]{{34856#2238110034320!R1C1}}</stp>
        <tr r="AH22" s="2"/>
      </tp>
      <tp t="s">
        <v>[REF]{{34856#2238066885872!R1C1}}</v>
        <stp/>
        <stp>U.RANGE_REF_be57d72f-8651-4bd7-85ec-04aea4c64fe9</stp>
        <stp>[REF]{{34856#2238066885872!R1C1}}</stp>
        <tr r="AH54" s="2"/>
      </tp>
    </main>
    <main first="rtdsrv_3094061c4c1b46d98df56674035f365b">
      <tp t="s">
        <v>[REF]{{34856#2238116131984!R1C1}}</v>
        <stp/>
        <stp>U.RANGE_REF_07f3dec8-9916-49b9-a167-65aecc9a0bb1</stp>
        <stp>[REF]{{34856#2238116131984!R1C1}}</stp>
        <tr r="AH11" s="2"/>
      </tp>
      <tp t="s">
        <v>[REF]{{34856#2238067038944!R1C1}}</v>
        <stp/>
        <stp>U.RANGE_REF_7e8a97c6-6638-4222-90ce-be37a66957b9</stp>
        <stp>[REF]{{34856#2238067038944!R1C1}}</stp>
        <tr r="AH63" s="2"/>
      </tp>
    </main>
    <main first="rtdsrv_3094061c4c1b46d98df56674035f365b">
      <tp t="s">
        <v>[REF]{{34856#2238121636256!R1C1}}</v>
        <stp/>
        <stp>U.RANGE_REF_4da83fe0-8966-4c65-bbcf-a8ff7bd209c6</stp>
        <stp>[REF]{{34856#2238121636256!R1C1}}</stp>
        <tr r="AH9" s="2"/>
      </tp>
      <tp t="s">
        <v>[REF]{{34856#2238066883168!R1C1}}</v>
        <stp/>
        <stp>U.RANGE_REF_bf73f76b-5f9d-4253-8fbf-8098a7cc981e</stp>
        <stp>[REF]{{34856#2238066883168!R1C1}}</stp>
        <tr r="AH52" s="2"/>
      </tp>
    </main>
    <main first="rtdsrv_3094061c4c1b46d98df56674035f365b">
      <tp t="s">
        <v>[REF]{{34856#2238123134864!R1C1}}</v>
        <stp/>
        <stp>U.RANGE_REF_a93c05a4-c6b4-4372-8af1-fd12ba816eac</stp>
        <stp>[REF]{{34856#2238123134864!R1C1}}</stp>
        <tr r="AH8" s="2"/>
      </tp>
    </main>
    <main first="rtdsrv_3094061c4c1b46d98df56674035f365b">
      <tp t="s">
        <v>[REF]{{34856#2238123967040!R1C1}}</v>
        <stp/>
        <stp>U.RANGE_REF_a19e72f3-8172-4e8f-bed5-eae09e69d661</stp>
        <stp>[REF]{{34856#2238123967040!R1C1}}</stp>
        <tr r="AH33" s="2"/>
      </tp>
      <tp t="b">
        <v>0</v>
        <stp/>
        <stp>U.IS_CONTROL_ENABLED__U_USAGEEXAMPLES.XLSX</stp>
        <tr r="E145" s="29"/>
      </tp>
    </main>
    <main first="rtdsrv_3094061c4c1b46d98df56674035f365b">
      <tp t="s">
        <v>[REF]{{34856#2238124296080!R1C1}}</v>
        <stp/>
        <stp>U.RANGE_REF_d1282a03-5200-4a84-9078-2bb19979c115</stp>
        <stp>[REF]{{34856#2238124296080!R1C1}}</stp>
        <tr r="AH38" s="2"/>
      </tp>
      <tp t="s">
        <v>image_example</v>
        <stp/>
        <stp>U.SET_CLICK_VALS_U_USAGEEXAMPLES.XLSX|IMAGE_EXAMPLE</stp>
        <tr r="D88" s="30"/>
      </tp>
      <tp t="s">
        <v>[REF]{{34856#2238124293376!R1C1}}</v>
        <stp/>
        <stp>U.RANGE_REF_4a267f3f-fd8d-45e8-9eb9-43cc3ece2759</stp>
        <stp>[REF]{{34856#2238124293376!R1C1}}</stp>
        <tr r="AH42" s="2"/>
      </tp>
    </main>
    <main first="rtdsrv_3094061c4c1b46d98df56674035f365b">
      <tp t="s">
        <v>[REF]{{34856#2238123942704!R1C1}}</v>
        <stp/>
        <stp>U.RANGE_REF_48cc766a-86ed-41b0-8809-0f91f7825847</stp>
        <stp>[REF]{{34856#2238123942704!R1C1}}</stp>
        <tr r="AH29" s="2"/>
      </tp>
      <tp t="s">
        <v>[REF]{{34856#2238110026208!R1C1}}</v>
        <stp/>
        <stp>U.RANGE_REF_0f89c9ce-98d3-4a97-a5c7-adda1b00edc4</stp>
        <stp>[REF]{{34856#2238110026208!R1C1}}</stp>
        <tr r="AH21" s="2"/>
      </tp>
      <tp>
        <v>46145.89323144676</v>
        <stp/>
        <stp>U.SELECTION_PATH_7K86N3CASP/BVRSHJPLAQQ==</stp>
        <tr r="E5" s="62"/>
      </tp>
    </main>
    <main first="rtdsrv_3094061c4c1b46d98df56674035f365b">
      <tp t="s">
        <v>[REF]{{34856#2238123964336!R1C2}}</v>
        <stp/>
        <stp>U.RANGE_REF_186d5d35-0574-4cc7-8c9f-4ed83cc8854d</stp>
        <stp>[REF]{{34856#2238123964336!R1C2}}</stp>
        <tr r="B24" s="64"/>
      </tp>
    </main>
    <main first="rtdsrv_3094061c4c1b46d98df56674035f365b">
      <tp t="s">
        <v>[REF]{{34856#2238066891280!R1C1}}</v>
        <stp/>
        <stp>U.RANGE_REF_02f6a82f-ddb5-4166-9b4f-fd62e812ff6a</stp>
        <stp>[REF]{{34856#2238066891280!R1C1}}</stp>
        <tr r="AH57" s="2"/>
      </tp>
    </main>
    <main first="rtdsrv_3094061c4c1b46d98df56674035f365b">
      <tp t="s">
        <v>[REF]{{34856#2238067028128!R1C1}}</v>
        <stp/>
        <stp>U.RANGE_REF_1c07dc3b-33e1-4859-a115-32ed4a2d38c8</stp>
        <stp>[REF]{{34856#2238067028128!R1C1}}</stp>
        <tr r="AH62" s="2"/>
      </tp>
      <tp t="s">
        <v>[REF]{{34856#2238067044352!R1C1}}</v>
        <stp/>
        <stp>U.RANGE_REF_c4a38e5a-d9bf-4976-9678-a638e40e4e51</stp>
        <stp>[REF]{{34856#2238067044352!R1C1}}</stp>
        <tr r="AH65" s="2"/>
      </tp>
    </main>
    <main first="rtdsrv_3094061c4c1b46d98df56674035f365b">
      <tp t="s">
        <v>[REF]{{34856#2238066888576!R1C1}}</v>
        <stp/>
        <stp>U.RANGE_REF_66389cf2-058c-4aad-b576-1712c351b8ab</stp>
        <stp>[REF]{{34856#2238066888576!R1C1}}</stp>
        <tr r="AH56" s="2"/>
      </tp>
    </main>
    <main first="rtdsrv_3094061c4c1b46d98df56674035f365b">
      <tp t="s">
        <v>[REF]{{34856#2238124290672!R1C1}}</v>
        <stp/>
        <stp>U.RANGE_REF_39db8d39-f8aa-4e6a-bb0a-9894ee60709e</stp>
        <stp>[REF]{{34856#2238124290672!R1C1}}</stp>
        <tr r="AH40" s="2"/>
      </tp>
    </main>
    <main first="rtdsrv_3094061c4c1b46d98df56674035f365b">
      <tp t="s">
        <v>[REF]{{34856#2238124298784!R70C2:R71C2}}</v>
        <stp/>
        <stp>U.RANGE_REF_09d768cc-ea71-463c-93e3-d7164200db89</stp>
        <stp>[REF]{{34856#2238124298784!R70C2:R71C2}}</stp>
        <tr r="B82" s="66"/>
      </tp>
      <tp t="s">
        <v>TOPIC = U/DESK1/FX_POSITIONS; TWO WAY ID = JYQYH</v>
        <stp/>
        <stp>TOPIC = U/DESK1/FX_POSITIONS; TWO WAY ID = JYQYH</stp>
        <tr r="C100" s="1"/>
      </tp>
    </main>
    <main first="rtdsrv_3094061c4c1b46d98df56674035f365b">
      <tp t="s">
        <v>[REF]{{34856#2238124298784!R69C2:R70C2}}</v>
        <stp/>
        <stp>U.RANGE_REF_49306134-c843-4600-8a54-42ea9d806766</stp>
        <stp>[REF]{{34856#2238124298784!R69C2:R70C2}}</stp>
        <tr r="B74" s="66"/>
      </tp>
    </main>
    <main first="rtdsrv_3094061c4c1b46d98df56674035f365b">
      <tp t="s">
        <v>Calc on Click</v>
        <stp/>
        <stp>U.SET_CLICK_VALS_U_USAGEEXAMPLES.XLSX|CALC ON CLICK</stp>
        <tr r="D62" s="30"/>
      </tp>
    </main>
    <main first="rtdsrv_3094061c4c1b46d98df56674035f365b">
      <tp t="s">
        <v>[REF]{{34856#2238102196432!R2C1}}</v>
        <stp/>
        <stp>U.RANGE_REF___DYNAMIC__PRIORSELECTION</stp>
        <stp>[REF]{{34856#2238102196432!R2C1}}</stp>
        <tr r="E68" s="35"/>
      </tp>
      <tp t="s">
        <v/>
        <stp/>
        <stp>U.GET_CLICK_VALS_U_USAGEEXAMPLES.XLSX|VAL1</stp>
        <tr r="C33" s="59"/>
      </tp>
      <tp t="s">
        <v/>
        <stp/>
        <stp>U.GET_CLICK_VALS_U_USAGEEXAMPLES.XLSX|VAL2</stp>
        <tr r="C34" s="59"/>
      </tp>
      <tp t="s">
        <v>[REF]{{34856#2238066875056!R69C2:R70C2}}</v>
        <stp/>
        <stp>U.RANGE_REF_3bcd17b9-16d2-48ae-9438-0b259fe15c69</stp>
        <stp>[REF]{{34856#2238066875056!R69C2:R70C2}}</stp>
        <tr r="B73" s="30"/>
      </tp>
    </main>
    <main first="rtdsrv_3094061c4c1b46d98df56674035f365b">
      <tp t="s">
        <v>Robby</v>
        <stp/>
        <stp>U.REGISTER_IMAGE_ROBBY_D102</stp>
        <tr r="D102" s="64"/>
      </tp>
      <tp t="s">
        <v>Hover_Toggle</v>
        <stp/>
        <stp>U.SET_CLICK_VALS_U_USAGEEXAMPLES.XLSX|HOVER_TOGGLE</stp>
        <tr r="G104" s="30"/>
      </tp>
      <tp t="b">
        <v>0</v>
        <stp/>
        <stp>U.GET_CLICK_VALS_U_USAGEEXAMPLES.XLSX|HOVER_TOGGLE</stp>
        <tr r="G105" s="30"/>
      </tp>
      <tp t="s">
        <v>[REF]{{34856#2238124298784!R68C2:R71C2}}</v>
        <stp/>
        <stp>U.RANGE_REF_ec6d88bb-d272-4354-bab7-ba83e4cd03ec</stp>
        <stp>[REF]{{34856#2238124298784!R68C2:R71C2}}</stp>
        <tr r="B78" s="66"/>
      </tp>
    </main>
    <main first="rtdsrv_3094061c4c1b46d98df56674035f365b">
      <tp t="s">
        <v>hover_example</v>
        <stp/>
        <stp>U.SET_CLICK_VALS_U_USAGEEXAMPLES.XLSX|HOVER_EXAMPLE</stp>
        <tr r="D110" s="30"/>
      </tp>
      <tp t="s">
        <v/>
        <stp/>
        <stp>U.GET_CLICK_VALS_U_USAGEEXAMPLES.XLSX|HOVER_EXAMPLE</stp>
        <tr r="D113" s="30"/>
      </tp>
    </main>
    <main first="rtdsrv_3094061c4c1b46d98df56674035f365b">
      <tp t="s">
        <v>[REF]{{34856#2238123969744!R5C8}}</v>
        <stp/>
        <stp>U.RANGE_REF_b3d9c0a1-6557-4faf-b109-e3de82beb100</stp>
        <stp>[REF]{{BAD}}</stp>
        <tr r="AA64" s="2"/>
      </tp>
      <tp t="s">
        <v>Function TimesTenSlow compiled at 2026-05-03 21:26:20</v>
        <stp/>
        <stp>U.COMPILE_TIMESTENSLOW</stp>
        <tr r="E149" s="60"/>
      </tp>
      <tp t="s">
        <v>[REF]{{34856#2238123942704!R5C5}}</v>
        <stp/>
        <stp>U.RANGE_REF_bdf5ad3c-2f6f-4641-8f12-c89fb8e3f1b4</stp>
        <stp>[REF]{{BAD}}</stp>
        <tr r="AA57" s="2"/>
      </tp>
      <tp t="s">
        <v>[REF]{{34856#2238123134864!R115C3}}</v>
        <stp/>
        <stp>U.RANGE_REF_ee7ef0eb-8ea4-4ebb-ba93-bdf4d2ecfe88</stp>
        <stp>[REF]{{BAD}}</stp>
        <tr r="AA28" s="2"/>
      </tp>
      <tp t="s">
        <v>[REF]{{34856#2238120306000!R401C3}}</v>
        <stp/>
        <stp>U.RANGE_REF_9ba3b230-5d60-4add-b649-e715183a832a</stp>
        <stp>[REF]{{BAD}}</stp>
        <tr r="AA14" s="2"/>
      </tp>
      <tp t="s">
        <v>[REF]{{34856#2238066880464!R8C4}}</v>
        <stp/>
        <stp>U.RANGE_REF_313b7f9a-5ef3-45fd-a1e3-dd9aedcf7f94</stp>
        <stp>[REF]{{BAD}}</stp>
        <tr r="AA119" s="2"/>
      </tp>
      <tp t="s">
        <v>[REF]{{34856#2238067047056!R3C17:R14C26}}</v>
        <stp/>
        <stp>U.RANGE_REF_02e21ca0-50f2-4a12-8ecd-b92a2f88a0ee</stp>
        <stp>[REF]{{BAD}}</stp>
        <tr r="AD153" s="2"/>
      </tp>
    </main>
    <main first="rtdsrv_3094061c4c1b46d98df56674035f365b">
      <tp t="s">
        <v>[REF]{{34856#2238123950816!R4C8:R5C10}}</v>
        <stp/>
        <stp>U.RANGE_REF_ee4b183e-b152-4829-b572-e859658fb360</stp>
        <stp>[REF]{{BAD}}</stp>
        <tr r="AA55" s="2"/>
      </tp>
    </main>
    <main first="rtdsrv_3094061c4c1b46d98df56674035f365b">
      <tp t="s">
        <v>[REF]{{34856#2238123953520!R3C13:R20C22}}</v>
        <stp/>
        <stp>U.RANGE_REF_8ebf3f00-1198-4fbe-b12c-7dd0308f9dc8</stp>
        <stp>[REF]{{BAD}}</stp>
        <tr r="AD56" s="2"/>
      </tp>
      <tp t="s">
        <v>[REF]{{34856#2238066883168!R49C17:R57C26}}</v>
        <stp/>
        <stp>U.RANGE_REF_fbd8ff1e-83dc-4e42-ba99-ec2f4b4db2f8</stp>
        <stp>[REF]{{BAD}}</stp>
        <tr r="AD123" s="2"/>
      </tp>
      <tp t="s">
        <v>[REF]{{34856#2238066869648!R40C5}}</v>
        <stp/>
        <stp>U.RANGE_REF_6fd95c41-31a2-4876-9736-729aa7347fbf</stp>
        <stp>[REF]{{BAD}}</stp>
        <tr r="AA126" s="2"/>
      </tp>
    </main>
    <main first="rtdsrv_3094061c4c1b46d98df56674035f365b">
      <tp t="s">
        <v>[REF]{{34856#2238124306896!R4C3}}</v>
        <stp/>
        <stp>U.RANGE_REF_ff813ebe-f31d-4148-853f-38e24c12efd4</stp>
        <stp>[REF]{{BAD}}</stp>
        <tr r="AA75" s="2"/>
      </tp>
    </main>
    <main first="rtdsrv_3094061c4c1b46d98df56674035f365b">
      <tp t="s">
        <v>[REF]{{34856#2238067044352!R260C7}}</v>
        <stp/>
        <stp>U.RANGE_REF_37b64693-176d-4cbd-9d3a-5cd1bf3c35ee</stp>
        <stp>[REF]{{BAD}}</stp>
        <tr r="AA160" s="2"/>
      </tp>
      <tp t="s">
        <v>[REF]{{34856#2238067044352!R222C7}}</v>
        <stp/>
        <stp>U.RANGE_REF_c0427eb0-eae4-440f-a998-c365ec44942a</stp>
        <stp>[REF]{{BAD}}</stp>
        <tr r="AA159" s="2"/>
      </tp>
    </main>
    <main first="rtdsrv_3094061c4c1b46d98df56674035f365b">
      <tp t="s">
        <v>[REF]{{34856#2238123967040!R6C6}}</v>
        <stp/>
        <stp>U.RANGE_REF_6da1ccf6-c9a7-435f-aa70-dae5b9ad6e53</stp>
        <stp>[REF]{{BAD}}</stp>
        <tr r="AA68" s="2"/>
      </tp>
      <tp t="s">
        <v>[REF]{{34856#2238120306000!R213C2}}</v>
        <stp/>
        <stp>U.RANGE_REF_975e8256-3305-40ed-9979-f2c1443fa1d7</stp>
        <stp>[REF]{{BAD}}</stp>
        <tr r="AA168" s="2"/>
      </tp>
    </main>
    <main first="rtdsrv_3094061c4c1b46d98df56674035f365b">
      <tp t="s">
        <v>[REF]{{34856#2238123134864!R3C11:R38C20}}</v>
        <stp/>
        <stp>U.RANGE_REF_60972668-70f3-49de-bb8c-2c7254a09a49</stp>
        <stp>[REF]{{BAD}}</stp>
        <tr r="AD24" s="2"/>
      </tp>
      <tp t="s">
        <v>[REF]{{34856#2238124287968!R32C13:R49C22}}</v>
        <stp/>
        <stp>U.RANGE_REF_3c5af608-492c-474e-b11d-b225b8ff072c</stp>
        <stp>[REF]{{BAD}}</stp>
        <tr r="AD66" s="2"/>
      </tp>
    </main>
    <main first="rtdsrv_3094061c4c1b46d98df56674035f365b">
      <tp t="s">
        <v>Function DoStuff compiled at 2026-05-03 21:26:30</v>
        <stp/>
        <stp>U.COMPILE_DOSTUFF</stp>
        <tr r="F112" s="60"/>
      </tp>
    </main>
    <main first="rtdsrv_3094061c4c1b46d98df56674035f365b">
      <tp t="s">
        <v>[REF]{{34856#2238110026208!R170C9:R173C12}}</v>
        <stp/>
        <stp>U.RANGE_REF_c2a54fc1-69d3-478a-9d03-1b13a65c732c</stp>
        <stp>[REF]{{BAD}}</stp>
        <tr r="AA48" s="2"/>
      </tp>
    </main>
    <main first="rtdsrv_3094061c4c1b46d98df56674035f365b">
      <tp t="s">
        <v>[REF]{{34856#2238066888576!R5C5}}</v>
        <stp/>
        <stp>U.RANGE_REF_39fd2e6a-fdfc-423b-be8b-44c9079a9227</stp>
        <stp>[REF]{{BAD}}</stp>
        <tr r="AA131" s="2"/>
      </tp>
      <tp t="s">
        <v>[REF]{{34856#2238106958512!R3C22:R26C31}}</v>
        <stp/>
        <stp>U.RANGE_REF_9a163673-5424-4b51-a32e-378f954bcfec</stp>
        <stp>[REF]{{BAD}}</stp>
        <tr r="AD41" s="2"/>
      </tp>
      <tp t="s">
        <v>[REF]{{34856#2238067033536!R114C11:R128C20}}</v>
        <stp/>
        <stp>U.RANGE_REF_41c70845-7298-4999-ad01-39767cee288b</stp>
        <stp>[REF]{{BAD}}</stp>
        <tr r="AD184" s="2"/>
      </tp>
    </main>
    <main first="rtdsrv_3094061c4c1b46d98df56674035f365b">
      <tp t="s">
        <v>[REF]{{34856#2238117867360!R7C12:R20C19}}</v>
        <stp/>
        <stp>U.RANGE_REF_52a1026b-68fc-4196-a902-005574d7eb26</stp>
        <stp>[REF]{{BAD}}</stp>
        <tr r="AA37" s="2"/>
      </tp>
    </main>
    <main first="rtdsrv_3094061c4c1b46d98df56674035f365b">
      <tp t="s">
        <v>[REF]{{34856#2238124317712!R55C15}}</v>
        <stp/>
        <stp>U.RANGE_REF_45fac3ac-571a-415f-8752-d112c84f707b</stp>
        <stp>[REF]{{34856#2238124317712!R55C15}}</stp>
        <tr r="I17" s="59"/>
      </tp>
      <tp t="s">
        <v>[REF]{{34856#2238124309600!R3C17:R29C26}}</v>
        <stp/>
        <stp>U.RANGE_REF_d6d8d8b8-a89c-4c09-8e67-8042dddbfcd9</stp>
        <stp>[REF]{{BAD}}</stp>
        <tr r="AD84" s="2"/>
      </tp>
    </main>
    <main first="rtdsrv_3094061c4c1b46d98df56674035f365b">
      <tp t="s">
        <v>[REF]{{34856#2238066883168!R60C17:R77C26}}</v>
        <stp/>
        <stp>U.RANGE_REF_5097741d-0cca-4f81-a261-6c3b6b7816ca</stp>
        <stp>[REF]{{BAD}}</stp>
        <tr r="AD124" s="2"/>
      </tp>
    </main>
    <main first="rtdsrv_3094061c4c1b46d98df56674035f365b">
      <tp t="s">
        <v>[REF]{{34856#2238067033536!R71C3}}</v>
        <stp/>
        <stp>U.RANGE_REF_600e4f9c-c19f-4b06-82c5-492ad7595379</stp>
        <stp>[REF]{{BAD}}</stp>
        <tr r="AA89" s="2"/>
      </tp>
      <tp t="s">
        <v>[REF]{{34856#2238124315008!R66C19:R74C28}}</v>
        <stp/>
        <stp>U.RANGE_REF_56a12761-1f1e-47b8-bcee-bbb2c59e8e27</stp>
        <stp>[REF]{{BAD}}</stp>
        <tr r="AD97" s="2"/>
      </tp>
      <tp t="s">
        <v>Larry</v>
        <stp/>
        <stp>U.GET_CLICK_VALS_U_USAGEEXAMPLES.XLSX|CYCLE_NAMES</stp>
        <tr r="D171" s="30"/>
      </tp>
      <tp t="s">
        <v>[REF]{{34856#2238124304192!R3C17:R23C26}}</v>
        <stp/>
        <stp>U.RANGE_REF_aa9c2056-e7ae-4741-b939-622a86897e5c</stp>
        <stp>[REF]{{BAD}}</stp>
        <tr r="AD67" s="2"/>
      </tp>
      <tp t="s">
        <v>[REF]{{34856#2238110026208!R6C11:R14C13}}</v>
        <stp/>
        <stp>U.RANGE_REF_6c93facc-74a2-4dcb-ab90-1c3fddb8a123</stp>
        <stp>[REF]{{BAD}}</stp>
        <tr r="AA47" s="2"/>
      </tp>
      <tp t="s">
        <v>[REF]{{34856#2238120306000!R411C3}}</v>
        <stp/>
        <stp>U.RANGE_REF_3db179be-7c61-48c6-b063-69b0338b7872</stp>
        <stp>[REF]{{BAD}}</stp>
        <tr r="AA15" s="2"/>
      </tp>
    </main>
    <main first="rtdsrv_3094061c4c1b46d98df56674035f365b">
      <tp t="s">
        <v>[REF]{{34856#2238067038944!R3C17:R23C26}}</v>
        <stp/>
        <stp>U.RANGE_REF_58836f94-a56c-4276-9418-d0426024ea7a</stp>
        <stp>[REF]{{BAD}}</stp>
        <tr r="AD145" s="2"/>
      </tp>
      <tp t="s">
        <v>[REF]{{34856#2238124317712!R4C20}}</v>
        <stp/>
        <stp>U.RANGE_REF_013c804c-19af-40f4-8580-3df583f3d232</stp>
        <stp>[REF]{{BAD}}</stp>
        <tr r="AA109" s="2"/>
      </tp>
    </main>
    <main first="rtdsrv_3094061c4c1b46d98df56674035f365b">
      <tp t="s">
        <v>[REF]{{34856#2238123964336!R68C4}}</v>
        <stp/>
        <stp>U.RANGE_REF_4087bf31-3109-49c3-87d7-76af3edef75f</stp>
        <stp>[REF]{{BAD}}</stp>
        <tr r="AA59" s="2"/>
      </tp>
      <tp t="s">
        <v>[REF]{{34856#2238120306000!R140C3}}</v>
        <stp/>
        <stp>U.RANGE_REF_48706f2a-ab6c-4b4c-a88f-67a12cef6b8b</stp>
        <stp>[REF]{{BAD}}</stp>
        <tr r="AA170" s="2"/>
      </tp>
    </main>
    <main first="rtdsrv_3094061c4c1b46d98df56674035f365b">
      <tp t="s">
        <v>[REF]{{34856#2238113323168!R3C23:R32C32}}</v>
        <stp/>
        <stp>U.RANGE_REF_3049a37d-eda9-40af-91d9-a037d0fb7460</stp>
        <stp>[REF]{{BAD}}</stp>
        <tr r="AD35" s="2"/>
      </tp>
    </main>
    <main first="rtdsrv_3094061c4c1b46d98df56674035f365b">
      <tp t="s">
        <v>[REF]{{34856#2238118159472!R121C17:R126C26}}</v>
        <stp/>
        <stp>U.RANGE_REF_6d2efa49-7ac5-4dcc-90d8-2cf25da5bbe5</stp>
        <stp>[REF]{{BAD}}</stp>
        <tr r="AD172" s="2"/>
      </tp>
    </main>
    <main first="rtdsrv_3094061c4c1b46d98df56674035f365b">
      <tp t="s">
        <v>Function OPTION_VALUE compiled and registered at 2026-05-03 21:26:20</v>
        <stp/>
        <stp>U.COMPILE_OPTION_VALUE</stp>
        <tr r="G90" s="60"/>
      </tp>
    </main>
    <main first="rtdsrv_3094061c4c1b46d98df56674035f365b">
      <tp t="s">
        <v>[REF]{{34856#2238124315008!R5C5:R6C5}}</v>
        <stp/>
        <stp>U.RANGE_REF_979d91f1-6232-4e07-87eb-ef4075a075f4</stp>
        <stp>[REF]{{BAD}}</stp>
        <tr r="AA93" s="2"/>
      </tp>
    </main>
    <main first="rtdsrv_3094061c4c1b46d98df56674035f365b">
      <tp t="s">
        <v>[REF]{{34856#2238098038048!R3C21:R32C30}}</v>
        <stp/>
        <stp>U.RANGE_REF_a9a21198-b4c2-4709-b411-cb2c09e9946e</stp>
        <stp>[REF]{{BAD}}</stp>
        <tr r="AD39" s="2"/>
      </tp>
    </main>
    <main first="rtdsrv_3094061c4c1b46d98df56674035f365b">
      <tp t="s">
        <v>[REF]{{34856#2238116407088!R3C17:R38C26}}</v>
        <stp/>
        <stp>U.RANGE_REF_17faefbf-937f-4096-b5ed-c4879652e2bc</stp>
        <stp>[REF]{{BAD}}</stp>
        <tr r="AD32" s="2"/>
      </tp>
    </main>
    <main first="rtdsrv_3094061c4c1b46d98df56674035f365b">
      <tp t="s">
        <v>[REF]{{34856#2238120306000!R190C6}}</v>
        <stp/>
        <stp>U.RANGE_REF_9ced56f5-974c-4f7d-915b-e4c79b1fe684</stp>
        <stp>[REF]{{BAD}}</stp>
        <tr r="AA164" s="2"/>
      </tp>
      <tp t="s">
        <v>[REF]{{34856#2238120306000!R291C2}}</v>
        <stp/>
        <stp>U.RANGE_REF_be1cb99b-a366-4142-a89f-2fb21052d865</stp>
        <stp>[REF]{{BAD}}</stp>
        <tr r="AA11" s="2"/>
      </tp>
      <tp t="s">
        <v>[REF]{{34856#2238123948112!R3C17:R35C26}}</v>
        <stp/>
        <stp>U.RANGE_REF_0aee6257-2804-4eb0-a5c2-567d6d4c60e0</stp>
        <stp>[REF]{{BAD}}</stp>
        <tr r="AD53" s="2"/>
      </tp>
      <tp t="s">
        <v>[REF]{{34856#2238113323168!R35C23:R61C32}}</v>
        <stp/>
        <stp>U.RANGE_REF_ed0e80b6-1179-456a-b2c8-27df6f009035</stp>
        <stp>[REF]{{BAD}}</stp>
        <tr r="AD36" s="2"/>
      </tp>
    </main>
    <main first="rtdsrv_3094061c4c1b46d98df56674035f365b">
      <tp t="s">
        <v>[REF]{{34856#2238067038944!R98C17:R112C26}}</v>
        <stp/>
        <stp>U.RANGE_REF_06f42f97-7a47-47d5-9b0b-601f944fceb0</stp>
        <stp>[REF]{{BAD}}</stp>
        <tr r="AD149" s="2"/>
      </tp>
    </main>
    <main first="rtdsrv_3094061c4c1b46d98df56674035f365b">
      <tp t="s">
        <v>[REF]{{34856#2238066864240!R48C11:R68C20}}</v>
        <stp/>
        <stp>U.RANGE_REF_b539875f-880f-413a-bcd8-4c1a4095a75d</stp>
        <stp>[REF]{{BAD}}</stp>
        <tr r="AD114" s="2"/>
      </tp>
      <tp t="s">
        <v>[REF]{{34856#2238116439920!R3C17:R20C26}}</v>
        <stp/>
        <stp>U.RANGE_REF_38c21344-3f15-4d5d-8354-239253fc71a9</stp>
        <stp>[REF]{{BAD}}</stp>
        <tr r="AD38" s="2"/>
      </tp>
    </main>
    <main first="rtdsrv_3094061c4c1b46d98df56674035f365b">
      <tp t="s">
        <v>[REF]{{34856#2238123134864!R67C11:R93C20}}</v>
        <stp/>
        <stp>U.RANGE_REF_ce0c7a23-68c0-42eb-a34d-82bb975d2a2d</stp>
        <stp>[REF]{{BAD}}</stp>
        <tr r="AD26" s="2"/>
      </tp>
      <tp t="s">
        <v>[REF]{{34856#2238124309600!R182C3}}</v>
        <stp/>
        <stp>U.RANGE_REF_8333f086-fb15-4209-91b6-901dacc9e06c</stp>
        <stp>[REF]{{BAD}}</stp>
        <tr r="AA90" s="2"/>
      </tp>
    </main>
    <main first="rtdsrv_3094061c4c1b46d98df56674035f365b">
      <tp t="s">
        <v>[REF]{{34856#2238124309600!R173C17:R181C26}}</v>
        <stp/>
        <stp>U.RANGE_REF_7be90031-ab0e-4810-86df-0b4829dd769a</stp>
        <stp>[REF]{{BAD}}</stp>
        <tr r="AD91" s="2"/>
      </tp>
      <tp t="s">
        <v>[REF]{{34856#2238067044352!R355C2}}</v>
        <stp/>
        <stp>U.RANGE_REF_f3428997-b9d0-4d62-b36d-4feb5d83a862</stp>
        <stp>[REF]{{BAD}}</stp>
        <tr r="AA161" s="2"/>
      </tp>
      <tp t="s">
        <v>[REF]{{34856#2238124315008!R188C5}}</v>
        <stp/>
        <stp>U.RANGE_REF_f83bda19-1976-4d5a-a6d6-0b187958a620</stp>
        <stp>[REF]{{BAD}}</stp>
        <tr r="AA101" s="2"/>
      </tp>
      <tp t="s">
        <v>[REF]{{34856#2238118522976!R23C3:R28C3}}</v>
        <stp/>
        <stp>U.RANGE_REF_312c9159-7863-4903-a69a-75189d0062dd</stp>
        <stp>[REF]{{BAD}}</stp>
        <tr r="AA40" s="2"/>
      </tp>
      <tp t="s">
        <v>[REF]{{34856#2238067036240!R3C17:R56C26}}</v>
        <stp/>
        <stp>U.RANGE_REF_fdaa7b03-7183-47d8-a2c6-571bdbecde9c</stp>
        <stp>[REF]{{BAD}}</stp>
        <tr r="AD135" s="2"/>
      </tp>
    </main>
    <main first="rtdsrv_3094061c4c1b46d98df56674035f365b">
      <tp t="s">
        <v>[REF]{{34856#2238067033536!R14C11:R22C20}}</v>
        <stp/>
        <stp>U.RANGE_REF_4217c690-aa93-4692-b9a7-dae670e89ee6</stp>
        <stp>[REF]{{BAD}}</stp>
        <tr r="AD178" s="2"/>
      </tp>
    </main>
    <main first="rtdsrv_3094061c4c1b46d98df56674035f365b">
      <tp t="s">
        <v>0.0.37.0</v>
        <stp/>
        <stp>U.VERSION</stp>
        <tr r="C40" s="13"/>
      </tp>
    </main>
    <main first="rtdsrv_3094061c4c1b46d98df56674035f365b">
      <tp t="s">
        <v>[REF]{{34856#2238120306000!R100C3}}</v>
        <stp/>
        <stp>U.RANGE_REF_b5b6f37c-083c-4096-ad8e-fd7b8b49b11a</stp>
        <stp>[REF]{{BAD}}</stp>
        <tr r="AA8" s="2"/>
      </tp>
      <tp t="s">
        <v>[REF]{{34856#2238067038944!R117C5}}</v>
        <stp/>
        <stp>U.RANGE_REF_9d94fedf-b235-4e4e-a930-397bba6341d8</stp>
        <stp>[REF]{{BAD}}</stp>
        <tr r="AA149" s="2"/>
      </tp>
    </main>
    <main first="rtdsrv_3094061c4c1b46d98df56674035f365b">
      <tp t="s">
        <v>[REF]{{34856#2238120306000!R263C17:R277C26}}</v>
        <stp/>
        <stp>U.RANGE_REF_02a26401-fe5d-435b-ad60-4eee2ecdb08a</stp>
        <stp>[REF]{{BAD}}</stp>
        <tr r="AD16" s="2"/>
      </tp>
      <tp t="s">
        <v>Incrementor</v>
        <stp/>
        <stp>U.SET_CLICK_VALS_U_USAGEEXAMPLES.XLSX|INCREMENTOR</stp>
        <tr r="D195" s="30"/>
      </tp>
    </main>
    <main first="rtdsrv_3094061c4c1b46d98df56674035f365b">
      <tp t="s">
        <v>[REF]{{34856#2238124306896!R59C11:R76C20}}</v>
        <stp/>
        <stp>U.RANGE_REF_98adb875-f1ba-4a40-95f6-92bcde0f7c94</stp>
        <stp>[REF]{{BAD}}</stp>
        <tr r="AD79" s="2"/>
      </tp>
      <tp t="s">
        <v>[REF]{{34856#2238067033536!R169C11:R183C20}}</v>
        <stp/>
        <stp>U.RANGE_REF_df623b32-5ed8-4b11-805b-542de0954636</stp>
        <stp>[REF]{{BAD}}</stp>
        <tr r="AD187" s="2"/>
      </tp>
    </main>
    <main first="rtdsrv_3094061c4c1b46d98df56674035f365b">
      <tp t="s">
        <v>[REF]{{34856#2238124304192!R5C9:R7C9}}</v>
        <stp/>
        <stp>U.RANGE_REF_0c19a25c-3696-4965-9959-823b7ec2c0af</stp>
        <stp>[REF]{{BAD}}</stp>
        <tr r="AA67" s="2"/>
      </tp>
    </main>
    <main first="rtdsrv_3094061c4c1b46d98df56674035f365b">
      <tp t="s">
        <v>[REF]{{34856#2238124315008!R194C5}}</v>
        <stp/>
        <stp>U.RANGE_REF_d7b24e60-7542-4697-84cc-734287743381</stp>
        <stp>[REF]{{BAD}}</stp>
        <tr r="AA105" s="2"/>
      </tp>
      <tp t="s">
        <v>[REF]{{34856#2238066883168!R3C17:R35C26}}</v>
        <stp/>
        <stp>U.RANGE_REF_e3b28272-4db4-40a0-bf05-8384e2685a32</stp>
        <stp>[REF]{{BAD}}</stp>
        <tr r="AD121" s="2"/>
      </tp>
    </main>
    <main first="rtdsrv_3094061c4c1b46d98df56674035f365b">
      <tp t="s">
        <v>[REF]{{34856#2238123134864!R7C3}}</v>
        <stp/>
        <stp>U.RANGE_REF_92ce6b44-319b-4392-960a-6d80982d1143</stp>
        <stp>[REF]{{BAD}}</stp>
        <tr r="AA24" s="2"/>
      </tp>
      <tp t="s">
        <v>[REF]{{34856#2238120306000!R9C6}}</v>
        <stp/>
        <stp>U.RANGE_REF_8f2469c9-a830-4e06-96e0-e5a27d71096e</stp>
        <stp>[REF]{{BAD}}</stp>
        <tr r="AA4" s="2"/>
      </tp>
    </main>
    <main first="rtdsrv_3094061c4c1b46d98df56674035f365b">
      <tp t="s">
        <v>[REF]{{34856#2238120306000!R333C6}}</v>
        <stp/>
        <stp>U.RANGE_REF_9bc2fe6a-1a35-40c4-9b69-479ab985db5d</stp>
        <stp>[REF]{{BAD}}</stp>
        <tr r="AA19" s="2"/>
      </tp>
      <tp t="s">
        <v>[REF]{{34856#2238067038944!R75C2}}</v>
        <stp/>
        <stp>U.RANGE_REF_b5667c14-b9a9-4f30-8ba7-f544785e6a14</stp>
        <stp>[REF]{{BAD}}</stp>
        <tr r="AA147" s="2"/>
      </tp>
      <tp t="s">
        <v>[REF]{{34856#2238124309600!R32C17:R55C26}}</v>
        <stp/>
        <stp>U.RANGE_REF_9e890cc6-5ebd-45f7-a050-7f7530a5dfaf</stp>
        <stp>[REF]{{BAD}}</stp>
        <tr r="AD83" s="2"/>
      </tp>
      <tp t="s">
        <v>[REF]{{34856#2238067033536!R3C11:R11C20}}</v>
        <stp/>
        <stp>U.RANGE_REF_c86657c5-8db7-45c3-a798-8917e989b99e</stp>
        <stp>[REF]{{BAD}}</stp>
        <tr r="AD177" s="2"/>
      </tp>
    </main>
    <main first="rtdsrv_3094061c4c1b46d98df56674035f365b">
      <tp t="s">
        <v>[REF]{{34856#2238067033536!R139C11:R147C20}}</v>
        <stp/>
        <stp>U.RANGE_REF_a01d83a0-ed30-4a27-a8c8-c4f0a065dde4</stp>
        <stp>[REF]{{BAD}}</stp>
        <tr r="AD89" s="2"/>
      </tp>
      <tp t="s">
        <v>[REF]{{34856#2238067038944!R26C17:R49C26}}</v>
        <stp/>
        <stp>U.RANGE_REF_73823c6b-5357-4c42-9a2a-5205566e37c9</stp>
        <stp>[REF]{{BAD}}</stp>
        <tr r="AD146" s="2"/>
      </tp>
    </main>
    <main first="rtdsrv_3094061c4c1b46d98df56674035f365b">
      <tp t="s">
        <v>[REF]{{34856#2238066864240!R112C2:R114C2}}</v>
        <stp/>
        <stp>U.RANGE_REF_9490a2ef-9e29-46f8-aee4-ac464fb3d9bc</stp>
        <stp>[REF]{{BAD}}</stp>
        <tr r="AA114" s="2"/>
      </tp>
      <tp t="b">
        <v>0</v>
        <stp/>
        <stp>U.ISAUTHENTICATED</stp>
        <tr r="C12" s="13"/>
      </tp>
    </main>
    <main first="rtdsrv_3094061c4c1b46d98df56674035f365b">
      <tp t="s">
        <v>[REF]{{34856#2238067033536!R10C3}}</v>
        <stp/>
        <stp>U.RANGE_REF_669d2ec8-da90-47db-ad34-fe820793ce68</stp>
        <stp>[REF]{{BAD}}</stp>
        <tr r="AA180" s="2"/>
      </tp>
      <tp t="s">
        <v>[REF]{{34856#2238124296080!R3C13:R14C22}}</v>
        <stp/>
        <stp>U.RANGE_REF_3b57d016-24f2-4354-8cb9-df2fff747c46</stp>
        <stp>[REF]{{BAD}}</stp>
        <tr r="AD71" s="2"/>
      </tp>
      <tp>
        <v>34856</v>
        <stp/>
        <stp>U.PROCESSID</stp>
        <tr r="C68" s="13"/>
      </tp>
    </main>
    <main first="rtdsrv_3094061c4c1b46d98df56674035f365b">
      <tp t="s">
        <v>[REF]{{34856#2238066864240!R23C11:R34C20}}</v>
        <stp/>
        <stp>U.RANGE_REF_e22b85eb-dd24-4b5b-a1d2-55b3c7964bb1</stp>
        <stp>[REF]{{BAD}}</stp>
        <tr r="AD112" s="2"/>
      </tp>
    </main>
    <main first="rtdsrv_3094061c4c1b46d98df56674035f365b">
      <tp t="s">
        <v>[REF]{{34856#2238066883168!R38C17:R46C26}}</v>
        <stp/>
        <stp>U.RANGE_REF_bc356598-5171-4679-9b20-c45684c060e7</stp>
        <stp>[REF]{{BAD}}</stp>
        <tr r="AD122" s="2"/>
      </tp>
      <tp t="s">
        <v>[REF]{{34856#2238120306000!R433C3}}</v>
        <stp/>
        <stp>U.RANGE_REF_b797d6f3-9294-4e7e-bdfc-5ae500da4475</stp>
        <stp>[REF]{{BAD}}</stp>
        <tr r="AA17" s="2"/>
      </tp>
      <tp t="s">
        <v>[REF]{{34856#2238066864240!R4C3}}</v>
        <stp/>
        <stp>U.RANGE_REF_479f0d12-0beb-4d13-9424-793f1cdacf14</stp>
        <stp>[REF]{{BAD}}</stp>
        <tr r="AA111" s="2"/>
      </tp>
      <tp t="s">
        <v>[REF]{{34856#2238120306000!R43C17:R54C26}}</v>
        <stp/>
        <stp>U.RANGE_REF_e69ae137-5e03-45ce-9a13-227ad91025bd</stp>
        <stp>[REF]{{BAD}}</stp>
        <tr r="AD10" s="2"/>
      </tp>
      <tp t="s">
        <v>[REF]{{34856#2238124309600!R86C3}}</v>
        <stp/>
        <stp>U.RANGE_REF_2f7b56b8-bfb0-41f1-9bd9-6e247dbba5b9</stp>
        <stp>[REF]{{BAD}}</stp>
        <tr r="AA86" s="2"/>
      </tp>
    </main>
    <main first="rtdsrv_3094061c4c1b46d98df56674035f365b">
      <tp t="s">
        <v>[REF]{{34856#2238116131984!R356C11:R363C16}}</v>
        <stp/>
        <stp>U.RANGE_REF_7b0d437a-e2c4-44f5-9d8b-c28b24fb1019</stp>
        <stp>[REF]{{BAD}}</stp>
        <tr r="AA34" s="2"/>
      </tp>
    </main>
    <main first="rtdsrv_3094061c4c1b46d98df56674035f365b">
      <tp t="s">
        <v>[REF]{{34856#2238120306000!R137C17:R145C26}}</v>
        <stp/>
        <stp>U.RANGE_REF_f48eed25-f47d-4e0f-ac8d-66c106465653</stp>
        <stp>[REF]{{BAD}}</stp>
        <tr r="AD168" s="2"/>
      </tp>
    </main>
    <main first="rtdsrv_3094061c4c1b46d98df56674035f365b">
      <tp t="s">
        <v>[REF]{{34856#2238124304192!R26C17:R43C26}}</v>
        <stp/>
        <stp>U.RANGE_REF_8b9bd177-0169-40c0-b78e-adee06a9a9f9</stp>
        <stp>[REF]{{BAD}}</stp>
        <tr r="AD69" s="2"/>
      </tp>
    </main>
    <main first="rtdsrv_3094061c4c1b46d98df56674035f365b">
      <tp t="s">
        <v>[REF]{{34856#2238067041648!R3C17:R20C26}}</v>
        <stp/>
        <stp>U.RANGE_REF_2f7d63be-2635-4633-8f4a-7caf6051dbaa</stp>
        <stp>[REF]{{BAD}}</stp>
        <tr r="AD137" s="2"/>
      </tp>
      <tp t="s">
        <v>[REF]{{34856#2238067033536!R68C3}}</v>
        <stp/>
        <stp>U.RANGE_REF_411e4973-8f47-45c3-9ff3-96734d7edad7</stp>
        <stp>[REF]{{BAD}}</stp>
        <tr r="AA185" s="2"/>
      </tp>
    </main>
    <main first="rtdsrv_3094061c4c1b46d98df56674035f365b">
      <tp t="s">
        <v>[REF]{{34856#2238124315008!R88C19:R93C28}}</v>
        <stp/>
        <stp>U.RANGE_REF_5c7e057a-9d49-4e24-a7ea-eb68fcfffdbd</stp>
        <stp>[REF]{{BAD}}</stp>
        <tr r="AD96" s="2"/>
      </tp>
      <tp t="s">
        <v>[REF]{{34856#2238116131984!R32C31:R58C40}}</v>
        <stp/>
        <stp>U.RANGE_REF_b5256e35-face-4993-acac-e743e7308436</stp>
        <stp>[REF]{{BAD}}</stp>
        <tr r="AD34" s="2"/>
      </tp>
    </main>
    <main first="rtdsrv_3094061c4c1b46d98df56674035f365b">
      <tp t="s">
        <v>[REF]{{34856#2238124287968!R5C4}}</v>
        <stp/>
        <stp>U.RANGE_REF_d0b301f7-aa4c-484d-ae9a-b6448a4aa73f</stp>
        <stp>[REF]{{BAD}}</stp>
        <tr r="AA65" s="2"/>
      </tp>
      <tp t="s">
        <v>[REF]{{34856#2238123134864!R113C11:R130C20}}</v>
        <stp/>
        <stp>U.RANGE_REF_24729fdf-d38d-4b9f-a629-eff147137693</stp>
        <stp>[REF]{{BAD}}</stp>
        <tr r="AD28" s="2"/>
      </tp>
    </main>
    <main first="rtdsrv_3094061c4c1b46d98df56674035f365b">
      <tp t="s">
        <v>[REF]{{34856#2238124315008!R104C19:R115C28}}</v>
        <stp/>
        <stp>U.RANGE_REF_23c4af48-b30a-48f5-abfa-f34c8145942c</stp>
        <stp>[REF]{{BAD}}</stp>
        <tr r="AD100" s="2"/>
      </tp>
      <tp t="s">
        <v>[REF]{{34856#2238124306896!R14C11:R22C20}}</v>
        <stp/>
        <stp>U.RANGE_REF_cdb86ecb-04d8-4e13-9d65-ec0aa177d00a</stp>
        <stp>[REF]{{BAD}}</stp>
        <tr r="AD76" s="2"/>
      </tp>
    </main>
    <main first="rtdsrv_3094061c4c1b46d98df56674035f365b">
      <tp t="s">
        <v>CTRL + ALT + K</v>
        <stp/>
        <stp>U.KEYBOARD_SHORTCUT_CTRL + ALT + K_GLOBAL</stp>
        <tr r="D47" s="57"/>
      </tp>
    </main>
    <main first="rtdsrv_3094061c4c1b46d98df56674035f365b">
      <tp t="s">
        <v>[REF]{{34856#2238067030832!R10C12}}</v>
        <stp/>
        <stp>U.RANGE_REF_53f6ed3d-3f0e-4b8a-9057-f05e01043a7a</stp>
        <stp>[REF]{{BAD}}</stp>
        <tr r="AA140" s="2"/>
      </tp>
    </main>
    <main first="rtdsrv_3094061c4c1b46d98df56674035f365b">
      <tp t="s">
        <v>[REF]{{34856#2238066877760!R4C11:R30C20}}</v>
        <stp/>
        <stp>U.RANGE_REF_3a0fe5a4-1a65-4ff7-9cb6-86a3ade36948</stp>
        <stp>[REF]{{BAD}}</stp>
        <tr r="AD118" s="2"/>
      </tp>
      <tp t="s">
        <v>[REF]{{34856#2238124315008!R40C5}}</v>
        <stp/>
        <stp>U.RANGE_REF_032edc19-962f-4cf6-b32f-a4f5de4aa779</stp>
        <stp>[REF]{{BAD}}</stp>
        <tr r="AA94" s="2"/>
      </tp>
      <tp t="s">
        <v>[REF]{{34856#2238066883168!R52C3}}</v>
        <stp/>
        <stp>U.RANGE_REF_2c2170bd-45a3-4af4-9365-130cb4d8f025</stp>
        <stp>[REF]{{BAD}}</stp>
        <tr r="AA123" s="2"/>
      </tp>
      <tp t="s">
        <v>[REF]{{34856#2238123956224!R5C6:R9C7}}</v>
        <stp/>
        <stp>U.RANGE_REF_54abdb05-e661-4177-8311-5269f2dae021</stp>
        <stp>[REF]{{BAD}}</stp>
        <tr r="AA52" s="2"/>
      </tp>
    </main>
    <main first="rtdsrv_3094061c4c1b46d98df56674035f365b">
      <tp t="s">
        <v>[REF]{{34856#2238124306896!R36C11:R56C20}}</v>
        <stp/>
        <stp>U.RANGE_REF_cf3ea9cf-a636-4252-baf7-906af04bd0ec</stp>
        <stp>[REF]{{BAD}}</stp>
        <tr r="AD78" s="2"/>
      </tp>
      <tp t="s">
        <v>[REF]{{34856#2238120306000!R350C17:R361C26}}</v>
        <stp/>
        <stp>U.RANGE_REF_acf759a5-6205-4327-b8b7-bfe4ee066eaa</stp>
        <stp>[REF]{{BAD}}</stp>
        <tr r="AD173" s="2"/>
      </tp>
    </main>
    <main first="rtdsrv_3094061c4c1b46d98df56674035f365b">
      <tp t="s">
        <v>[REF]{{34856#2238123940000!R5C5:R11C6}}</v>
        <stp/>
        <stp>U.RANGE_REF_d7347444-f527-47a3-b325-f6fe2e1afdf9</stp>
        <stp>[REF]{{BAD}}</stp>
        <tr r="AA51" s="2"/>
      </tp>
      <tp t="s">
        <v>[REF]{{34856#2238066880464!R7C15:R30C24}}</v>
        <stp/>
        <stp>U.RANGE_REF_41beee50-37e8-41b8-8de4-3f5e7cb3b056</stp>
        <stp>[REF]{{BAD}}</stp>
        <tr r="AD119" s="2"/>
      </tp>
      <tp t="s">
        <v>[REF]{{34856#2238120306000!R71C17:R100C26}}</v>
        <stp/>
        <stp>U.RANGE_REF_35feb75c-033d-435e-a046-c5a2c9150408</stp>
        <stp>[REF]{{BAD}}</stp>
        <tr r="AD8" s="2"/>
      </tp>
      <tp t="s">
        <v>[REF]{{34856#2238124315008!R145C5}}</v>
        <stp/>
        <stp>U.RANGE_REF_cd19c9d6-bcfa-45e9-83cc-b2c17288be85</stp>
        <stp>[REF]{{BAD}}</stp>
        <tr r="AA96" s="2"/>
      </tp>
      <tp t="s">
        <v>[REF]{{34856#2238124317712!R3C23:R14C32}}</v>
        <stp/>
        <stp>U.RANGE_REF_e43f9ff9-5319-4d1c-8520-21514c695ccb</stp>
        <stp>[REF]{{BAD}}</stp>
        <tr r="AD109" s="2"/>
      </tp>
    </main>
    <main first="rtdsrv_3094061c4c1b46d98df56674035f365b">
      <tp t="s">
        <v>[REF]{{34856#2238118159472!R26C17:R46C26}}</v>
        <stp/>
        <stp>U.RANGE_REF_df5ad47f-cb75-4245-a951-cc62d8f71d77</stp>
        <stp>[REF]{{BAD}}</stp>
        <tr r="AD6" s="2"/>
      </tp>
      <tp t="s">
        <v>[REF]{{34856#2238110031616!R5C6}}</v>
        <stp/>
        <stp>U.RANGE_REF_611a9aa9-0761-4ad0-820a-2307e1821c8e</stp>
        <stp>[REF]{{BAD}}</stp>
        <tr r="AA42" s="2"/>
      </tp>
      <tp t="s">
        <v>[REF]{{34856#2238066893984!R4C3}}</v>
        <stp/>
        <stp>U.RANGE_REF_1361f261-d3d0-452f-b116-05ce6ebdf02e</stp>
        <stp>[REF]{{BAD}}</stp>
        <tr r="AA133" s="2"/>
      </tp>
    </main>
    <main first="rtdsrv_3094061c4c1b46d98df56674035f365b">
      <tp t="s">
        <v>[REF]{{34856#2238120306000!R3C17:R26C26}}</v>
        <stp/>
        <stp>U.RANGE_REF_b264fb81-ff3a-4238-b388-2d5ce92256ac</stp>
        <stp>[REF]{{BAD}}</stp>
        <tr r="AD4" s="2"/>
      </tp>
      <tp t="s">
        <v>[REF]{{34856#2238067033536!R38C3}}</v>
        <stp/>
        <stp>U.RANGE_REF_6dc09052-6cde-4e6c-a7fd-47f074301a26</stp>
        <stp>[REF]{{BAD}}</stp>
        <tr r="AA182" s="2"/>
      </tp>
    </main>
    <main first="rtdsrv_3094061c4c1b46d98df56674035f365b">
      <tp t="s">
        <v>[REF]{{34856#2238066883168!R10C3}}</v>
        <stp/>
        <stp>U.RANGE_REF_4e5075cf-7feb-4e07-bc1a-0c433dd94444</stp>
        <stp>[REF]{{BAD}}</stp>
        <tr r="AA121" s="2"/>
      </tp>
    </main>
    <main first="rtdsrv_3094061c4c1b46d98df56674035f365b">
      <tp t="s">
        <v>[REF]{{34856#2238067028128!R5C3}}</v>
        <stp/>
        <stp>U.RANGE_REF_f9cf023f-2daf-4013-a673-c028cc9c219b</stp>
        <stp>[REF]{{BAD}}</stp>
        <tr r="AA141" s="2"/>
      </tp>
      <tp t="s">
        <v>[REF]{{34856#2238120306000!R425C3}}</v>
        <stp/>
        <stp>U.RANGE_REF_9b34a8c1-8541-45e7-baca-73f2d3de5d39</stp>
        <stp>[REF]{{BAD}}</stp>
        <tr r="AA16" s="2"/>
      </tp>
    </main>
    <main first="rtdsrv_3094061c4c1b46d98df56674035f365b">
      <tp t="s">
        <v>[REF]{{34856#2238067038944!R5C5}}</v>
        <stp/>
        <stp>U.RANGE_REF_de0d1515-caa6-41da-8624-c36a61f62c1b</stp>
        <stp>[REF]{{BAD}}</stp>
        <tr r="AA145" s="2"/>
      </tp>
      <tp t="s">
        <v>[REF]{{34856#2238116131984!R7C12:R12C19}}</v>
        <stp/>
        <stp>U.RANGE_REF_56009e28-13ae-40e5-8b2d-a7ea05670d34</stp>
        <stp>[REF]{{BAD}}</stp>
        <tr r="AA33" s="2"/>
      </tp>
      <tp t="s">
        <v>[REF]{{34856#2238117867360!R3C31:R23C40}}</v>
        <stp/>
        <stp>U.RANGE_REF_004a1dd1-aae3-4190-a4a6-5a9c7626c591</stp>
        <stp>[REF]{{BAD}}</stp>
        <tr r="AD37" s="2"/>
      </tp>
    </main>
    <main first="rtdsrv_3094061c4c1b46d98df56674035f365b">
      <tp t="s">
        <v>[REF]{{34856#2238120306000!R312C4}}</v>
        <stp/>
        <stp>U.RANGE_REF_1e77746d-5138-4c77-a0f0-7c44b87bc463</stp>
        <stp>[REF]{{BAD}}</stp>
        <tr r="AA12" s="2"/>
      </tp>
      <tp t="s">
        <v>[REF]{{34856#2238066891280!R3C17:R68C26}}</v>
        <stp/>
        <stp>U.RANGE_REF_ac5b61e8-5ac3-4bf7-951f-8fbd46c3c2c2</stp>
        <stp>[REF]{{BAD}}</stp>
        <tr r="AD132" s="2"/>
      </tp>
      <tp t="s">
        <v>[REF]{{34856#2238124315008!R177C19:R200C28}}</v>
        <stp/>
        <stp>U.RANGE_REF_a2a95121-299e-40fc-9554-5ec9388fb60a</stp>
        <stp>[REF]{{BAD}}</stp>
        <tr r="AD102" s="2"/>
      </tp>
    </main>
    <main first="rtdsrv_3094061c4c1b46d98df56674035f365b">
      <tp t="s">
        <v>[REF]{{34856#2238116131984!R3C31:R29C40}}</v>
        <stp/>
        <stp>U.RANGE_REF_67b95356-1dcd-4d3f-b560-d97e5bd7daec</stp>
        <stp>[REF]{{BAD}}</stp>
        <tr r="AD33" s="2"/>
      </tp>
    </main>
    <main first="rtdsrv_3094061c4c1b46d98df56674035f365b">
      <tp t="s">
        <v>[REF]{{34856#2238113323168!R7C10:R12C11}}</v>
        <stp/>
        <stp>U.RANGE_REF_348e0b01-4795-47a7-9cf9-313295594b54</stp>
        <stp>[REF]{{BAD}}</stp>
        <tr r="AA35" s="2"/>
      </tp>
    </main>
    <main first="rtdsrv_3094061c4c1b46d98df56674035f365b">
      <tp t="s">
        <v>[REF]{{34856#2238067033536!R24C3}}</v>
        <stp/>
        <stp>U.RANGE_REF_47389912-a6d2-4c5d-8032-8142cda3ceff</stp>
        <stp>[REF]{{BAD}}</stp>
        <tr r="AA152" s="2"/>
      </tp>
    </main>
    <main first="rtdsrv_3094061c4c1b46d98df56674035f365b">
      <tp t="s">
        <v>localhost:40001</v>
        <stp/>
        <stp>U.SERVER</stp>
        <tr r="C10" s="13"/>
      </tp>
      <tp t="s">
        <v>[REF]{{34856#2238124315008!R133C5}}</v>
        <stp/>
        <stp>U.RANGE_REF_095b66ff-a1f0-4a9f-acbc-5b7cc6359c0c</stp>
        <stp>[REF]{{BAD}}</stp>
        <tr r="AA95" s="2"/>
      </tp>
    </main>
    <main first="rtdsrv_3094061c4c1b46d98df56674035f365b">
      <tp t="s">
        <v>[REF]{{34856#2238123964336!R52C13:R69C22}}</v>
        <stp/>
        <stp>U.RANGE_REF_b0306ad8-459f-4e27-af62-0e81ce84e6d8</stp>
        <stp>[REF]{{BAD}}</stp>
        <tr r="AD60" s="2"/>
      </tp>
    </main>
    <main first="rtdsrv_3094061c4c1b46d98df56674035f365b">
      <tp t="s">
        <v>[REF]{{34856#2238066864240!R26C2}}</v>
        <stp/>
        <stp>U.RANGE_REF_45fedc02-45f1-4081-9ca1-f6d295fb19df</stp>
        <stp>[REF]{{BAD}}</stp>
        <tr r="AA112" s="2"/>
      </tp>
    </main>
    <main first="rtdsrv_3094061c4c1b46d98df56674035f365b">
      <tp t="s">
        <v>[REF]{{34856#2238066864240!R3C11:R20C20}}</v>
        <stp/>
        <stp>U.RANGE_REF_888db1ca-5370-4718-9707-5261da9b15d5</stp>
        <stp>[REF]{{BAD}}</stp>
        <tr r="AD111" s="2"/>
      </tp>
    </main>
    <main first="rtdsrv_3094061c4c1b46d98df56674035f365b">
      <tp t="s">
        <v>[REF]{{34856#2238066869648!R23C17:R34C26}}</v>
        <stp/>
        <stp>U.RANGE_REF_c82ca98a-53b8-4993-a994-ecec2892e4e4</stp>
        <stp>[REF]{{BAD}}</stp>
        <tr r="AD126" s="2"/>
      </tp>
      <tp t="s">
        <v>[REF]{{34856#2238124309600!R190C2:R216C2}}</v>
        <stp/>
        <stp>U.RANGE_REF_7a0cfdd1-d38d-421b-bbdd-aeed6fffdb4e</stp>
        <stp>[REF]{{BAD}}</stp>
        <tr r="AA91" s="2"/>
      </tp>
      <tp t="s">
        <v>[REF]{{34856#2238066866944!R5C8}}</v>
        <stp/>
        <stp>U.RANGE_REF_547a89b7-46be-4ce5-afb3-7ac65d288d5d</stp>
        <stp>[REF]{{BAD}}</stp>
        <tr r="AA120" s="2"/>
      </tp>
    </main>
    <main first="rtdsrv_3094061c4c1b46d98df56674035f365b">
      <tp t="s">
        <v>[REF]{{34856#2238066891280!R5C5}}</v>
        <stp/>
        <stp>U.RANGE_REF_ddc6c90c-0279-4014-aa94-33adb2e1d6e5</stp>
        <stp>[REF]{{BAD}}</stp>
        <tr r="AA132" s="2"/>
      </tp>
    </main>
    <main first="rtdsrv_3094061c4c1b46d98df56674035f365b">
      <tp t="s">
        <v>[REF]{{34856#2238124306896!R25C11:R33C20}}</v>
        <stp/>
        <stp>U.RANGE_REF_9f7e53e2-1feb-4da1-a21d-174d12d09744</stp>
        <stp>[REF]{{BAD}}</stp>
        <tr r="AD77" s="2"/>
      </tp>
      <tp t="s">
        <v>[REF]{{34856#2238066875056!R41C11:R49C20}}</v>
        <stp/>
        <stp>U.RANGE_REF_8c26b2fe-b984-4d02-90f5-229cc6de3c1f</stp>
        <stp>[REF]{{BAD}}</stp>
        <tr r="AD116" s="2"/>
      </tp>
    </main>
    <main first="rtdsrv_3094061c4c1b46d98df56674035f365b">
      <tp t="s">
        <v>[REF]{{34856#2238110026208!R23C22:R46C31}}</v>
        <stp/>
        <stp>U.RANGE_REF_9951f7a4-13a3-4346-9d4f-22786116cb34</stp>
        <stp>[REF]{{BAD}}</stp>
        <tr r="AD48" s="2"/>
      </tp>
      <tp t="s">
        <v>[REF]{{34856#2238121636256!R3C31:R29C40}}</v>
        <stp/>
        <stp>U.RANGE_REF_5f34b2e3-179a-43b0-81b5-2154f0f7e83b</stp>
        <stp>[REF]{{BAD}}</stp>
        <tr r="AD31" s="2"/>
      </tp>
      <tp t="s">
        <v>[REF]{{34856#2238124296080!R5C4}}</v>
        <stp/>
        <stp>U.RANGE_REF_2f5c0116-a7cd-46a2-ac01-07102028732b</stp>
        <stp>[REF]{{BAD}}</stp>
        <tr r="AA71" s="2"/>
      </tp>
      <tp t="s">
        <v>[REF]{{34856#2238124315008!R3C19:R32C28}}</v>
        <stp/>
        <stp>U.RANGE_REF_51261d4c-3ade-49d8-a6e6-e9a40424511a</stp>
        <stp>[REF]{{BAD}}</stp>
        <tr r="AD93" s="2"/>
      </tp>
      <tp t="s">
        <v>[REF]{{34856#2238123134864!R96C11:R110C20}}</v>
        <stp/>
        <stp>U.RANGE_REF_8b11e606-bfb6-4a23-b936-29338b3bcbb8</stp>
        <stp>[REF]{{BAD}}</stp>
        <tr r="AD27" s="2"/>
      </tp>
    </main>
    <main first="rtdsrv_3094061c4c1b46d98df56674035f365b">
      <tp t="s">
        <v>[REF]{{34856#2238120306000!R68C6}}</v>
        <stp/>
        <stp>U.RANGE_REF_a75007d3-eddd-4eb1-aaf9-fd2ed88fe05e</stp>
        <stp>[REF]{{BAD}}</stp>
        <tr r="AA10" s="2"/>
      </tp>
    </main>
    <main first="rtdsrv_3094061c4c1b46d98df56674035f365b">
      <tp t="s">
        <v>[REF]{{34856#2238067033536!R19C3}}</v>
        <stp/>
        <stp>U.RANGE_REF_515c642a-83f8-4551-ad84-da5a6e100579</stp>
        <stp>[REF]{{BAD}}</stp>
        <tr r="AA181" s="2"/>
      </tp>
    </main>
    <main first="rtdsrv_3094061c4c1b46d98df56674035f365b">
      <tp t="s">
        <v>[REF]{{34856#2238098038048!R6C8:R11C11}}</v>
        <stp/>
        <stp>U.RANGE_REF_17ade61d-4ebc-401e-8c02-ee031f5b2d1f</stp>
        <stp>[REF]{{BAD}}</stp>
        <tr r="AA39" s="2"/>
      </tp>
    </main>
    <main first="rtdsrv_3094061c4c1b46d98df56674035f365b">
      <tp t="s">
        <v>Function GetGlobalVal compiled at 2026-05-03 21:26:20</v>
        <stp/>
        <stp>U.COMPILE_GETGLOBALVAL</stp>
        <tr r="E138" s="60"/>
      </tp>
      <tp t="s">
        <v>[REF]{{34856#2238066869648!R3C17:R20C26}}</v>
        <stp/>
        <stp>U.RANGE_REF_5d1b8861-7700-40d9-8820-dd02f2cc97a0</stp>
        <stp>[REF]{{BAD}}</stp>
        <tr r="AD125" s="2"/>
      </tp>
    </main>
    <main first="rtdsrv_3094061c4c1b46d98df56674035f365b">
      <tp t="s">
        <v>[REF]{{34856#2238067033536!R81C2:R83C3}}</v>
        <stp/>
        <stp>U.RANGE_REF_be044340-d6a7-4b37-a636-4be534c9b50c</stp>
        <stp>[REF]{{BAD}}</stp>
        <tr r="AA176" s="2"/>
      </tp>
      <tp t="s">
        <v>[REF]{{34856#2238110031616!R3C15:R29C24}}</v>
        <stp/>
        <stp>U.RANGE_REF_124958fd-f22c-4ed3-bd50-78e31d0e0f76</stp>
        <stp>[REF]{{BAD}}</stp>
        <tr r="AD42" s="2"/>
      </tp>
      <tp t="s">
        <v>[REF]{{34856#2238124287968!R61C4:R66C4}}</v>
        <stp/>
        <stp>U.RANGE_REF_2312a7fd-d1cd-41b3-916d-bf5e465e2503</stp>
        <stp>[REF]{{BAD}}</stp>
        <tr r="AA66" s="2"/>
      </tp>
    </main>
    <main first="rtdsrv_3094061c4c1b46d98df56674035f365b">
      <tp t="s">
        <v>[REF]{{34856#2238067033536!R40C3}}</v>
        <stp/>
        <stp>U.RANGE_REF_655a044f-c622-4e14-8a64-07cd4dc8ac14</stp>
        <stp>[REF]{{BAD}}</stp>
        <tr r="AA183" s="2"/>
      </tp>
    </main>
    <main first="rtdsrv_3094061c4c1b46d98df56674035f365b">
      <tp t="s">
        <v>[REF]{{34856#2238066893984!R3C11:R8C20}}</v>
        <stp/>
        <stp>U.RANGE_REF_770464d3-5e63-47f5-931b-66ac01409f46</stp>
        <stp>[REF]{{BAD}}</stp>
        <tr r="AD133" s="2"/>
      </tp>
    </main>
    <main first="rtdsrv_3094061c4c1b46d98df56674035f365b">
      <tp t="s">
        <v>[REF]{{34856#2238124306896!R38C3}}</v>
        <stp/>
        <stp>U.RANGE_REF_71f30049-db0d-4c2f-9230-cb7813029353</stp>
        <stp>[REF]{{BAD}}</stp>
        <tr r="AA77" s="2"/>
      </tp>
    </main>
    <main first="rtdsrv_3094061c4c1b46d98df56674035f365b">
      <tp t="s">
        <v>[REF]{{34856#2238120306000!R57C17:R68C26}}</v>
        <stp/>
        <stp>U.RANGE_REF_ce13f364-ddf4-437f-973b-86e35fc74352</stp>
        <stp>[REF]{{BAD}}</stp>
        <tr r="AD170" s="2"/>
      </tp>
    </main>
    <main first="rtdsrv_3094061c4c1b46d98df56674035f365b">
      <tp t="s">
        <v>[REF]{{34856#2238118159472!R34C2:R36C3}}</v>
        <stp/>
        <stp>U.RANGE_REF_3ae9afec-b263-420c-88cc-305a4b3cbae4</stp>
        <stp>[REF]{{BAD}}</stp>
        <tr r="AA167" s="2"/>
      </tp>
      <tp t="s">
        <v>Function GetMemoryUsage compiled at 2026-05-03 21:26:20</v>
        <stp/>
        <stp>U.COMPILE_GETMEMORYUSAGE</stp>
        <tr r="G215" s="60"/>
      </tp>
    </main>
    <main first="rtdsrv_3094061c4c1b46d98df56674035f365b">
      <tp t="s">
        <v>[REF]{{34856#2238124315008!R31C5}}</v>
        <stp/>
        <stp>U.RANGE_REF_0cec9374-b67f-4f95-accf-1c6452b500d3</stp>
        <stp>[REF]{{BAD}}</stp>
        <tr r="AA104" s="2"/>
      </tp>
    </main>
    <main first="rtdsrv_3094061c4c1b46d98df56674035f365b">
      <tp t="s">
        <v>[REF]{{34856#2238124309600!R136C17:R150C26}}</v>
        <stp/>
        <stp>U.RANGE_REF_b8df9f67-577b-47a5-b77a-ba88e79eb04e</stp>
        <stp>[REF]{{BAD}}</stp>
        <tr r="AD88" s="2"/>
      </tp>
      <tp t="s">
        <v>[REF]{{34856#2238124301488!R3C16:R23C25}}</v>
        <stp/>
        <stp>U.RANGE_REF_25a89e0b-27db-40b5-899d-7376a669cd22</stp>
        <stp>[REF]{{BAD}}</stp>
        <tr r="AD70" s="2"/>
      </tp>
    </main>
    <main first="rtdsrv_3094061c4c1b46d98df56674035f365b">
      <tp t="s">
        <v>[REF]{{34856#2238067044352!R3C22:R35C31}}</v>
        <stp/>
        <stp>U.RANGE_REF_b1058bba-92d9-446f-908a-d92a55d248ff</stp>
        <stp>[REF]{{BAD}}</stp>
        <tr r="AD157" s="2"/>
      </tp>
    </main>
    <main first="rtdsrv_3094061c4c1b46d98df56674035f365b">
      <tp t="s">
        <v>[REF]{{34856#2238124315008!R163C19:R174C28}}</v>
        <stp/>
        <stp>U.RANGE_REF_e795fcaa-17cc-48f9-afbd-2574ca4ebe90</stp>
        <stp>[REF]{{BAD}}</stp>
        <tr r="AD107" s="2"/>
      </tp>
    </main>
    <main first="rtdsrv_3094061c4c1b46d98df56674035f365b">
      <tp t="s">
        <v>[REF]{{34856#2238123958928!R6C4:R6C6}}</v>
        <stp/>
        <stp>U.RANGE_REF_28964137-974c-410b-95e1-2445ef833b15</stp>
        <stp>[REF]{{BAD}}</stp>
        <tr r="AA63" s="2"/>
      </tp>
    </main>
    <main first="rtdsrv_3094061c4c1b46d98df56674035f365b">
      <tp t="s">
        <v>[REF]{{34856#2238118159472!R49C17:R69C26}}</v>
        <stp/>
        <stp>U.RANGE_REF_9a119ad8-655c-4dd9-93cf-26a2504472bd</stp>
        <stp>[REF]{{BAD}}</stp>
        <tr r="AD167" s="2"/>
      </tp>
      <tp t="s">
        <v>[REF]{{34856#2238123950816!R3C17:R29C26}}</v>
        <stp/>
        <stp>U.RANGE_REF_5d6b8fd9-95ed-464d-8097-2ed65ca5c3d2</stp>
        <stp>[REF]{{BAD}}</stp>
        <tr r="AD55" s="2"/>
      </tp>
      <tp t="s">
        <v>[REF]{{34856#2238123964336!R3C13:R29C22}}</v>
        <stp/>
        <stp>U.RANGE_REF_b20f4218-b3c5-47cb-a3a4-2340631dfe29</stp>
        <stp>[REF]{{BAD}}</stp>
        <tr r="AD58" s="2"/>
      </tp>
      <tp t="s">
        <v>[REF]{{34856#2238067033536!R4C3}}</v>
        <stp/>
        <stp>U.RANGE_REF_38dc382d-566f-446a-b66e-5fef393a2ebe</stp>
        <stp>[REF]{{BAD}}</stp>
        <tr r="AA177" s="2"/>
      </tp>
      <tp t="s">
        <v>[REF]{{34856#2238124317712!R48C15}}</v>
        <stp/>
        <stp>U.RANGE_REF_49f14b0a-c8cf-4db9-b638-e52abf85061b</stp>
        <stp>[REF]{{34856#2238124317712!R48C15}}</stp>
        <tr r="I11" s="59"/>
      </tp>
      <tp t="s">
        <v>[REF]{{34856#2238124317712!R43C15}}</v>
        <stp/>
        <stp>U.RANGE_REF_f83205a1-f755-4a99-8c43-fdc59b0047e2</stp>
        <stp>[REF]{{34856#2238124317712!R43C15}}</stp>
        <tr r="I10" s="59"/>
      </tp>
      <tp t="s">
        <v>[REF]{{34856#2238120306000!R231C2:R231C3}}</v>
        <stp/>
        <stp>U.RANGE_REF_3fa1ac23-ecd2-4c4a-8b5f-f005e8571dbd</stp>
        <stp>[REF]{{BAD}}</stp>
        <tr r="AA169" s="2"/>
      </tp>
    </main>
    <main first="rtdsrv_3094061c4c1b46d98df56674035f365b">
      <tp t="s">
        <v>[REF]{{34856#2238123961632!R3C16:R21C25}}</v>
        <stp/>
        <stp>U.RANGE_REF_b0209020-2feb-4b86-8ee7-882e977392e3</stp>
        <stp>[REF]{{BAD}}</stp>
        <tr r="AD62" s="2"/>
      </tp>
      <tp t="s">
        <v>[REF]{{34856#2238124309600!R87C17:R104C26}}</v>
        <stp/>
        <stp>U.RANGE_REF_146e0e67-63d9-4ce8-84c1-8b730ab93ff8</stp>
        <stp>[REF]{{BAD}}</stp>
        <tr r="AD87" s="2"/>
      </tp>
    </main>
    <main first="rtdsrv_3094061c4c1b46d98df56674035f365b">
      <tp t="s">
        <v>[REF]{{34856#2238124298784!R5C4}}</v>
        <stp/>
        <stp>U.RANGE_REF_7ac202d9-edaa-4ead-9778-8e4e248b75fa</stp>
        <stp>[REF]{{BAD}}</stp>
        <tr r="AA72" s="2"/>
      </tp>
      <tp t="s">
        <v>[REF]{{34856#2238067036240!R59C17:R67C26}}</v>
        <stp/>
        <stp>U.RANGE_REF_b856ccdc-5a0b-4abb-ae32-93659f34e661</stp>
        <stp>[REF]{{BAD}}</stp>
        <tr r="AD136" s="2"/>
      </tp>
      <tp>
        <v>46145.893226018517</v>
        <stp/>
        <stp>U.SELECTION_PATH_XXHEZLGVJLUAVHCGDITIIG==</stp>
        <tr r="E21" s="62"/>
      </tp>
    </main>
    <main first="rtdsrv_df764c4270e74b60966f10a6aa890d36">
      <tp t="s">
        <v>U/DESK2/EQ_POSITIONS</v>
        <stp/>
        <stp>U/DESK2/EQ_POSITIONS</stp>
        <tr r="C141" s="1"/>
      </tp>
    </main>
    <main first="rtdsrv_3094061c4c1b46d98df56674035f365b">
      <tp t="s">
        <v>[REF]{{34856#2238118159472!R15C2:R17C3}}</v>
        <stp/>
        <stp>U.RANGE_REF_984d3858-53d6-4f37-a52d-dfd06a38bf19</stp>
        <stp>[REF]{{BAD}}</stp>
        <tr r="AA6" s="2"/>
      </tp>
    </main>
    <main first="rtdsrv_3094061c4c1b46d98df56674035f365b">
      <tp t="s">
        <v>[REF]{{34856#2238113901360!R3C17:R32C26}}</v>
        <stp/>
        <stp>U.RANGE_REF_41af1eaf-bcc3-4e08-ba74-7a123173d7ad</stp>
        <stp>[REF]{{BAD}}</stp>
        <tr r="AD23" s="2"/>
      </tp>
    </main>
    <main first="rtdsrv_3094061c4c1b46d98df56674035f365b">
      <tp t="s">
        <v>[REF]{{34856#2238124312304!R6C6}}</v>
        <stp/>
        <stp>U.RANGE_REF_36e936b8-feae-4e3a-af4d-f749edcd30a8</stp>
        <stp>[REF]{{BAD}}</stp>
        <tr r="AA143" s="2"/>
      </tp>
    </main>
    <main first="rtdsrv_3094061c4c1b46d98df56674035f365b">
      <tp t="s">
        <v>[REF]{{34856#2238123948112!R5C8:R13C10}}</v>
        <stp/>
        <stp>U.RANGE_REF_f33592e7-7c7d-4a40-8eee-b105d821c1b3</stp>
        <stp>[REF]{{BAD}}</stp>
        <tr r="AA53" s="2"/>
      </tp>
    </main>
    <main first="rtdsrv_3094061c4c1b46d98df56674035f365b">
      <tp t="s">
        <v>Disabled: HOVER</v>
        <stp/>
        <stp>U.DISABLED_HOVER</stp>
        <tr r="G107" s="30"/>
      </tp>
      <tp t="s">
        <v>[REF]{{34856#2238066872352!R3C17:R26C26}}</v>
        <stp/>
        <stp>U.RANGE_REF_62bd1364-7369-4031-8ed6-1e2fec1c5eb6</stp>
        <stp>[REF]{{BAD}}</stp>
        <tr r="AD130" s="2"/>
      </tp>
      <tp t="s">
        <v>[REF]{{34856#2238120306000!R328C17:R336C26}}</v>
        <stp/>
        <stp>U.RANGE_REF_71adb2de-7b1e-41ff-9858-809ef14fd6bf</stp>
        <stp>[REF]{{BAD}}</stp>
        <tr r="AD20" s="2"/>
      </tp>
      <tp t="s">
        <v>[REF]{{34856#2238067033536!R88C2}}</v>
        <stp/>
        <stp>U.RANGE_REF_9693319c-7877-4815-93ac-9e9efcfba742</stp>
        <stp>[REF]{{BAD}}</stp>
        <tr r="AA187" s="2"/>
      </tp>
      <tp t="s">
        <v>[REF]{{34856#2238066883168!R46C3}}</v>
        <stp/>
        <stp>U.RANGE_REF_68edd0f5-d58e-4e5d-ad65-75cbe4cdfe39</stp>
        <stp>[REF]{{BAD}}</stp>
        <tr r="AA122" s="2"/>
      </tp>
      <tp t="s">
        <v>[REF]{{34856#2238067033536!R47C3}}</v>
        <stp/>
        <stp>U.RANGE_REF_1d44ef54-4554-4f70-bba3-52cc31c00b73</stp>
        <stp>[REF]{{BAD}}</stp>
        <tr r="AA184" s="2"/>
      </tp>
      <tp t="s">
        <v>[REF]{{34856#2238123134864!R158C3}}</v>
        <stp/>
        <stp>U.RANGE_REF_6c5b1f5a-6cf7-4329-a157-d01fd8bb1d7c</stp>
        <stp>[REF]{{BAD}}</stp>
        <tr r="AA29" s="2"/>
      </tp>
    </main>
    <main first="rtdsrv_3094061c4c1b46d98df56674035f365b">
      <tp t="s">
        <v>[REF]{{34856#2238066875056!R35C4}}</v>
        <stp/>
        <stp>U.RANGE_REF_cc08b462-fcb2-4d03-b26f-81d187378fb6</stp>
        <stp>[REF]{{34856#2238066875056!R35C4}}</stp>
        <tr r="B42" s="30"/>
      </tp>
      <tp t="s">
        <v>C:\Runline\U\Current\config</v>
        <stp/>
        <stp>U.CONFIGDIR</stp>
        <tr r="C38" s="13"/>
      </tp>
      <tp>
        <v>100</v>
        <stp/>
        <stp>U.GET_CLICK_VALS_U_USAGEEXAMPLES.XLSX|INCREMENTOR</stp>
        <tr r="D198" s="30"/>
      </tp>
      <tp t="s">
        <v>methods_nav</v>
        <stp/>
        <stp>U.SET_CLICK_VALS_U_USAGEEXAMPLES.XLSX|METHODS_NAV</stp>
        <tr r="AB4" s="2"/>
      </tp>
    </main>
    <main first="rtdsrv_3094061c4c1b46d98df56674035f365b">
      <tp t="s">
        <v>[REF]{{34856#2238124317712!R40C3}}</v>
        <stp/>
        <stp>U.RANGE_REF_85c0ff0d-6b00-4c70-9f5b-7746f36fa2b2</stp>
        <stp>[REF]{{34856#2238124317712!R40C3}}</stp>
        <tr r="J23" s="59"/>
        <tr r="J22" s="59"/>
        <tr r="J25" s="59"/>
      </tp>
      <tp t="s">
        <v>U</v>
        <stp/>
        <stp>U.ENTITY</stp>
        <tr r="C8" s="13"/>
      </tp>
      <tp t="s">
        <v>[REF]{{34856#2238124317712!R40C2}}</v>
        <stp/>
        <stp>U.RANGE_REF_23012001-ba14-4b80-b386-21926d6656c3</stp>
        <stp>[REF]{{34856#2238124317712!R40C2}}</stp>
        <tr r="J21" s="59"/>
        <tr r="J20" s="59"/>
      </tp>
    </main>
    <main first="rtdsrv_3094061c4c1b46d98df56674035f365b">
      <tp t="s">
        <v>Function ExcelVersion compiled at 2026-05-03 21:26:20</v>
        <stp/>
        <stp>U.COMPILE_EXCELVERSION</stp>
        <tr r="G250" s="60"/>
      </tp>
      <tp t="s">
        <v>Cycle_Names</v>
        <stp/>
        <stp>U.SET_CLICK_VALS_U_USAGEEXAMPLES.XLSX|CYCLE_NAMES</stp>
        <tr r="D168" s="30"/>
      </tp>
      <tp t="s">
        <v>COUNT_FUNCTION_CALLS | 2026-05-04 01:26:15.194</v>
        <stp/>
        <stp>U.COUNTFUNCTIONCALLSTIME</stp>
        <tr r="J82" s="49"/>
      </tp>
    </main>
    <main first="rtdsrv_df764c4270e74b60966f10a6aa890d36">
      <tp t="s">
        <v>U/DESK2/PNL | 2026-04-19 14:17:39.885</v>
        <stp/>
        <stp>U/DESK2/PNL</stp>
        <tr r="C112" s="10"/>
      </tp>
      <tp t="s">
        <v>U/DESK3/PNL | 2026-04-19 14:17:40.726</v>
        <stp/>
        <stp>U/DESK3/PNL</stp>
        <tr r="F27" s="9"/>
      </tp>
      <tp t="s">
        <v>U/DESK1/PNL | 2026-04-19 14:17:39.949</v>
        <stp/>
        <stp>U/DESK1/PNL</stp>
        <tr r="C10" s="10"/>
        <tr r="C133" s="11"/>
        <tr r="C25" s="10"/>
        <tr r="C36" s="10"/>
        <tr r="B36" s="10"/>
        <tr r="C35" s="10"/>
        <tr r="B35" s="10"/>
        <tr r="C34" s="10"/>
        <tr r="B34" s="10"/>
        <tr r="M28" s="39"/>
      </tp>
    </main>
    <main first="rtdsrv_3094061c4c1b46d98df56674035f365b">
      <tp t="s">
        <v/>
        <stp/>
        <stp>U.CURRENT_SCRIPT</stp>
        <tr r="G53" s="53"/>
      </tp>
      <tp t="s">
        <v>Function MYAPI.SOME_VALS compiled and registered at 2026-05-03 21:26:20</v>
        <stp/>
        <stp>U.COMPILE_MYAPI.SOME_VALS</stp>
        <tr r="G236" s="60"/>
      </tp>
    </main>
    <main first="rtdsrv_3094061c4c1b46d98df56674035f365b">
      <tp>
        <v>46145.893211805604</v>
        <stp/>
        <stp>U.NOW_X_46145.8932118056</stp>
        <tr r="B62" s="30"/>
        <tr r="C97" s="7"/>
        <tr r="C96" s="7"/>
      </tp>
      <tp t="s">
        <v>Function UseScaler compiled at 2026-05-03 21:26:20</v>
        <stp/>
        <stp>U.COMPILE_USESCALER</stp>
        <tr r="G267" s="60"/>
      </tp>
    </main>
    <main first="rtdsrv_3094061c4c1b46d98df56674035f365b">
      <tp t="s">
        <v>[REF]{{34856#2238124317712!R30C17:R34C18}}</v>
        <stp/>
        <stp>U.RANGE_REF_656136a2-5941-4815-b0ca-25e5f759ae86</stp>
        <stp>[REF]{{34856#2238124317712!R30C17:R34C18}}</stp>
        <tr r="I13" s="59"/>
      </tp>
      <tp t="s">
        <v>[REF]{{34856#2238124317712!R37C2}}</v>
        <stp/>
        <stp>U.RANGE_REF_f08e27e2-1aab-4172-b309-bdf81640f244</stp>
        <stp>[REF]{{34856#2238124317712!R37C2}}</stp>
        <tr r="J17" s="59"/>
      </tp>
    </main>
    <main first="rtdsrv_3094061c4c1b46d98df56674035f365b">
      <tp>
        <v>46145.893234953699</v>
        <stp/>
        <stp>U.NOW_X_46145.8932349537</stp>
        <tr r="B64" s="30"/>
      </tp>
      <tp>
        <v>46145.89322633102</v>
        <stp/>
        <stp>U.SELECTION_PATH_FWASDNQQVVN3YFEIEBCNPG==</stp>
        <tr r="E22" s="62"/>
      </tp>
      <tp t="s">
        <v>CTRL + ALT + C</v>
        <stp/>
        <stp>U.KEYBOARD_SHORTCUT_CTRL + ALT + C</stp>
        <tr r="D5" s="57"/>
      </tp>
      <tp t="s">
        <v>CTRL + ALT + T</v>
        <stp/>
        <stp>U.KEYBOARD_SHORTCUT_CTRL + ALT + T</stp>
        <tr r="D25" s="57"/>
      </tp>
    </main>
    <main first="rtdsrv_3094061c4c1b46d98df56674035f365b">
      <tp>
        <v>46145.893237847202</v>
        <stp/>
        <stp>U.NOW_X_46145.8932378472</stp>
        <tr r="B70" s="31"/>
        <tr r="H185" s="18"/>
      </tp>
      <tp>
        <v>46145.893240740697</v>
        <stp/>
        <stp>U.NOW_X_46145.8932407407</stp>
        <tr r="C189" s="45"/>
        <tr r="B8" s="57"/>
      </tp>
    </main>
    <main first="rtdsrv_3094061c4c1b46d98df56674035f365b">
      <tp>
        <v>46145.893226273103</v>
        <stp/>
        <stp>U.NOW_X_46145.8932262731</stp>
        <tr r="F48" s="28"/>
        <tr r="B11" s="63"/>
      </tp>
      <tp>
        <v>46145.8932233796</v>
        <stp/>
        <stp>U.NOW_X_46145.8932233796</stp>
        <tr r="B63" s="30"/>
      </tp>
    </main>
    <main first="rtdsrv_3094061c4c1b46d98df56674035f365b">
      <tp>
        <v>46145.893229166701</v>
        <stp/>
        <stp>U.NOW_X_46145.8932291667</stp>
        <tr r="C18" s="20"/>
        <tr r="B87" s="20"/>
      </tp>
    </main>
    <main first="rtdsrv_3094061c4c1b46d98df56674035f365b">
      <tp t="s">
        <v>TestVals2</v>
        <stp/>
        <stp>U.SET_CLICK_VALS_U_USAGEEXAMPLES.XLSX|TESTVALS2</stp>
        <tr r="D24" s="30"/>
      </tp>
      <tp t="s">
        <v/>
        <stp/>
        <stp>U.GET_CLICK_VALS_U_USAGEEXAMPLES.XLSX|TESTVALS2</stp>
        <tr r="D30" s="30"/>
      </tp>
      <tp t="s">
        <v>CTRL + ALT + K</v>
        <stp/>
        <stp>U.KEYBOARD_SHORTCUT_CTRL + ALT + K_SS:W6RWXLNE9ATFIQTJ7XUUSA==</stp>
        <tr r="D83" s="57"/>
      </tp>
    </main>
    <main first="rtdsrv_df764c4270e74b60966f10a6aa890d36">
      <tp t="s">
        <v>U/TEST/TRADES | 2026-04-19 14:17:41.713</v>
        <stp/>
        <stp>U/TEST/TRADES</stp>
        <tr r="M84" s="15"/>
      </tp>
    </main>
    <main first="rtdsrv_3094061c4c1b46d98df56674035f365b">
      <tp>
        <v>0.89548611111240461</v>
        <stp/>
        <stp>U.TIME_3000_X</stp>
        <tr r="B25" s="63"/>
      </tp>
      <tp t="s">
        <v>[REF]{{34856#2238110039728!R26C2:R27C3}}</v>
        <stp/>
        <stp>U.RANGE_REF_c0dd7f11-f49c-47cc-a4b9-bcd9967ef352</stp>
        <stp>[REF]{{34856#2238110039728!R26C2:R27C3}}</stp>
        <tr r="E22" s="35"/>
      </tp>
      <tp t="s">
        <v>Click to Navigate</v>
        <stp/>
        <stp>U.SET_CLICK_VALS_U_USAGEEXAMPLES.XLSX|CLICK TO NAVIGATE</stp>
        <tr r="D34" s="30"/>
      </tp>
    </main>
    <main first="rtdsrv_3094061c4c1b46d98df56674035f365b">
      <tp t="s">
        <v>[REF]{{34856#2238110039728!R56C2}},[REF]{{34856#2238110039728!R56C3}},[REF]{{34856#2238110039728!R57C2:R57C3}}</v>
        <stp/>
        <stp>U.RANGE_REF_328cf3d8-317f-4f7c-9727-0982a1b89a3e</stp>
        <stp>[REF]{{34856#2238110039728!R56C2}},[REF]{{34856#2238110039728!R56C3}},[REF]{{34856#2238110039728!R57C2:R57C3}}</stp>
        <tr r="E56" s="35"/>
      </tp>
      <tp t="s">
        <v>using_ref</v>
        <stp/>
        <stp>U.SET_CLICK_VALS_U_USAGEEXAMPLES.XLSX|USING_REF</stp>
        <tr r="D69" s="30"/>
      </tp>
      <tp t="s">
        <v/>
        <stp/>
        <stp>U.GET_CLICK_VALS_U_USAGEEXAMPLES.XLSX|USING_REF</stp>
        <tr r="D72" s="30"/>
      </tp>
      <tp t="s">
        <v>16.0</v>
        <stp/>
        <stp>U.INVOKE_2238067044352!R254C7_EXCELVERSION__</stp>
        <tr r="G254" s="60"/>
      </tp>
      <tp t="s">
        <v>ESC - SETNOW - ESC</v>
        <stp/>
        <stp>U.KEYBOARD_SHORTCUT_ESC - SETNOW - ESC_GLOBAL</stp>
        <tr r="D121" s="57"/>
      </tp>
    </main>
    <main first="rtdsrv_3094061c4c1b46d98df56674035f365b">
      <tp t="s">
        <v/>
        <stp/>
        <stp>U.GET_CLICK_VALS_U_USAGEEXAMPLES.XLSX|KS</stp>
        <tr r="B53" s="57"/>
      </tp>
      <tp t="s">
        <v/>
        <stp/>
        <stp>U.GET_CLICK_VALS_U_USAGEEXAMPLES.XLSX|LS</stp>
        <tr r="B44" s="63"/>
      </tp>
      <tp t="s">
        <v>TF_Toggle</v>
        <stp/>
        <stp>U.SET_CLICK_VALS_U_USAGEEXAMPLES.XLSX|TF_TOGGLE</stp>
        <tr r="D182" s="30"/>
      </tp>
      <tp t="b">
        <v>1</v>
        <stp/>
        <stp>U.GET_CLICK_VALS_U_USAGEEXAMPLES.XLSX|TF_TOGGLE</stp>
        <tr r="D188" s="30"/>
      </tp>
    </main>
    <main first="rtdsrv_3094061c4c1b46d98df56674035f365b">
      <tp>
        <v>46145.893302395831</v>
        <stp/>
        <stp>SYNC_CELLS ID=8080A602168241A4973C97EA7E1C8AFB</stp>
        <tr r="E5" s="38"/>
      </tp>
      <tp t="s">
        <v>params_nav</v>
        <stp/>
        <stp>U.SET_CLICK_VALS_U_USAGEEXAMPLES.XLSX|PARAMS_NAV</stp>
        <tr r="AE4" s="2"/>
      </tp>
    </main>
    <main first="rtdsrv_df764c4270e74b60966f10a6aa890d36">
      <tp t="s">
        <v>U/DESK1/PNL_AND_PRICES | 2026-04-19 14:17:39.759</v>
        <stp/>
        <stp>U/DESK1/PNL_AND_PRICES</stp>
        <tr r="C56" s="10"/>
        <tr r="C112" s="7"/>
        <tr r="M36" s="39"/>
        <tr r="C74" s="10"/>
      </tp>
    </main>
    <main first="rtdsrv_3094061c4c1b46d98df56674035f365b">
      <tp t="s">
        <v>[REF]{{34856#2238110039728!R5C2:R8C3}}</v>
        <stp/>
        <stp>U.RANGE_REF_b891fbd1-121d-446e-97d9-14e29cafb304</stp>
        <stp>[REF]{{34856#2238110039728!R5C2:R8C3}}</stp>
        <tr r="E45" s="35"/>
        <tr r="E5" s="35"/>
      </tp>
      <tp t="s">
        <v>[REF]{{34856#2238110039728!R21C2:R22C3}}</v>
        <stp/>
        <stp>U.RANGE_REF_1e89a6fd-3156-49fb-b0f9-e2159b6bfea4</stp>
        <stp>[REF]{{34856#2238110039728!R21C2:R22C3}}</stp>
        <tr r="E21" s="35"/>
      </tp>
    </main>
    <main first="rtdsrv_3094061c4c1b46d98df56674035f365b">
      <tp t="s">
        <v>[REF]{{34856#2238066869648!R1C1}}</v>
        <stp/>
        <stp>U.RANGE_REF_cdb68966-c106-4786-ad49-cd8d1d34bde8</stp>
        <stp>[REF]{{34856#2238066869648!R1C1}}</stp>
        <tr r="AH53" s="2"/>
      </tp>
    </main>
    <main first="rtdsrv_3094061c4c1b46d98df56674035f365b">
      <tp t="s">
        <v>[REF]{{34856#2238123958928!R1C1}}</v>
        <stp/>
        <stp>U.RANGE_REF_3c4ae84b-27de-4600-b35d-4bbc98a9ef0b</stp>
        <stp>[REF]{{34856#2238123958928!R1C1}}</stp>
        <tr r="AH32" s="2"/>
      </tp>
      <tp t="s">
        <v>[REF]{{34856#2238120306000!R1C1}}</v>
        <stp/>
        <stp>U.RANGE_REF_95b2c581-aaaf-4e65-a38b-c6e08587946d</stp>
        <stp>[REF]{{34856#2238120306000!R1C1}}</stp>
        <tr r="AH5" s="2"/>
      </tp>
    </main>
    <main first="rtdsrv_3094061c4c1b46d98df56674035f365b">
      <tp t="s">
        <v>[REF]{{34856#2238123961632!R1C1}}</v>
        <stp/>
        <stp>U.RANGE_REF_ca403e85-94d4-40cd-87fb-c48875adf8f6</stp>
        <stp>[REF]{{34856#2238123961632!R1C1}}</stp>
        <tr r="AH31" s="2"/>
      </tp>
      <tp t="s">
        <v>[REF]{{34856#2238124312304!R1C1}}</v>
        <stp/>
        <stp>U.RANGE_REF_1d274a0f-c474-427b-ba04-077f79e5e6ae</stp>
        <stp>[REF]{{34856#2238124312304!R1C1}}</stp>
        <tr r="AH43" s="2"/>
      </tp>
    </main>
    <main first="rtdsrv_3094061c4c1b46d98df56674035f365b">
      <tp t="s">
        <v>[REF]{{34856#2238124304192!R1C1}}</v>
        <stp/>
        <stp>U.RANGE_REF_98c7867f-cc48-4277-9f74-71146b0d8ac8</stp>
        <stp>[REF]{{34856#2238124304192!R1C1}}</stp>
        <tr r="AH36" s="2"/>
      </tp>
    </main>
    <main first="rtdsrv_3094061c4c1b46d98df56674035f365b">
      <tp t="s">
        <v>[REF]{{34856#2238124315008!R1C1}}</v>
        <stp/>
        <stp>U.RANGE_REF_299b22f8-b233-456b-acbc-351930ca100b</stp>
        <stp>[REF]{{34856#2238124315008!R1C1}}</stp>
        <tr r="AH45" s="2"/>
      </tp>
      <tp t="s">
        <v>[REF]{{34856#2238116407088!R1C1}}</v>
        <stp/>
        <stp>U.RANGE_REF_23e028e0-5488-4810-8a27-6a863d814cd9</stp>
        <stp>[REF]{{34856#2238116407088!R1C1}}</stp>
        <tr r="AH10" s="2"/>
      </tp>
      <tp t="s">
        <v>Cells registered to be unlocked</v>
        <stp/>
        <stp>U.UNLOCK_CELLS_92B875AE155740969D26411B9887D9E0</stp>
        <tr r="E117" s="47"/>
      </tp>
      <tp t="s">
        <v>[REF]{{34856#2238066875056!R1C1}}</v>
        <stp/>
        <stp>U.RANGE_REF_ec4a3f83-44a4-4621-99f0-6355aba8fb41</stp>
        <stp>[REF]{{34856#2238066875056!R1C1}}</stp>
        <tr r="AH48" s="2"/>
      </tp>
      <tp t="s">
        <v>[REF]{{34856#2238123945408!R1C1}}</v>
        <stp/>
        <stp>U.RANGE_REF_8f0d07e8-ac2c-4beb-bd01-73981e3b2340</stp>
        <stp>[REF]{{34856#2238123945408!R1C1}}</stp>
        <tr r="AH26" s="2"/>
      </tp>
    </main>
    <main first="rtdsrv_3094061c4c1b46d98df56674035f365b">
      <tp t="s">
        <v>[REF]{{34856#2238067036240!R1C1}}</v>
        <stp/>
        <stp>U.RANGE_REF_495f6bfa-a8f0-44c0-83d4-2da9cf1d2e32</stp>
        <stp>[REF]{{34856#2238067036240!R1C1}}</stp>
        <tr r="AH59" s="2"/>
      </tp>
      <tp t="s">
        <v>[REF]{{34856#2238123940000!R1C1}}</v>
        <stp/>
        <stp>U.RANGE_REF_67e1fad6-3b37-4f51-be5d-65254784aa31</stp>
        <stp>[REF]{{34856#2238123940000!R1C1}}</stp>
        <tr r="AH23" s="2"/>
      </tp>
      <tp>
        <v>46145.895486111112</v>
        <stp/>
        <stp>U.NOW_3000_X</stp>
        <tr r="B86" s="57"/>
        <tr r="B28" s="57"/>
      </tp>
      <tp>
        <v>46145.895486111112</v>
        <stp/>
        <stp>U.NOW_5000_X</stp>
        <tr r="C22" s="20"/>
      </tp>
      <tp t="s">
        <v>[REF]{{34856#2238066875056!R6C1}}</v>
        <stp/>
        <stp>U.RANGE_REF_4d77b555-57ea-4567-b67a-b2affc7f3d46</stp>
        <stp>[REF]{{34856#2238066875056!R6C1}}</stp>
        <tr r="B41" s="30"/>
      </tp>
    </main>
    <main first="rtdsrv_3094061c4c1b46d98df56674035f365b">
      <tp t="s">
        <v>[REF]{{34856#2238123950816!R1C1}}</v>
        <stp/>
        <stp>U.RANGE_REF_b4f20a9e-7de8-42f8-a9b5-6e86c7f396ac</stp>
        <stp>[REF]{{34856#2238123950816!R1C1}}</stp>
        <tr r="AH27" s="2"/>
      </tp>
    </main>
    <main first="rtdsrv_3094061c4c1b46d98df56674035f365b">
      <tp t="s">
        <v>[REF]{{34856#2238124306896!R1C1}}</v>
        <stp/>
        <stp>U.RANGE_REF_0f2aee59-eb05-4076-aa97-da0222690993</stp>
        <stp>[REF]{{34856#2238124306896!R1C1}}</stp>
        <tr r="AH41" s="2"/>
      </tp>
      <tp t="s">
        <v>[REF]{{34856#2238066864240!R1C1}}</v>
        <stp/>
        <stp>U.RANGE_REF_665d6e61-b991-4f9b-b5ae-b86fbe31a078</stp>
        <stp>[REF]{{34856#2238066864240!R1C1}}</stp>
        <tr r="AH47" s="2"/>
      </tp>
      <tp t="s">
        <v>[REF]{{34856#2238066866944!R1C1}}</v>
        <stp/>
        <stp>U.RANGE_REF_881825cc-733e-4a12-bba1-13453dbb6588</stp>
        <stp>[REF]{{34856#2238066866944!R1C1}}</stp>
        <tr r="AH51" s="2"/>
      </tp>
    </main>
    <main first="rtdsrv_3094061c4c1b46d98df56674035f365b">
      <tp t="s">
        <v>Cells registered to be unlocked</v>
        <stp/>
        <stp>U.UNLOCK_CELLS_091A2A36F93B42739B067C5DF31A1019</stp>
        <tr r="E124" s="47"/>
      </tp>
      <tp t="s">
        <v>[REF]{{34856#2238124309600!R1C1}}</v>
        <stp/>
        <stp>U.RANGE_REF_96cf804b-527b-41c6-8bca-274eb852aeab</stp>
        <stp>[REF]{{34856#2238124309600!R1C1}}</stp>
        <tr r="AH44" s="2"/>
      </tp>
      <tp t="s">
        <v>[REF]{{34856#2238123964336!R1C1}}</v>
        <stp/>
        <stp>U.RANGE_REF_f7098cf3-5db6-42a2-9864-ccbb62937430</stp>
        <stp>[REF]{{34856#2238123964336!R1C1}}</stp>
        <tr r="AH30" s="2"/>
      </tp>
      <tp t="s">
        <v>[REF]{{34856#2238116439920!R1C1}}</v>
        <stp/>
        <stp>U.RANGE_REF_38932b77-1d19-4991-b8f0-8851e35122eb</stp>
        <stp>[REF]{{34856#2238116439920!R1C1}}</stp>
        <tr r="AH14" s="2"/>
      </tp>
    </main>
    <main first="rtdsrv_3094061c4c1b46d98df56674035f365b">
      <tp t="s">
        <v/>
        <stp/>
        <stp>U.GET_CLICK_VALS_U_USAGEEXAMPLES.XLSX|TESTVALS</stp>
        <tr r="D11" s="30"/>
      </tp>
      <tp t="s">
        <v>TestVals</v>
        <stp/>
        <stp>U.SET_CLICK_VALS_U_USAGEEXAMPLES.XLSX|TESTVALS</stp>
        <tr r="D8" s="30"/>
      </tp>
      <tp t="s">
        <v>set_vals</v>
        <stp/>
        <stp>U.SET_CLICK_VALS_U_USAGEEXAMPLES.XLSX|SET_VALS</stp>
        <tr r="D78" s="30"/>
      </tp>
      <tp t="s">
        <v>[REF]{{34856#2238123956224!R1C1}}</v>
        <stp/>
        <stp>U.RANGE_REF_c16547a2-cf8e-49e3-b2ec-f4fa73710146</stp>
        <stp>[REF]{{34856#2238123956224!R1C1}}</stp>
        <tr r="AH24" s="2"/>
      </tp>
      <tp t="s">
        <v>[REF]{{34856#2238113901360!R1C1}}</v>
        <stp/>
        <stp>U.RANGE_REF_ea0c94ba-5b24-44fd-bb66-ef303ddd08b4</stp>
        <stp>[REF]{{34856#2238113901360!R1C1}}</stp>
        <tr r="AH7" s="2"/>
      </tp>
    </main>
    <main first="rtdsrv_3094061c4c1b46d98df56674035f365b">
      <tp t="s">
        <v>[REF]{{34856#2238102196432!R1C1}}</v>
        <stp/>
        <stp>U.RANGE_REF_5f1ca3d4-0670-4fe2-a1fe-ef4972f3835b</stp>
        <stp>[REF]{{34856#2238102196432!R1C1}}</stp>
        <tr r="AI4" s="2"/>
      </tp>
      <tp t="s">
        <v>Script First_Example updated</v>
        <stp/>
        <stp>U.CREATE_SCRIPT_a6285612-83c8-4572-b077-81706a575f57</stp>
        <tr r="G7" s="53"/>
      </tp>
    </main>
    <main first="rtdsrv_3094061c4c1b46d98df56674035f365b">
      <tp t="s">
        <v>[REF]{{34856#2238067047056!R1C1}}</v>
        <stp/>
        <stp>U.RANGE_REF_7c3aa3b3-9f08-4171-8487-13d1dd16ec6e</stp>
        <stp>[REF]{{34856#2238067047056!R1C1}}</stp>
        <tr r="AH64" s="2"/>
      </tp>
    </main>
    <main first="rtdsrv_3094061c4c1b46d98df56674035f365b">
      <tp t="s">
        <v>[REF]{{34856#2238118159472!R1C1}}</v>
        <stp/>
        <stp>U.RANGE_REF_6c13eb40-1956-497f-b0c6-2b71f71f3659</stp>
        <stp>[REF]{{34856#2238118159472!R1C1}}</stp>
        <tr r="AH6" s="2"/>
      </tp>
    </main>
    <main first="rtdsrv_3094061c4c1b46d98df56674035f365b">
      <tp t="s">
        <v>[REF]{{34856#2238067033536!R1C1}}</v>
        <stp/>
        <stp>U.RANGE_REF_02c9b67f-ec33-4252-98d9-d068dfcbe423</stp>
        <stp>[REF]{{34856#2238067033536!R1C1}}</stp>
        <tr r="AH66" s="2"/>
      </tp>
      <tp t="s">
        <v>[REF]{{34856#2238124317712!R1C1}}</v>
        <stp/>
        <stp>U.RANGE_REF_3b56b434-08e4-4d38-9819-bc3727aa6ffb</stp>
        <stp>[REF]{{34856#2238124317712!R1C1}}</stp>
        <tr r="AH46" s="2"/>
      </tp>
    </main>
    <main first="rtdsrv_3094061c4c1b46d98df56674035f365b">
      <tp t="s">
        <v>[REF]{{34856#2238066872352!R1C1}}</v>
        <stp/>
        <stp>U.RANGE_REF_6a9c0f1e-cb01-44b8-92ad-1507dc879ed5</stp>
        <stp>[REF]{{34856#2238066872352!R1C1}}</stp>
        <tr r="AH55" s="2"/>
      </tp>
      <tp t="s">
        <v>[REF]{{34856#2238123948112!R1C1}}</v>
        <stp/>
        <stp>U.RANGE_REF_6128457e-02c6-4267-8347-2f308f462822</stp>
        <stp>[REF]{{34856#2238123948112!R1C1}}</stp>
        <tr r="AH25" s="2"/>
      </tp>
      <tp t="s">
        <v>Cells registered to be locked but formulas visible</v>
        <stp/>
        <stp>U.UNLOCK_CELLS_EEBA8EDBB630492FBC0DE2D675F344F2</stp>
        <tr r="E125" s="47"/>
      </tp>
    </main>
    <main first="rtdsrv_3094061c4c1b46d98df56674035f365b">
      <tp t="s">
        <v>[REF]{{34856#2238110031616!R1C1}}</v>
        <stp/>
        <stp>U.RANGE_REF_902bb834-fe92-4e77-aa0f-0b008dcd00d2</stp>
        <stp>[REF]{{34856#2238110031616!R1C1}}</stp>
        <tr r="AH18" s="2"/>
      </tp>
      <tp t="s">
        <v>[REF]{{34856#2238067041648!R1C1}}</v>
        <stp/>
        <stp>U.RANGE_REF_d085ec42-b63f-4353-8020-2d457d331093</stp>
        <stp>[REF]{{34856#2238067041648!R1C1}}</stp>
        <tr r="AH60" s="2"/>
      </tp>
    </main>
    <main first="rtdsrv_3094061c4c1b46d98df56674035f365b">
      <tp t="s">
        <v>[REF]{{34856#2238066880464!R1C1}}</v>
        <stp/>
        <stp>U.RANGE_REF_ed93e665-cfb1-4495-bf64-d97c23b8485c</stp>
        <stp>[REF]{{34856#2238066880464!R1C1}}</stp>
        <tr r="AH50" s="2"/>
      </tp>
      <tp t="s">
        <v>[REF]{{34856#2238067030832!R1C1}}</v>
        <stp/>
        <stp>U.RANGE_REF_ddd5c8c4-0289-47b5-8b84-be4b66f8250f</stp>
        <stp>[REF]{{34856#2238067030832!R1C1}}</stp>
        <tr r="AH61" s="2"/>
      </tp>
    </main>
    <main first="rtdsrv_3094061c4c1b46d98df56674035f365b">
      <tp t="s">
        <v>back_nav</v>
        <stp/>
        <stp>U.SET_CLICK_VALS_U_USAGEEXAMPLES.XLSX|BACK_NAV</stp>
        <tr r="AI4" s="2"/>
      </tp>
    </main>
    <main first="rtdsrv_3094061c4c1b46d98df56674035f365b">
      <tp t="s">
        <v>[REF]{{34856#2238066893984!R1C1}}</v>
        <stp/>
        <stp>U.RANGE_REF_96a232cd-4e2e-4787-bacd-4a77ba19e4f5</stp>
        <stp>[REF]{{34856#2238066893984!R1C1}}</stp>
        <tr r="AH58" s="2"/>
      </tp>
    </main>
    <main first="rtdsrv_3094061c4c1b46d98df56674035f365b">
      <tp t="s">
        <v>[REF]{{34856#2238110037024!R1C1}}</v>
        <stp/>
        <stp>U.RANGE_REF_d31e49a3-071f-4d50-ad51-b01ea4e7bf78</stp>
        <stp>[REF]{{34856#2238110037024!R1C1}}</stp>
        <tr r="AH19" s="2"/>
      </tp>
      <tp t="s">
        <v/>
        <stp/>
        <stp>U.GET_CLICK_VALS_U_USAGEEXAMPLES.XLSX|MULTIRANGE</stp>
        <tr r="D50" s="30"/>
      </tp>
      <tp t="s">
        <v>MultiRange</v>
        <stp/>
        <stp>U.SET_CLICK_VALS_U_USAGEEXAMPLES.XLSX|MULTIRANGE</stp>
        <tr r="D46" s="30"/>
      </tp>
    </main>
  </volType>
</volTypes>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microsoft.com/office/2017/06/relationships/rdRichValue" Target="richData/rdrichvalue.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73" Type="http://schemas.openxmlformats.org/officeDocument/2006/relationships/volatileDependencies" Target="volatileDependenci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microsoft.com/office/2017/06/relationships/rdRichValueTypes" Target="richData/rdRichValueTyp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NOTIFICATION!$B$15:$B$17</c:f>
              <c:strCache>
                <c:ptCount val="3"/>
                <c:pt idx="0">
                  <c:v>a</c:v>
                </c:pt>
                <c:pt idx="1">
                  <c:v>b</c:v>
                </c:pt>
                <c:pt idx="2">
                  <c:v>c</c:v>
                </c:pt>
              </c:strCache>
            </c:strRef>
          </c:cat>
          <c:val>
            <c:numRef>
              <c:f>NOTIFICATION!$C$15:$C$17</c:f>
              <c:numCache>
                <c:formatCode>General</c:formatCode>
                <c:ptCount val="3"/>
                <c:pt idx="0">
                  <c:v>1</c:v>
                </c:pt>
                <c:pt idx="1">
                  <c:v>2</c:v>
                </c:pt>
                <c:pt idx="2">
                  <c:v>3</c:v>
                </c:pt>
              </c:numCache>
            </c:numRef>
          </c:val>
          <c:extLst>
            <c:ext xmlns:c16="http://schemas.microsoft.com/office/drawing/2014/chart" uri="{C3380CC4-5D6E-409C-BE32-E72D297353CC}">
              <c16:uniqueId val="{00000000-26C7-4E8A-913C-17F957A2686C}"/>
            </c:ext>
          </c:extLst>
        </c:ser>
        <c:dLbls>
          <c:showLegendKey val="0"/>
          <c:showVal val="0"/>
          <c:showCatName val="0"/>
          <c:showSerName val="0"/>
          <c:showPercent val="0"/>
          <c:showBubbleSize val="0"/>
        </c:dLbls>
        <c:gapWidth val="150"/>
        <c:axId val="96120832"/>
        <c:axId val="96122368"/>
      </c:barChart>
      <c:catAx>
        <c:axId val="96120832"/>
        <c:scaling>
          <c:orientation val="minMax"/>
        </c:scaling>
        <c:delete val="0"/>
        <c:axPos val="b"/>
        <c:numFmt formatCode="General" sourceLinked="0"/>
        <c:majorTickMark val="out"/>
        <c:minorTickMark val="none"/>
        <c:tickLblPos val="nextTo"/>
        <c:crossAx val="96122368"/>
        <c:crosses val="autoZero"/>
        <c:auto val="1"/>
        <c:lblAlgn val="ctr"/>
        <c:lblOffset val="100"/>
        <c:noMultiLvlLbl val="0"/>
      </c:catAx>
      <c:valAx>
        <c:axId val="96122368"/>
        <c:scaling>
          <c:orientation val="minMax"/>
        </c:scaling>
        <c:delete val="0"/>
        <c:axPos val="l"/>
        <c:majorGridlines/>
        <c:numFmt formatCode="General" sourceLinked="1"/>
        <c:majorTickMark val="out"/>
        <c:minorTickMark val="none"/>
        <c:tickLblPos val="nextTo"/>
        <c:crossAx val="96120832"/>
        <c:crosses val="autoZero"/>
        <c:crossBetween val="between"/>
      </c:valAx>
    </c:plotArea>
    <c:legend>
      <c:legendPos val="r"/>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bmp"/><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sv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923925</xdr:colOff>
      <xdr:row>17</xdr:row>
      <xdr:rowOff>152400</xdr:rowOff>
    </xdr:from>
    <xdr:to>
      <xdr:col>2</xdr:col>
      <xdr:colOff>1085850</xdr:colOff>
      <xdr:row>25</xdr:row>
      <xdr:rowOff>0</xdr:rowOff>
    </xdr:to>
    <xdr:graphicFrame macro="">
      <xdr:nvGraphicFramePr>
        <xdr:cNvPr id="4" name="Chart 3">
          <a:extLst>
            <a:ext uri="{FF2B5EF4-FFF2-40B4-BE49-F238E27FC236}">
              <a16:creationId xmlns:a16="http://schemas.microsoft.com/office/drawing/2014/main" id="{00000000-0008-0000-1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247650</xdr:colOff>
      <xdr:row>65</xdr:row>
      <xdr:rowOff>123825</xdr:rowOff>
    </xdr:from>
    <xdr:to>
      <xdr:col>2</xdr:col>
      <xdr:colOff>352425</xdr:colOff>
      <xdr:row>74</xdr:row>
      <xdr:rowOff>76200</xdr:rowOff>
    </xdr:to>
    <xdr:sp macro="" textlink="">
      <xdr:nvSpPr>
        <xdr:cNvPr id="40" name="Star: 5 Points 39">
          <a:extLst>
            <a:ext uri="{FF2B5EF4-FFF2-40B4-BE49-F238E27FC236}">
              <a16:creationId xmlns:a16="http://schemas.microsoft.com/office/drawing/2014/main" id="{FD9BA39E-CFEC-4C15-BA38-107DD7AC42FB}"/>
            </a:ext>
          </a:extLst>
        </xdr:cNvPr>
        <xdr:cNvSpPr/>
      </xdr:nvSpPr>
      <xdr:spPr>
        <a:xfrm>
          <a:off x="857250" y="12563475"/>
          <a:ext cx="1752600" cy="1666875"/>
        </a:xfrm>
        <a:prstGeom prst="star5">
          <a:avLst/>
        </a:prstGeom>
        <a:solidFill>
          <a:srgbClr val="FF0000"/>
        </a:solidFill>
        <a:effectLst>
          <a:outerShdw blurRad="63500" dist="37357" dir="2700000" sx="80000" sy="8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en-US" sz="1100" b="1" i="0" u="none">
              <a:solidFill>
                <a:srgbClr val="FFFF00"/>
              </a:solidFill>
            </a:rPr>
            <a:t>Hello!</a:t>
          </a:r>
        </a:p>
      </xdr:txBody>
    </xdr:sp>
    <xdr:clientData/>
  </xdr:twoCellAnchor>
  <xdr:twoCellAnchor editAs="oneCell">
    <xdr:from>
      <xdr:col>1</xdr:col>
      <xdr:colOff>190500</xdr:colOff>
      <xdr:row>100</xdr:row>
      <xdr:rowOff>66675</xdr:rowOff>
    </xdr:from>
    <xdr:to>
      <xdr:col>2</xdr:col>
      <xdr:colOff>266700</xdr:colOff>
      <xdr:row>105</xdr:row>
      <xdr:rowOff>85725</xdr:rowOff>
    </xdr:to>
    <xdr:pic>
      <xdr:nvPicPr>
        <xdr:cNvPr id="45" name="Robby" descr="this is a cool robot">
          <a:extLst>
            <a:ext uri="{FF2B5EF4-FFF2-40B4-BE49-F238E27FC236}">
              <a16:creationId xmlns:a16="http://schemas.microsoft.com/office/drawing/2014/main" id="{2D6F39AC-053C-4C40-B0A5-39065951A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6506825"/>
          <a:ext cx="1724025"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1689100</xdr:colOff>
      <xdr:row>27</xdr:row>
      <xdr:rowOff>172720</xdr:rowOff>
    </xdr:to>
    <xdr:pic>
      <xdr:nvPicPr>
        <xdr:cNvPr id="3" name="Picture 2">
          <a:extLst>
            <a:ext uri="{FF2B5EF4-FFF2-40B4-BE49-F238E27FC236}">
              <a16:creationId xmlns:a16="http://schemas.microsoft.com/office/drawing/2014/main" id="{0BB9133A-385C-FACD-436E-50C6023DD593}"/>
            </a:ext>
          </a:extLst>
        </xdr:cNvPr>
        <xdr:cNvPicPr>
          <a:picLocks/>
        </xdr:cNvPicPr>
      </xdr:nvPicPr>
      <xdr:blipFill>
        <a:blip xmlns:r="http://schemas.openxmlformats.org/officeDocument/2006/relationships" r:embed="rId2">
          <a:lum bright="30000"/>
          <a:extLst>
            <a:ext uri="{28A0092B-C50C-407E-A947-70E740481C1C}">
              <a14:useLocalDpi xmlns:a14="http://schemas.microsoft.com/office/drawing/2010/main" val="0"/>
            </a:ext>
          </a:extLst>
        </a:blip>
        <a:stretch>
          <a:fillRect/>
        </a:stretch>
      </xdr:blipFill>
      <xdr:spPr>
        <a:xfrm rot="900000">
          <a:off x="632460" y="4861560"/>
          <a:ext cx="1689100" cy="546100"/>
        </a:xfrm>
        <a:prstGeom prst="rect">
          <a:avLst/>
        </a:prstGeom>
        <a:effectLst>
          <a:reflection endPos="600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2609849</xdr:colOff>
      <xdr:row>28</xdr:row>
      <xdr:rowOff>38100</xdr:rowOff>
    </xdr:from>
    <xdr:to>
      <xdr:col>15</xdr:col>
      <xdr:colOff>238124</xdr:colOff>
      <xdr:row>33</xdr:row>
      <xdr:rowOff>0</xdr:rowOff>
    </xdr:to>
    <xdr:sp macro="" textlink="">
      <xdr:nvSpPr>
        <xdr:cNvPr id="3" name="Equals 2">
          <a:extLst>
            <a:ext uri="{FF2B5EF4-FFF2-40B4-BE49-F238E27FC236}">
              <a16:creationId xmlns:a16="http://schemas.microsoft.com/office/drawing/2014/main" id="{A2678D6B-3A13-411E-96C2-DE557C379D07}"/>
            </a:ext>
          </a:extLst>
        </xdr:cNvPr>
        <xdr:cNvSpPr/>
      </xdr:nvSpPr>
      <xdr:spPr>
        <a:xfrm>
          <a:off x="20069174" y="5619750"/>
          <a:ext cx="914400" cy="91440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13</xdr:col>
      <xdr:colOff>2603499</xdr:colOff>
      <xdr:row>33</xdr:row>
      <xdr:rowOff>98425</xdr:rowOff>
    </xdr:from>
    <xdr:to>
      <xdr:col>15</xdr:col>
      <xdr:colOff>231774</xdr:colOff>
      <xdr:row>38</xdr:row>
      <xdr:rowOff>60325</xdr:rowOff>
    </xdr:to>
    <xdr:sp macro="" textlink="">
      <xdr:nvSpPr>
        <xdr:cNvPr id="4" name="Not Equal 3">
          <a:extLst>
            <a:ext uri="{FF2B5EF4-FFF2-40B4-BE49-F238E27FC236}">
              <a16:creationId xmlns:a16="http://schemas.microsoft.com/office/drawing/2014/main" id="{9769547E-5014-416A-B8E1-A6D1B74F87B0}"/>
            </a:ext>
          </a:extLst>
        </xdr:cNvPr>
        <xdr:cNvSpPr/>
      </xdr:nvSpPr>
      <xdr:spPr>
        <a:xfrm>
          <a:off x="20062824" y="6632575"/>
          <a:ext cx="914400" cy="914400"/>
        </a:xfrm>
        <a:prstGeom prst="mathNot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editAs="oneCell">
    <xdr:from>
      <xdr:col>13</xdr:col>
      <xdr:colOff>2625725</xdr:colOff>
      <xdr:row>39</xdr:row>
      <xdr:rowOff>123825</xdr:rowOff>
    </xdr:from>
    <xdr:to>
      <xdr:col>15</xdr:col>
      <xdr:colOff>254000</xdr:colOff>
      <xdr:row>44</xdr:row>
      <xdr:rowOff>85725</xdr:rowOff>
    </xdr:to>
    <xdr:pic>
      <xdr:nvPicPr>
        <xdr:cNvPr id="6" name="Picture 5" descr="Image result for Stock chart icon">
          <a:extLst>
            <a:ext uri="{FF2B5EF4-FFF2-40B4-BE49-F238E27FC236}">
              <a16:creationId xmlns:a16="http://schemas.microsoft.com/office/drawing/2014/main" id="{A943A5A8-0FE6-42EE-B1AC-9D4ADAB20AC8}"/>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85050" y="7800975"/>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3174</xdr:colOff>
      <xdr:row>45</xdr:row>
      <xdr:rowOff>92075</xdr:rowOff>
    </xdr:from>
    <xdr:to>
      <xdr:col>15</xdr:col>
      <xdr:colOff>260349</xdr:colOff>
      <xdr:row>50</xdr:row>
      <xdr:rowOff>53975</xdr:rowOff>
    </xdr:to>
    <xdr:pic>
      <xdr:nvPicPr>
        <xdr:cNvPr id="7" name="Picture 6">
          <a:extLst>
            <a:ext uri="{FF2B5EF4-FFF2-40B4-BE49-F238E27FC236}">
              <a16:creationId xmlns:a16="http://schemas.microsoft.com/office/drawing/2014/main" id="{F8C62AF2-F3BB-4A09-96AF-5B0D7E399226}"/>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91399" y="8912225"/>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2619374</xdr:colOff>
      <xdr:row>51</xdr:row>
      <xdr:rowOff>57150</xdr:rowOff>
    </xdr:from>
    <xdr:to>
      <xdr:col>15</xdr:col>
      <xdr:colOff>247649</xdr:colOff>
      <xdr:row>56</xdr:row>
      <xdr:rowOff>19050</xdr:rowOff>
    </xdr:to>
    <xdr:pic>
      <xdr:nvPicPr>
        <xdr:cNvPr id="8" name="Picture 7" descr="Image result for clock icon">
          <a:extLst>
            <a:ext uri="{FF2B5EF4-FFF2-40B4-BE49-F238E27FC236}">
              <a16:creationId xmlns:a16="http://schemas.microsoft.com/office/drawing/2014/main" id="{E213BE79-E570-455B-B835-4850C3DC2587}"/>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78699" y="10020300"/>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152400</xdr:colOff>
      <xdr:row>29</xdr:row>
      <xdr:rowOff>28575</xdr:rowOff>
    </xdr:from>
    <xdr:to>
      <xdr:col>17</xdr:col>
      <xdr:colOff>438150</xdr:colOff>
      <xdr:row>33</xdr:row>
      <xdr:rowOff>180975</xdr:rowOff>
    </xdr:to>
    <xdr:pic>
      <xdr:nvPicPr>
        <xdr:cNvPr id="9" name="Graphic 8" descr="Sort">
          <a:extLst>
            <a:ext uri="{FF2B5EF4-FFF2-40B4-BE49-F238E27FC236}">
              <a16:creationId xmlns:a16="http://schemas.microsoft.com/office/drawing/2014/main" id="{773D2768-15CD-4D1A-80D3-20B8AFC6EBE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9402425" y="5229225"/>
          <a:ext cx="914400" cy="914400"/>
        </a:xfrm>
        <a:prstGeom prst="rect">
          <a:avLst/>
        </a:prstGeom>
      </xdr:spPr>
    </xdr:pic>
    <xdr:clientData/>
  </xdr:twoCellAnchor>
  <xdr:twoCellAnchor editAs="oneCell">
    <xdr:from>
      <xdr:col>13</xdr:col>
      <xdr:colOff>2619375</xdr:colOff>
      <xdr:row>57</xdr:row>
      <xdr:rowOff>47625</xdr:rowOff>
    </xdr:from>
    <xdr:to>
      <xdr:col>15</xdr:col>
      <xdr:colOff>247650</xdr:colOff>
      <xdr:row>62</xdr:row>
      <xdr:rowOff>9525</xdr:rowOff>
    </xdr:to>
    <xdr:pic>
      <xdr:nvPicPr>
        <xdr:cNvPr id="14" name="Picture 13">
          <a:extLst>
            <a:ext uri="{FF2B5EF4-FFF2-40B4-BE49-F238E27FC236}">
              <a16:creationId xmlns:a16="http://schemas.microsoft.com/office/drawing/2014/main" id="{3914474C-908D-472D-8666-1E29CDDA005E}"/>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0078700" y="11153775"/>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514350</xdr:colOff>
      <xdr:row>108</xdr:row>
      <xdr:rowOff>85725</xdr:rowOff>
    </xdr:from>
    <xdr:to>
      <xdr:col>1</xdr:col>
      <xdr:colOff>1611630</xdr:colOff>
      <xdr:row>114</xdr:row>
      <xdr:rowOff>38100</xdr:rowOff>
    </xdr:to>
    <xdr:sp macro="" textlink="">
      <xdr:nvSpPr>
        <xdr:cNvPr id="8" name="Oval 7">
          <a:extLst>
            <a:ext uri="{FF2B5EF4-FFF2-40B4-BE49-F238E27FC236}">
              <a16:creationId xmlns:a16="http://schemas.microsoft.com/office/drawing/2014/main" id="{35030B3C-D639-44A4-BE44-60817DE1FBE2}"/>
            </a:ext>
          </a:extLst>
        </xdr:cNvPr>
        <xdr:cNvSpPr>
          <a:spLocks noChangeAspect="1"/>
        </xdr:cNvSpPr>
      </xdr:nvSpPr>
      <xdr:spPr>
        <a:xfrm>
          <a:off x="1123950" y="19011900"/>
          <a:ext cx="1097280" cy="1095375"/>
        </a:xfrm>
        <a:prstGeom prst="ellipse">
          <a:avLst/>
        </a:prstGeom>
        <a:solidFill>
          <a:srgbClr val="D3D3D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en-US" sz="1100" b="1" baseline="0">
              <a:solidFill>
                <a:srgbClr val="808080"/>
              </a:solidFill>
            </a:rPr>
            <a:t>Table 1</a:t>
          </a:r>
        </a:p>
      </xdr:txBody>
    </xdr:sp>
    <xdr:clientData/>
  </xdr:twoCellAnchor>
  <xdr:twoCellAnchor>
    <xdr:from>
      <xdr:col>2</xdr:col>
      <xdr:colOff>571500</xdr:colOff>
      <xdr:row>108</xdr:row>
      <xdr:rowOff>85725</xdr:rowOff>
    </xdr:from>
    <xdr:to>
      <xdr:col>2</xdr:col>
      <xdr:colOff>1668780</xdr:colOff>
      <xdr:row>114</xdr:row>
      <xdr:rowOff>38100</xdr:rowOff>
    </xdr:to>
    <xdr:sp macro="" textlink="">
      <xdr:nvSpPr>
        <xdr:cNvPr id="10" name="Oval 9">
          <a:extLst>
            <a:ext uri="{FF2B5EF4-FFF2-40B4-BE49-F238E27FC236}">
              <a16:creationId xmlns:a16="http://schemas.microsoft.com/office/drawing/2014/main" id="{4A189F82-42BC-4D7D-8B0B-A9406C6B127D}"/>
            </a:ext>
          </a:extLst>
        </xdr:cNvPr>
        <xdr:cNvSpPr>
          <a:spLocks noChangeAspect="1"/>
        </xdr:cNvSpPr>
      </xdr:nvSpPr>
      <xdr:spPr>
        <a:xfrm>
          <a:off x="3057525" y="19011900"/>
          <a:ext cx="1097280" cy="1095375"/>
        </a:xfrm>
        <a:prstGeom prst="ellipse">
          <a:avLst/>
        </a:prstGeom>
        <a:solidFill>
          <a:srgbClr val="D3D3D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en-US" sz="1100" b="1" baseline="0">
              <a:solidFill>
                <a:srgbClr val="808080"/>
              </a:solidFill>
            </a:rPr>
            <a:t>Table 2</a:t>
          </a:r>
        </a:p>
      </xdr:txBody>
    </xdr:sp>
    <xdr:clientData/>
  </xdr:twoCellAnchor>
  <xdr:twoCellAnchor>
    <xdr:from>
      <xdr:col>1</xdr:col>
      <xdr:colOff>990600</xdr:colOff>
      <xdr:row>83</xdr:row>
      <xdr:rowOff>171450</xdr:rowOff>
    </xdr:from>
    <xdr:to>
      <xdr:col>2</xdr:col>
      <xdr:colOff>781050</xdr:colOff>
      <xdr:row>93</xdr:row>
      <xdr:rowOff>47625</xdr:rowOff>
    </xdr:to>
    <xdr:sp macro="" textlink="">
      <xdr:nvSpPr>
        <xdr:cNvPr id="11" name="Lightning Bolt 10">
          <a:extLst>
            <a:ext uri="{FF2B5EF4-FFF2-40B4-BE49-F238E27FC236}">
              <a16:creationId xmlns:a16="http://schemas.microsoft.com/office/drawing/2014/main" id="{EE9E59CC-9BAF-4F5B-8F00-0066796BB444}"/>
            </a:ext>
          </a:extLst>
        </xdr:cNvPr>
        <xdr:cNvSpPr/>
      </xdr:nvSpPr>
      <xdr:spPr>
        <a:xfrm>
          <a:off x="1600200" y="16230600"/>
          <a:ext cx="1666875" cy="1781175"/>
        </a:xfrm>
        <a:prstGeom prst="lightningBolt">
          <a:avLst/>
        </a:prstGeom>
        <a:solidFill>
          <a:srgbClr val="FFFF00"/>
        </a:solidFill>
        <a:ln w="28575" cap="flat">
          <a:solidFill>
            <a:srgbClr val="FF0000">
              <a:alpha val="16000"/>
            </a:srgbClr>
          </a:solidFill>
          <a:prstDash val="solid"/>
          <a:miter lim="800000"/>
          <a:extLst>
            <a:ext uri="{C807C97D-BFC1-408E-A445-0C87EB9F89A2}">
              <ask:lineSketchStyleProps xmlns:ask="http://schemas.microsoft.com/office/drawing/2018/sketchyshapes" sd="1219033472">
                <a:custGeom>
                  <a:avLst/>
                  <a:gdLst>
                    <a:gd name="connsiteX0" fmla="*/ 653785 w 1666875"/>
                    <a:gd name="connsiteY0" fmla="*/ 0 h 1781175"/>
                    <a:gd name="connsiteX1" fmla="*/ 992407 w 1666875"/>
                    <a:gd name="connsiteY1" fmla="*/ 501367 h 1781175"/>
                    <a:gd name="connsiteX2" fmla="*/ 852730 w 1666875"/>
                    <a:gd name="connsiteY2" fmla="*/ 560492 h 1781175"/>
                    <a:gd name="connsiteX3" fmla="*/ 1279249 w 1666875"/>
                    <a:gd name="connsiteY3" fmla="*/ 990118 h 1781175"/>
                    <a:gd name="connsiteX4" fmla="*/ 1139571 w 1666875"/>
                    <a:gd name="connsiteY4" fmla="*/ 1061860 h 1781175"/>
                    <a:gd name="connsiteX5" fmla="*/ 1403223 w 1666875"/>
                    <a:gd name="connsiteY5" fmla="*/ 1421518 h 1781175"/>
                    <a:gd name="connsiteX6" fmla="*/ 1666875 w 1666875"/>
                    <a:gd name="connsiteY6" fmla="*/ 1781175 h 1781175"/>
                    <a:gd name="connsiteX7" fmla="*/ 1201866 w 1666875"/>
                    <a:gd name="connsiteY7" fmla="*/ 1494521 h 1781175"/>
                    <a:gd name="connsiteX8" fmla="*/ 772627 w 1666875"/>
                    <a:gd name="connsiteY8" fmla="*/ 1229917 h 1781175"/>
                    <a:gd name="connsiteX9" fmla="*/ 943173 w 1666875"/>
                    <a:gd name="connsiteY9" fmla="*/ 1153393 h 1781175"/>
                    <a:gd name="connsiteX10" fmla="*/ 387548 w 1666875"/>
                    <a:gd name="connsiteY10" fmla="*/ 800291 h 1781175"/>
                    <a:gd name="connsiteX11" fmla="*/ 586647 w 1666875"/>
                    <a:gd name="connsiteY11" fmla="*/ 691194 h 1781175"/>
                    <a:gd name="connsiteX12" fmla="*/ 0 w 1666875"/>
                    <a:gd name="connsiteY12" fmla="*/ 320776 h 1781175"/>
                    <a:gd name="connsiteX13" fmla="*/ 307279 w 1666875"/>
                    <a:gd name="connsiteY13" fmla="*/ 170011 h 1781175"/>
                    <a:gd name="connsiteX14" fmla="*/ 653785 w 1666875"/>
                    <a:gd name="connsiteY14" fmla="*/ 0 h 17811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1666875" h="1781175" fill="none" extrusionOk="0">
                      <a:moveTo>
                        <a:pt x="653785" y="0"/>
                      </a:moveTo>
                      <a:cubicBezTo>
                        <a:pt x="798770" y="190577"/>
                        <a:pt x="877969" y="385636"/>
                        <a:pt x="992407" y="501367"/>
                      </a:cubicBezTo>
                      <a:cubicBezTo>
                        <a:pt x="959827" y="519192"/>
                        <a:pt x="914173" y="538235"/>
                        <a:pt x="852730" y="560492"/>
                      </a:cubicBezTo>
                      <a:cubicBezTo>
                        <a:pt x="1027130" y="707431"/>
                        <a:pt x="1101826" y="827081"/>
                        <a:pt x="1279249" y="990118"/>
                      </a:cubicBezTo>
                      <a:cubicBezTo>
                        <a:pt x="1242059" y="1007536"/>
                        <a:pt x="1193548" y="1037177"/>
                        <a:pt x="1139571" y="1061860"/>
                      </a:cubicBezTo>
                      <a:cubicBezTo>
                        <a:pt x="1262502" y="1210221"/>
                        <a:pt x="1361757" y="1331378"/>
                        <a:pt x="1403223" y="1421518"/>
                      </a:cubicBezTo>
                      <a:cubicBezTo>
                        <a:pt x="1444689" y="1511658"/>
                        <a:pt x="1600802" y="1698589"/>
                        <a:pt x="1666875" y="1781175"/>
                      </a:cubicBezTo>
                      <a:cubicBezTo>
                        <a:pt x="1578591" y="1703724"/>
                        <a:pt x="1356844" y="1569247"/>
                        <a:pt x="1201866" y="1494521"/>
                      </a:cubicBezTo>
                      <a:cubicBezTo>
                        <a:pt x="1046888" y="1419795"/>
                        <a:pt x="917784" y="1322446"/>
                        <a:pt x="772627" y="1229917"/>
                      </a:cubicBezTo>
                      <a:cubicBezTo>
                        <a:pt x="830135" y="1196586"/>
                        <a:pt x="878816" y="1172691"/>
                        <a:pt x="943173" y="1153393"/>
                      </a:cubicBezTo>
                      <a:cubicBezTo>
                        <a:pt x="741589" y="1050859"/>
                        <a:pt x="574626" y="899185"/>
                        <a:pt x="387548" y="800291"/>
                      </a:cubicBezTo>
                      <a:cubicBezTo>
                        <a:pt x="444431" y="757911"/>
                        <a:pt x="493090" y="735346"/>
                        <a:pt x="586647" y="691194"/>
                      </a:cubicBezTo>
                      <a:cubicBezTo>
                        <a:pt x="320195" y="534760"/>
                        <a:pt x="172610" y="402340"/>
                        <a:pt x="0" y="320776"/>
                      </a:cubicBezTo>
                      <a:cubicBezTo>
                        <a:pt x="75272" y="291637"/>
                        <a:pt x="176594" y="226283"/>
                        <a:pt x="307279" y="170011"/>
                      </a:cubicBezTo>
                      <a:cubicBezTo>
                        <a:pt x="437964" y="113739"/>
                        <a:pt x="489605" y="74120"/>
                        <a:pt x="653785" y="0"/>
                      </a:cubicBezTo>
                      <a:close/>
                    </a:path>
                    <a:path w="1666875" h="1781175" stroke="0" extrusionOk="0">
                      <a:moveTo>
                        <a:pt x="653785" y="0"/>
                      </a:moveTo>
                      <a:cubicBezTo>
                        <a:pt x="758769" y="190828"/>
                        <a:pt x="882455" y="287584"/>
                        <a:pt x="992407" y="501367"/>
                      </a:cubicBezTo>
                      <a:cubicBezTo>
                        <a:pt x="961627" y="512099"/>
                        <a:pt x="893515" y="543684"/>
                        <a:pt x="852730" y="560492"/>
                      </a:cubicBezTo>
                      <a:cubicBezTo>
                        <a:pt x="1085422" y="753053"/>
                        <a:pt x="1190913" y="871064"/>
                        <a:pt x="1279249" y="990118"/>
                      </a:cubicBezTo>
                      <a:cubicBezTo>
                        <a:pt x="1222729" y="1022573"/>
                        <a:pt x="1201190" y="1025498"/>
                        <a:pt x="1139571" y="1061860"/>
                      </a:cubicBezTo>
                      <a:cubicBezTo>
                        <a:pt x="1191817" y="1148386"/>
                        <a:pt x="1345890" y="1331556"/>
                        <a:pt x="1392677" y="1407131"/>
                      </a:cubicBezTo>
                      <a:cubicBezTo>
                        <a:pt x="1439464" y="1482706"/>
                        <a:pt x="1558077" y="1642212"/>
                        <a:pt x="1666875" y="1781175"/>
                      </a:cubicBezTo>
                      <a:cubicBezTo>
                        <a:pt x="1481717" y="1668475"/>
                        <a:pt x="1428937" y="1659620"/>
                        <a:pt x="1237636" y="1516571"/>
                      </a:cubicBezTo>
                      <a:cubicBezTo>
                        <a:pt x="1046335" y="1373522"/>
                        <a:pt x="979813" y="1380219"/>
                        <a:pt x="772627" y="1229917"/>
                      </a:cubicBezTo>
                      <a:cubicBezTo>
                        <a:pt x="835870" y="1209557"/>
                        <a:pt x="854393" y="1183436"/>
                        <a:pt x="943173" y="1153393"/>
                      </a:cubicBezTo>
                      <a:cubicBezTo>
                        <a:pt x="750549" y="996912"/>
                        <a:pt x="605040" y="945406"/>
                        <a:pt x="387548" y="800291"/>
                      </a:cubicBezTo>
                      <a:cubicBezTo>
                        <a:pt x="455620" y="763224"/>
                        <a:pt x="498622" y="727905"/>
                        <a:pt x="586647" y="691194"/>
                      </a:cubicBezTo>
                      <a:cubicBezTo>
                        <a:pt x="413580" y="577636"/>
                        <a:pt x="144904" y="412570"/>
                        <a:pt x="0" y="320776"/>
                      </a:cubicBezTo>
                      <a:cubicBezTo>
                        <a:pt x="122581" y="252841"/>
                        <a:pt x="249129" y="186687"/>
                        <a:pt x="320355" y="163596"/>
                      </a:cubicBezTo>
                      <a:cubicBezTo>
                        <a:pt x="391581" y="140505"/>
                        <a:pt x="568332" y="38850"/>
                        <a:pt x="653785" y="0"/>
                      </a:cubicBezTo>
                      <a:close/>
                    </a:path>
                  </a:pathLst>
                </a:custGeom>
                <ask:type>
                  <ask:lineSketchNone/>
                </ask:type>
              </ask:lineSketchStyleProps>
            </a:ext>
          </a:extLst>
        </a:ln>
        <a:effectLst>
          <a:glow rad="190500">
            <a:schemeClr val="accent4">
              <a:satMod val="175000"/>
              <a:alpha val="47000"/>
            </a:schemeClr>
          </a:glow>
          <a:outerShdw blurRad="266700" dist="152400" dir="5400000" algn="t" rotWithShape="0">
            <a:schemeClr val="tx1">
              <a:alpha val="4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6073</xdr:colOff>
      <xdr:row>100</xdr:row>
      <xdr:rowOff>50298</xdr:rowOff>
    </xdr:from>
    <xdr:ext cx="7379264" cy="937629"/>
    <xdr:sp macro="" textlink="">
      <xdr:nvSpPr>
        <xdr:cNvPr id="4" name="Rectangle 3" descr="enable">
          <a:extLst>
            <a:ext uri="{FF2B5EF4-FFF2-40B4-BE49-F238E27FC236}">
              <a16:creationId xmlns:a16="http://schemas.microsoft.com/office/drawing/2014/main" id="{995D5A8E-60C3-4F8B-BCE7-0A89D9D0A295}"/>
            </a:ext>
          </a:extLst>
        </xdr:cNvPr>
        <xdr:cNvSpPr/>
      </xdr:nvSpPr>
      <xdr:spPr>
        <a:xfrm>
          <a:off x="6073" y="19347948"/>
          <a:ext cx="7379264"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38100" h="38100"/>
          </a:sp3d>
        </a:bodyPr>
        <a:lstStyle/>
        <a:p>
          <a:pPr algn="ctr"/>
          <a:r>
            <a:rPr lang="en-US" sz="5400" b="1" cap="none" spc="0">
              <a:ln/>
              <a:solidFill>
                <a:schemeClr val="accent6"/>
              </a:solidFill>
              <a:effectLst>
                <a:reflection blurRad="6350" stA="40000" endPos="45500" dist="3810" dir="5400000" sy="-100000" algn="bl" rotWithShape="0"/>
              </a:effectLst>
            </a:rPr>
            <a:t>Click Me to Enable Hover</a:t>
          </a:r>
        </a:p>
      </xdr:txBody>
    </xdr:sp>
    <xdr:clientData/>
  </xdr:oneCellAnchor>
  <xdr:oneCellAnchor>
    <xdr:from>
      <xdr:col>0</xdr:col>
      <xdr:colOff>5075</xdr:colOff>
      <xdr:row>100</xdr:row>
      <xdr:rowOff>50298</xdr:rowOff>
    </xdr:from>
    <xdr:ext cx="7552709" cy="937629"/>
    <xdr:sp macro="" textlink="">
      <xdr:nvSpPr>
        <xdr:cNvPr id="7" name="Rectangle 6" descr="disable" hidden="1">
          <a:extLst>
            <a:ext uri="{FF2B5EF4-FFF2-40B4-BE49-F238E27FC236}">
              <a16:creationId xmlns:a16="http://schemas.microsoft.com/office/drawing/2014/main" id="{424A6E15-C0C5-49D2-8A65-CF9800F00DFC}"/>
            </a:ext>
          </a:extLst>
        </xdr:cNvPr>
        <xdr:cNvSpPr/>
      </xdr:nvSpPr>
      <xdr:spPr>
        <a:xfrm>
          <a:off x="5075" y="19347948"/>
          <a:ext cx="7552709" cy="937629"/>
        </a:xfrm>
        <a:prstGeom prst="rect">
          <a:avLst/>
        </a:prstGeom>
        <a:noFill/>
      </xdr:spPr>
      <xdr:txBody>
        <a:bodyPr wrap="none" lIns="91440" tIns="45720" rIns="91440" bIns="45720">
          <a:spAutoFit/>
          <a:scene3d>
            <a:camera prst="orthographicFront"/>
            <a:lightRig rig="soft" dir="t">
              <a:rot lat="0" lon="0" rev="15600000"/>
            </a:lightRig>
          </a:scene3d>
          <a:sp3d extrusionH="57150" prstMaterial="softEdge">
            <a:bevelT w="38100" h="38100"/>
          </a:sp3d>
        </a:bodyPr>
        <a:lstStyle/>
        <a:p>
          <a:pPr algn="ctr"/>
          <a:r>
            <a:rPr lang="en-US" sz="5400" b="1" cap="none" spc="0">
              <a:ln/>
              <a:solidFill>
                <a:srgbClr val="FF0000"/>
              </a:solidFill>
              <a:effectLst>
                <a:reflection blurRad="6350" stA="40000" endPos="45500" dist="3810" dir="5400000" sy="-100000" algn="bl" rotWithShape="0"/>
              </a:effectLst>
            </a:rPr>
            <a:t>Click Me to Disable Hover</a:t>
          </a:r>
        </a:p>
      </xdr:txBody>
    </xdr:sp>
    <xdr:clientData/>
  </xdr:oneCellAnchor>
  <xdr:twoCellAnchor>
    <xdr:from>
      <xdr:col>1</xdr:col>
      <xdr:colOff>609599</xdr:colOff>
      <xdr:row>132</xdr:row>
      <xdr:rowOff>38100</xdr:rowOff>
    </xdr:from>
    <xdr:to>
      <xdr:col>1</xdr:col>
      <xdr:colOff>1213103</xdr:colOff>
      <xdr:row>135</xdr:row>
      <xdr:rowOff>70104</xdr:rowOff>
    </xdr:to>
    <xdr:sp macro="" textlink="">
      <xdr:nvSpPr>
        <xdr:cNvPr id="2" name="Rectangle 1">
          <a:extLst>
            <a:ext uri="{FF2B5EF4-FFF2-40B4-BE49-F238E27FC236}">
              <a16:creationId xmlns:a16="http://schemas.microsoft.com/office/drawing/2014/main" id="{0552418E-281D-4A43-8296-2CE14720D6F8}"/>
            </a:ext>
          </a:extLst>
        </xdr:cNvPr>
        <xdr:cNvSpPr/>
      </xdr:nvSpPr>
      <xdr:spPr>
        <a:xfrm>
          <a:off x="1242059" y="24528780"/>
          <a:ext cx="603504" cy="580644"/>
        </a:xfrm>
        <a:prstGeom prst="rect">
          <a:avLst/>
        </a:prstGeom>
        <a:solidFill>
          <a:srgbClr val="4472C4"/>
        </a:solidFill>
        <a:effectLst/>
        <a:extLst>
          <a:ext uri="{AF507438-7753-43E0-B8FC-AC1667EBCBE1}">
            <a14:hiddenEffects xmlns:a14="http://schemas.microsoft.com/office/drawing/2010/main">
              <a:effectLst>
                <a:outerShdw blurRad="63500" dist="37357" dir="2700000" rotWithShape="0">
                  <a:scrgbClr r="0" g="0" b="0"/>
                </a:outerShdw>
              </a:effectLst>
            </a14:hiddenEffects>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US" sz="1100" b="1">
              <a:solidFill>
                <a:srgbClr val="4472C4"/>
              </a:solidFill>
            </a:rPr>
            <a:t>Hello</a:t>
          </a:r>
        </a:p>
      </xdr:txBody>
    </xdr:sp>
    <xdr:clientData/>
  </xdr:twoCellAnchor>
  <xdr:twoCellAnchor>
    <xdr:from>
      <xdr:col>1</xdr:col>
      <xdr:colOff>1657349</xdr:colOff>
      <xdr:row>132</xdr:row>
      <xdr:rowOff>28575</xdr:rowOff>
    </xdr:from>
    <xdr:to>
      <xdr:col>2</xdr:col>
      <xdr:colOff>384428</xdr:colOff>
      <xdr:row>135</xdr:row>
      <xdr:rowOff>60579</xdr:rowOff>
    </xdr:to>
    <xdr:sp macro="" textlink="">
      <xdr:nvSpPr>
        <xdr:cNvPr id="9" name="Rectangle 8">
          <a:extLst>
            <a:ext uri="{FF2B5EF4-FFF2-40B4-BE49-F238E27FC236}">
              <a16:creationId xmlns:a16="http://schemas.microsoft.com/office/drawing/2014/main" id="{8B491FBA-BA9C-40EB-A40D-921D1547A66F}"/>
            </a:ext>
          </a:extLst>
        </xdr:cNvPr>
        <xdr:cNvSpPr/>
      </xdr:nvSpPr>
      <xdr:spPr>
        <a:xfrm>
          <a:off x="2289809" y="24519255"/>
          <a:ext cx="662559" cy="580644"/>
        </a:xfrm>
        <a:prstGeom prst="rect">
          <a:avLst/>
        </a:prstGeom>
        <a:solidFill>
          <a:srgbClr val="4472C4"/>
        </a:solidFill>
        <a:effectLst/>
        <a:extLst>
          <a:ext uri="{AF507438-7753-43E0-B8FC-AC1667EBCBE1}">
            <a14:hiddenEffects xmlns:a14="http://schemas.microsoft.com/office/drawing/2010/main">
              <a:effectLst>
                <a:outerShdw blurRad="63500" dist="37357" dir="2700000" rotWithShape="0">
                  <a:scrgbClr r="0" g="0" b="0"/>
                </a:outerShdw>
              </a:effectLst>
            </a14:hiddenEffects>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US" sz="1100" b="1">
              <a:solidFill>
                <a:srgbClr val="4472C4"/>
              </a:solidFill>
            </a:rPr>
            <a:t>from</a:t>
          </a:r>
        </a:p>
      </xdr:txBody>
    </xdr:sp>
    <xdr:clientData/>
  </xdr:twoCellAnchor>
  <xdr:twoCellAnchor>
    <xdr:from>
      <xdr:col>2</xdr:col>
      <xdr:colOff>761999</xdr:colOff>
      <xdr:row>132</xdr:row>
      <xdr:rowOff>19050</xdr:rowOff>
    </xdr:from>
    <xdr:to>
      <xdr:col>2</xdr:col>
      <xdr:colOff>1365503</xdr:colOff>
      <xdr:row>135</xdr:row>
      <xdr:rowOff>51054</xdr:rowOff>
    </xdr:to>
    <xdr:sp macro="" textlink="">
      <xdr:nvSpPr>
        <xdr:cNvPr id="12" name="Rectangle 11">
          <a:extLst>
            <a:ext uri="{FF2B5EF4-FFF2-40B4-BE49-F238E27FC236}">
              <a16:creationId xmlns:a16="http://schemas.microsoft.com/office/drawing/2014/main" id="{BE7F8B80-818E-4FA5-AFEF-272215985D75}"/>
            </a:ext>
          </a:extLst>
        </xdr:cNvPr>
        <xdr:cNvSpPr/>
      </xdr:nvSpPr>
      <xdr:spPr>
        <a:xfrm>
          <a:off x="3329939" y="24509730"/>
          <a:ext cx="603504" cy="580644"/>
        </a:xfrm>
        <a:prstGeom prst="rect">
          <a:avLst/>
        </a:prstGeom>
        <a:solidFill>
          <a:srgbClr val="4472C4"/>
        </a:solidFill>
        <a:effectLst/>
        <a:extLst>
          <a:ext uri="{AF507438-7753-43E0-B8FC-AC1667EBCBE1}">
            <a14:hiddenEffects xmlns:a14="http://schemas.microsoft.com/office/drawing/2010/main">
              <a:effectLst>
                <a:outerShdw blurRad="63500" dist="37357" dir="2700000" rotWithShape="0">
                  <a:scrgbClr r="0" g="0" b="0"/>
                </a:outerShdw>
              </a:effectLst>
            </a14:hiddenEffects>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n-US" sz="1100" b="1">
              <a:solidFill>
                <a:srgbClr val="4472C4"/>
              </a:solidFill>
            </a:rPr>
            <a:t>Runline!</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122:C124" totalsRowShown="0" headerRowDxfId="10" dataDxfId="8" headerRowBorderDxfId="9" tableBorderDxfId="7" totalsRowBorderDxfId="6">
  <autoFilter ref="B122:C124" xr:uid="{00000000-0009-0000-0100-000002000000}"/>
  <tableColumns count="2">
    <tableColumn id="1" xr3:uid="{00000000-0010-0000-0000-000001000000}" name="Symbol" dataDxfId="5"/>
    <tableColumn id="2" xr3:uid="{00000000-0010-0000-0000-000002000000}" name="Last Price" dataDxfId="4" dataCellStyle="Comma"/>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xml"/><Relationship Id="rId1" Type="http://schemas.openxmlformats.org/officeDocument/2006/relationships/printerSettings" Target="../printerSettings/printerSettings26.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printerSettings" Target="../printerSettings/printerSettings37.bin"/><Relationship Id="rId1" Type="http://schemas.openxmlformats.org/officeDocument/2006/relationships/hyperlink" Target="mailto:my_p@ssword" TargetMode="External"/><Relationship Id="rId4" Type="http://schemas.openxmlformats.org/officeDocument/2006/relationships/comments" Target="../comments42.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3.xml"/><Relationship Id="rId1" Type="http://schemas.openxmlformats.org/officeDocument/2006/relationships/printerSettings" Target="../printerSettings/printerSettings38.bin"/><Relationship Id="rId4" Type="http://schemas.openxmlformats.org/officeDocument/2006/relationships/comments" Target="../comments43.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xml"/><Relationship Id="rId1" Type="http://schemas.openxmlformats.org/officeDocument/2006/relationships/printerSettings" Target="../printerSettings/printerSettings40.bin"/><Relationship Id="rId4" Type="http://schemas.openxmlformats.org/officeDocument/2006/relationships/comments" Target="../comments45.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9.vml"/><Relationship Id="rId1" Type="http://schemas.openxmlformats.org/officeDocument/2006/relationships/printerSettings" Target="../printerSettings/printerSettings44.bin"/><Relationship Id="rId4" Type="http://schemas.openxmlformats.org/officeDocument/2006/relationships/comments" Target="../comments49.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sally@abccorp.com" TargetMode="External"/><Relationship Id="rId1" Type="http://schemas.openxmlformats.org/officeDocument/2006/relationships/hyperlink" Target="mailto:bob@abccorp.com"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hyperlink" Target="http://www.runline.com/" TargetMode="External"/></Relationships>
</file>

<file path=xl/worksheets/_rels/sheet53.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2" Type="http://schemas.openxmlformats.org/officeDocument/2006/relationships/comments" Target="../comments54.xml"/><Relationship Id="rId1" Type="http://schemas.openxmlformats.org/officeDocument/2006/relationships/vmlDrawing" Target="../drawings/vmlDrawing54.vml"/></Relationships>
</file>

<file path=xl/worksheets/_rels/sheet55.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0.v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61.xml"/><Relationship Id="rId2" Type="http://schemas.openxmlformats.org/officeDocument/2006/relationships/vmlDrawing" Target="../drawings/vmlDrawing61.v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62.xml"/><Relationship Id="rId2" Type="http://schemas.openxmlformats.org/officeDocument/2006/relationships/vmlDrawing" Target="../drawings/vmlDrawing62.v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63.xml"/><Relationship Id="rId2" Type="http://schemas.openxmlformats.org/officeDocument/2006/relationships/vmlDrawing" Target="../drawings/vmlDrawing63.vml"/><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193"/>
  <sheetViews>
    <sheetView tabSelected="1" zoomScaleNormal="100" workbookViewId="0">
      <pane ySplit="2" topLeftCell="A3" activePane="bottomLeft" state="frozen"/>
      <selection pane="bottomLeft"/>
    </sheetView>
  </sheetViews>
  <sheetFormatPr defaultRowHeight="14.4" x14ac:dyDescent="0.3"/>
  <cols>
    <col min="1" max="1" width="2.21875" customWidth="1"/>
    <col min="2" max="2" width="45.21875" customWidth="1"/>
    <col min="3" max="3" width="163.44140625" customWidth="1"/>
    <col min="4" max="4" width="15.5546875" customWidth="1"/>
    <col min="5" max="7" width="9.44140625" customWidth="1"/>
    <col min="8" max="8" width="5" customWidth="1"/>
    <col min="9" max="9" width="9.21875" customWidth="1"/>
    <col min="10" max="12" width="11.21875" customWidth="1"/>
    <col min="24" max="24" width="9.21875" customWidth="1"/>
    <col min="26" max="26" width="29" bestFit="1" customWidth="1"/>
    <col min="27" max="27" width="39.21875" bestFit="1" customWidth="1"/>
    <col min="28" max="28" width="14.77734375" bestFit="1" customWidth="1"/>
    <col min="29" max="29" width="38" bestFit="1" customWidth="1"/>
    <col min="30" max="30" width="39.21875" bestFit="1" customWidth="1"/>
    <col min="31" max="31" width="22.21875" bestFit="1" customWidth="1"/>
    <col min="32" max="32" width="21.44140625" customWidth="1"/>
    <col min="33" max="33" width="23.5546875" bestFit="1" customWidth="1"/>
    <col min="34" max="34" width="28.5546875" bestFit="1" customWidth="1"/>
    <col min="35" max="35" width="21.21875" bestFit="1" customWidth="1"/>
  </cols>
  <sheetData>
    <row r="1" spans="1:35" ht="34.5" customHeight="1" x14ac:dyDescent="0.3">
      <c r="A1" s="17"/>
      <c r="B1" s="473" t="e" vm="1">
        <v>#VALUE!</v>
      </c>
      <c r="C1" s="29" t="s">
        <v>413</v>
      </c>
      <c r="D1" s="29"/>
      <c r="E1" s="29"/>
      <c r="F1" s="29"/>
      <c r="G1" s="29"/>
      <c r="H1" s="19"/>
    </row>
    <row r="2" spans="1:35" ht="15" thickBot="1" x14ac:dyDescent="0.35">
      <c r="A2" s="18"/>
      <c r="B2" s="145" t="s">
        <v>0</v>
      </c>
      <c r="C2" s="145" t="s">
        <v>1</v>
      </c>
      <c r="D2" s="145" t="s">
        <v>412</v>
      </c>
      <c r="E2" s="343" t="s">
        <v>1826</v>
      </c>
      <c r="F2" s="343" t="s">
        <v>2266</v>
      </c>
      <c r="G2" s="343" t="s">
        <v>1827</v>
      </c>
      <c r="H2" s="20"/>
      <c r="Z2" s="475" t="s">
        <v>1578</v>
      </c>
      <c r="AA2" s="475"/>
      <c r="AB2" s="475"/>
      <c r="AC2" s="475"/>
      <c r="AD2" s="475"/>
      <c r="AE2" s="475"/>
      <c r="AF2" s="476"/>
      <c r="AG2" s="476"/>
      <c r="AH2" s="476"/>
      <c r="AI2" s="476"/>
    </row>
    <row r="3" spans="1:35" x14ac:dyDescent="0.3">
      <c r="A3" s="18"/>
      <c r="B3" s="480" t="s">
        <v>1410</v>
      </c>
      <c r="C3" s="481"/>
      <c r="D3" s="481"/>
      <c r="E3" s="481"/>
      <c r="F3" s="481"/>
      <c r="G3" s="482"/>
      <c r="H3" s="20"/>
      <c r="Z3" s="277" t="s">
        <v>1574</v>
      </c>
      <c r="AA3" s="277" t="s">
        <v>1576</v>
      </c>
      <c r="AB3" s="277" t="s">
        <v>1588</v>
      </c>
      <c r="AC3" s="277" t="s">
        <v>1575</v>
      </c>
      <c r="AD3" s="277" t="s">
        <v>1577</v>
      </c>
      <c r="AE3" s="280" t="s">
        <v>1589</v>
      </c>
      <c r="AF3" s="282" t="s">
        <v>1579</v>
      </c>
      <c r="AG3" s="283" t="s">
        <v>1590</v>
      </c>
      <c r="AH3" s="283" t="s">
        <v>1591</v>
      </c>
      <c r="AI3" s="284" t="s">
        <v>1592</v>
      </c>
    </row>
    <row r="4" spans="1:35" x14ac:dyDescent="0.3">
      <c r="A4" s="18"/>
      <c r="B4" s="347" t="s">
        <v>3145</v>
      </c>
      <c r="C4" s="348" t="s">
        <v>3813</v>
      </c>
      <c r="D4" s="347" t="s">
        <v>411</v>
      </c>
      <c r="E4" s="349" t="s">
        <v>71</v>
      </c>
      <c r="F4" s="349"/>
      <c r="G4" s="314" t="s">
        <v>1786</v>
      </c>
      <c r="H4" s="20"/>
      <c r="Z4" s="276" t="str">
        <f t="array" ref="Z4:Z193">_xll.U.PAD(_xll.U.SUBRANGE(_xll.U.SPLIT(B4:D211,{"U.","("}),,2))</f>
        <v>PUBLISH</v>
      </c>
      <c r="AA4" s="276" t="str" cm="1">
        <f t="array" ref="AA4">IF(Z4="","",_xll.U.RANGE_REF(Z4,TRUE))</f>
        <v>[REF]{{34856#2238120306000!R9C6}}</v>
      </c>
      <c r="AB4" s="276" t="str" cm="1">
        <f t="array" ref="AB4">_xll.U.SET_CLICKVALS("methods_nav",B4:B217,AA4:AA189,{-1,FALSE})</f>
        <v>methods_nav</v>
      </c>
      <c r="AC4" s="276" t="str">
        <f>IF(Z4="","",Z4&amp;"_PARAMS")</f>
        <v>PUBLISH_PARAMS</v>
      </c>
      <c r="AD4" s="276" t="str" cm="1">
        <f t="array" ref="AD4">IF(AC4="","",_xll.U.RANGE_REF(AC4,TRUE))</f>
        <v>[REF]{{34856#2238120306000!R3C17:R26C26}}</v>
      </c>
      <c r="AE4" s="281" t="str" cm="1">
        <f t="array" ref="AE4">_xll.U.SET_CLICKVALS("params_nav",D4:D217,AD4:AD189,{TRUE,FALSE})</f>
        <v>params_nav</v>
      </c>
      <c r="AF4" s="285" t="str">
        <f t="array" ref="AF4:AF193">_xll.U.PAD(_xll.U.WORKSHEET_NAME("*"))</f>
        <v>Index</v>
      </c>
      <c r="AG4" s="279"/>
      <c r="AH4" s="279"/>
      <c r="AI4" s="286" t="str" cm="1">
        <f t="array" ref="AI4">_xll.U.SET_CLICKVALS("back_nav",AH5:AH189,_xll.U.RANGE_REF($A$1),,,,"ALL")</f>
        <v>back_nav</v>
      </c>
    </row>
    <row r="5" spans="1:35" x14ac:dyDescent="0.3">
      <c r="A5" s="18"/>
      <c r="B5" s="278" t="s">
        <v>3146</v>
      </c>
      <c r="C5" s="1" t="s">
        <v>3814</v>
      </c>
      <c r="D5" s="278" t="s">
        <v>411</v>
      </c>
      <c r="E5" s="314" t="s">
        <v>1786</v>
      </c>
      <c r="F5" s="314" t="s">
        <v>71</v>
      </c>
      <c r="G5" s="314" t="s">
        <v>71</v>
      </c>
      <c r="H5" s="20"/>
      <c r="Z5" s="276" t="str">
        <v>SUBSCRIBE</v>
      </c>
      <c r="AA5" s="276" t="str" cm="1">
        <f t="array" ref="AA5">IF(Z5="","",_xll.U.RANGE_REF(Z5,TRUE))</f>
        <v>[REF]{{34856#2238118159472!R10C3}}</v>
      </c>
      <c r="AB5" s="276"/>
      <c r="AC5" s="276" t="str">
        <f t="shared" ref="AC5:AC68" si="0">IF(Z5="","",Z5&amp;"_PARAMS")</f>
        <v>SUBSCRIBE_PARAMS</v>
      </c>
      <c r="AD5" s="276" t="str" cm="1">
        <f t="array" ref="AD5">IF(AC5="","",_xll.U.RANGE_REF(AC5,TRUE))</f>
        <v>[REF]{{34856#2238118159472!R3C17:R23C26}}</v>
      </c>
      <c r="AE5" s="281"/>
      <c r="AF5" s="287" t="str">
        <v>PUBLISH</v>
      </c>
      <c r="AG5" s="276" t="str">
        <f>IF(AF5="","",AF5&amp;"!A1")</f>
        <v>PUBLISH!A1</v>
      </c>
      <c r="AH5" s="276" t="str" cm="1">
        <f t="array" ref="AH5">IF(AG5="","",_xll.U.RANGE_REF(AG5,TRUE))</f>
        <v>[REF]{{34856#2238120306000!R1C1}}</v>
      </c>
      <c r="AI5" s="291"/>
    </row>
    <row r="6" spans="1:35" x14ac:dyDescent="0.3">
      <c r="A6" s="18"/>
      <c r="B6" s="278" t="s">
        <v>3147</v>
      </c>
      <c r="C6" s="1" t="s">
        <v>1412</v>
      </c>
      <c r="D6" s="278" t="s">
        <v>411</v>
      </c>
      <c r="E6" s="314" t="s">
        <v>71</v>
      </c>
      <c r="F6" s="314" t="s">
        <v>71</v>
      </c>
      <c r="G6" s="314" t="s">
        <v>71</v>
      </c>
      <c r="H6" s="20"/>
      <c r="Z6" s="276" t="str">
        <v>GET</v>
      </c>
      <c r="AA6" s="276" t="str" cm="1">
        <f t="array" ref="AA6">IF(Z6="","",_xll.U.RANGE_REF(Z6,TRUE))</f>
        <v>[REF]{{34856#2238118159472!R15C2:R17C3}}</v>
      </c>
      <c r="AB6" s="276"/>
      <c r="AC6" s="276" t="str">
        <f t="shared" si="0"/>
        <v>GET_PARAMS</v>
      </c>
      <c r="AD6" s="276" t="str" cm="1">
        <f t="array" ref="AD6">IF(AC6="","",_xll.U.RANGE_REF(AC6,TRUE))</f>
        <v>[REF]{{34856#2238118159472!R26C17:R46C26}}</v>
      </c>
      <c r="AE6" s="281"/>
      <c r="AF6" s="287" t="str">
        <v>GET</v>
      </c>
      <c r="AG6" s="276" t="str">
        <f t="shared" ref="AG6:AG69" si="1">IF(AF6="","",AF6&amp;"!A1")</f>
        <v>GET!A1</v>
      </c>
      <c r="AH6" s="276" t="str" cm="1">
        <f t="array" ref="AH6">IF(AG6="","",_xll.U.RANGE_REF(AG6,TRUE))</f>
        <v>[REF]{{34856#2238118159472!R1C1}}</v>
      </c>
      <c r="AI6" s="288"/>
    </row>
    <row r="7" spans="1:35" x14ac:dyDescent="0.3">
      <c r="A7" s="18"/>
      <c r="B7" s="278" t="s">
        <v>3149</v>
      </c>
      <c r="C7" s="1" t="s">
        <v>1411</v>
      </c>
      <c r="D7" s="278" t="s">
        <v>411</v>
      </c>
      <c r="E7" s="314" t="s">
        <v>71</v>
      </c>
      <c r="F7" s="314" t="s">
        <v>71</v>
      </c>
      <c r="G7" s="314" t="s">
        <v>71</v>
      </c>
      <c r="H7" s="20"/>
      <c r="Z7" s="276" t="str">
        <v>GET_METADATA</v>
      </c>
      <c r="AA7" s="276" t="str" cm="1">
        <f t="array" ref="AA7">IF(Z7="","",_xll.U.RANGE_REF(Z7,TRUE))</f>
        <v>[REF]{{34856#2238118159472!R115C2:R130C4}}</v>
      </c>
      <c r="AB7" s="276"/>
      <c r="AC7" s="276" t="str">
        <f t="shared" si="0"/>
        <v>GET_METADATA_PARAMS</v>
      </c>
      <c r="AD7" s="276" t="str" cm="1">
        <f t="array" ref="AD7">IF(AC7="","",_xll.U.RANGE_REF(AC7,TRUE))</f>
        <v>[REF]{{34856#2238118159472!R95C17:R118C26}}</v>
      </c>
      <c r="AE7" s="281"/>
      <c r="AF7" s="287" t="str">
        <v>EVENT</v>
      </c>
      <c r="AG7" s="276" t="str">
        <f t="shared" si="1"/>
        <v>EVENT!A1</v>
      </c>
      <c r="AH7" s="276" t="str" cm="1">
        <f t="array" ref="AH7">IF(AG7="","",_xll.U.RANGE_REF(AG7,TRUE))</f>
        <v>[REF]{{34856#2238113901360!R1C1}}</v>
      </c>
      <c r="AI7" s="288"/>
    </row>
    <row r="8" spans="1:35" x14ac:dyDescent="0.3">
      <c r="A8" s="18"/>
      <c r="B8" s="278" t="s">
        <v>3150</v>
      </c>
      <c r="C8" s="1" t="s">
        <v>3798</v>
      </c>
      <c r="D8" s="278" t="s">
        <v>411</v>
      </c>
      <c r="E8" s="314" t="s">
        <v>1786</v>
      </c>
      <c r="F8" s="314" t="s">
        <v>71</v>
      </c>
      <c r="G8" s="314" t="s">
        <v>71</v>
      </c>
      <c r="H8" s="20"/>
      <c r="Z8" s="276" t="str">
        <v>TWO_WAY_DATA</v>
      </c>
      <c r="AA8" s="276" t="str" cm="1">
        <f t="array" ref="AA8">IF(Z8="","",_xll.U.RANGE_REF(Z8,TRUE))</f>
        <v>[REF]{{34856#2238120306000!R100C3}}</v>
      </c>
      <c r="AB8" s="276"/>
      <c r="AC8" s="276" t="str">
        <f t="shared" si="0"/>
        <v>TWO_WAY_DATA_PARAMS</v>
      </c>
      <c r="AD8" s="276" t="str" cm="1">
        <f t="array" ref="AD8">IF(AC8="","",_xll.U.RANGE_REF(AC8,TRUE))</f>
        <v>[REF]{{34856#2238120306000!R71C17:R100C26}}</v>
      </c>
      <c r="AE8" s="281"/>
      <c r="AF8" s="287" t="str">
        <v>NOTIFICATION</v>
      </c>
      <c r="AG8" s="276" t="str">
        <f t="shared" si="1"/>
        <v>NOTIFICATION!A1</v>
      </c>
      <c r="AH8" s="276" t="str" cm="1">
        <f t="array" ref="AH8">IF(AG8="","",_xll.U.RANGE_REF(AG8,TRUE))</f>
        <v>[REF]{{34856#2238123134864!R1C1}}</v>
      </c>
      <c r="AI8" s="288"/>
    </row>
    <row r="9" spans="1:35" x14ac:dyDescent="0.3">
      <c r="A9" s="18"/>
      <c r="B9" s="477" t="s">
        <v>3799</v>
      </c>
      <c r="C9" s="478"/>
      <c r="D9" s="478"/>
      <c r="E9" s="478"/>
      <c r="F9" s="478"/>
      <c r="G9" s="479"/>
      <c r="H9" s="20"/>
      <c r="Z9" s="276" t="str">
        <v/>
      </c>
      <c r="AA9" s="276" t="str" cm="1">
        <f t="array" ref="AA9">IF(Z9="","",_xll.U.RANGE_REF(Z9,TRUE))</f>
        <v/>
      </c>
      <c r="AB9" s="276"/>
      <c r="AC9" s="276" t="str">
        <f t="shared" si="0"/>
        <v/>
      </c>
      <c r="AD9" s="276" t="str" cm="1">
        <f t="array" ref="AD9">IF(AC9="","",_xll.U.RANGE_REF(AC9,TRUE))</f>
        <v/>
      </c>
      <c r="AE9" s="281"/>
      <c r="AF9" s="287" t="str">
        <v>AGGREGATE</v>
      </c>
      <c r="AG9" s="276" t="str">
        <f t="shared" si="1"/>
        <v>AGGREGATE!A1</v>
      </c>
      <c r="AH9" s="276" t="str" cm="1">
        <f t="array" ref="AH9">IF(AG9="","",_xll.U.RANGE_REF(AG9,TRUE))</f>
        <v>[REF]{{34856#2238121636256!R1C1}}</v>
      </c>
      <c r="AI9" s="288"/>
    </row>
    <row r="10" spans="1:35" x14ac:dyDescent="0.3">
      <c r="A10" s="18"/>
      <c r="B10" s="347" t="s">
        <v>3152</v>
      </c>
      <c r="C10" s="348" t="s">
        <v>926</v>
      </c>
      <c r="D10" s="347" t="s">
        <v>411</v>
      </c>
      <c r="E10" s="349" t="s">
        <v>71</v>
      </c>
      <c r="F10" s="314" t="s">
        <v>71</v>
      </c>
      <c r="G10" s="314"/>
      <c r="H10" s="20"/>
      <c r="Z10" s="276" t="str">
        <v>INCLUDE_HTML</v>
      </c>
      <c r="AA10" s="276" t="str" cm="1">
        <f t="array" ref="AA10">IF(Z10="","",_xll.U.RANGE_REF(Z10,TRUE))</f>
        <v>[REF]{{34856#2238120306000!R68C6}}</v>
      </c>
      <c r="AB10" s="276"/>
      <c r="AC10" s="276" t="str">
        <f t="shared" si="0"/>
        <v>INCLUDE_HTML_PARAMS</v>
      </c>
      <c r="AD10" s="276" t="str" cm="1">
        <f t="array" ref="AD10">IF(AC10="","",_xll.U.RANGE_REF(AC10,TRUE))</f>
        <v>[REF]{{34856#2238120306000!R43C17:R54C26}}</v>
      </c>
      <c r="AE10" s="281"/>
      <c r="AF10" s="287" t="str">
        <v>APPEND</v>
      </c>
      <c r="AG10" s="276" t="str">
        <f t="shared" si="1"/>
        <v>APPEND!A1</v>
      </c>
      <c r="AH10" s="276" t="str" cm="1">
        <f t="array" ref="AH10">IF(AG10="","",_xll.U.RANGE_REF(AG10,TRUE))</f>
        <v>[REF]{{34856#2238116407088!R1C1}}</v>
      </c>
      <c r="AI10" s="288"/>
    </row>
    <row r="11" spans="1:35" x14ac:dyDescent="0.3">
      <c r="A11" s="18"/>
      <c r="B11" s="278" t="s">
        <v>3153</v>
      </c>
      <c r="C11" s="1" t="s">
        <v>3800</v>
      </c>
      <c r="D11" s="278" t="s">
        <v>411</v>
      </c>
      <c r="E11" s="314" t="s">
        <v>71</v>
      </c>
      <c r="F11" s="314" t="s">
        <v>71</v>
      </c>
      <c r="G11" s="314"/>
      <c r="H11" s="20"/>
      <c r="Z11" s="276" t="str">
        <v>HAS_WEB_CONTROLS</v>
      </c>
      <c r="AA11" s="276" t="str" cm="1">
        <f t="array" ref="AA11">IF(Z11="","",_xll.U.RANGE_REF(Z11,TRUE))</f>
        <v>[REF]{{34856#2238120306000!R291C2}}</v>
      </c>
      <c r="AB11" s="276"/>
      <c r="AC11" s="276" t="str">
        <f t="shared" si="0"/>
        <v>HAS_WEB_CONTROLS_PARAMS</v>
      </c>
      <c r="AD11" s="276" t="str" cm="1">
        <f t="array" ref="AD11">IF(AC11="","",_xll.U.RANGE_REF(AC11,TRUE))</f>
        <v>[REF]{{34856#2238120306000!R178C17:R189C26}}</v>
      </c>
      <c r="AE11" s="281"/>
      <c r="AF11" s="287" t="str">
        <v>FILTER</v>
      </c>
      <c r="AG11" s="276" t="str">
        <f t="shared" si="1"/>
        <v>FILTER!A1</v>
      </c>
      <c r="AH11" s="276" t="str" cm="1">
        <f t="array" ref="AH11">IF(AG11="","",_xll.U.RANGE_REF(AG11,TRUE))</f>
        <v>[REF]{{34856#2238116131984!R1C1}}</v>
      </c>
      <c r="AI11" s="288"/>
    </row>
    <row r="12" spans="1:35" x14ac:dyDescent="0.3">
      <c r="A12" s="18"/>
      <c r="B12" s="278" t="s">
        <v>3154</v>
      </c>
      <c r="C12" s="1" t="s">
        <v>927</v>
      </c>
      <c r="D12" s="278" t="s">
        <v>411</v>
      </c>
      <c r="E12" s="314" t="s">
        <v>71</v>
      </c>
      <c r="F12" s="314" t="s">
        <v>1786</v>
      </c>
      <c r="G12" s="314"/>
      <c r="H12" s="20"/>
      <c r="Z12" s="276" t="str">
        <v>WEB_CONTROL.CHECKBOX</v>
      </c>
      <c r="AA12" s="276" t="str" cm="1">
        <f t="array" ref="AA12">IF(Z12="","",_xll.U.RANGE_REF(Z12,TRUE))</f>
        <v>[REF]{{34856#2238120306000!R312C4}}</v>
      </c>
      <c r="AB12" s="276"/>
      <c r="AC12" s="276" t="str">
        <f t="shared" si="0"/>
        <v>WEB_CONTROL.CHECKBOX_PARAMS</v>
      </c>
      <c r="AD12" s="276" t="str" cm="1">
        <f t="array" ref="AD12">IF(AC12="","",_xll.U.RANGE_REF(AC12,TRUE))</f>
        <v>[REF]{{34856#2238120306000!R192C17:R206C26}}</v>
      </c>
      <c r="AE12" s="281"/>
      <c r="AF12" s="287" t="str">
        <v>LOOKUP</v>
      </c>
      <c r="AG12" s="276" t="str">
        <f t="shared" si="1"/>
        <v>LOOKUP!A1</v>
      </c>
      <c r="AH12" s="276" t="str" cm="1">
        <f t="array" ref="AH12">IF(AG12="","",_xll.U.RANGE_REF(AG12,TRUE))</f>
        <v>[REF]{{34856#2238113323168!R1C1}}</v>
      </c>
      <c r="AI12" s="288"/>
    </row>
    <row r="13" spans="1:35" x14ac:dyDescent="0.3">
      <c r="A13" s="18"/>
      <c r="B13" s="278" t="s">
        <v>3155</v>
      </c>
      <c r="C13" s="1" t="s">
        <v>928</v>
      </c>
      <c r="D13" s="278" t="s">
        <v>411</v>
      </c>
      <c r="E13" s="314" t="s">
        <v>71</v>
      </c>
      <c r="F13" s="314" t="s">
        <v>1786</v>
      </c>
      <c r="G13" s="314"/>
      <c r="H13" s="20"/>
      <c r="Z13" s="276" t="str">
        <v>WEB_CONTROL.TEXTAREA</v>
      </c>
      <c r="AA13" s="276" t="str" cm="1">
        <f t="array" ref="AA13">IF(Z13="","",_xll.U.RANGE_REF(Z13,TRUE))</f>
        <v>[REF]{{34856#2238120306000!R379C3}}</v>
      </c>
      <c r="AB13" s="276"/>
      <c r="AC13" s="276" t="str">
        <f t="shared" si="0"/>
        <v>WEB_CONTROL.TEXTAREA_PARAMS</v>
      </c>
      <c r="AD13" s="276" t="str" cm="1">
        <f t="array" ref="AD13">IF(AC13="","",_xll.U.RANGE_REF(AC13,TRUE))</f>
        <v>[REF]{{34856#2238120306000!R209C17:R223C26}}</v>
      </c>
      <c r="AE13" s="281"/>
      <c r="AF13" s="287" t="str">
        <v>SORT</v>
      </c>
      <c r="AG13" s="276" t="str">
        <f t="shared" si="1"/>
        <v>SORT!A1</v>
      </c>
      <c r="AH13" s="276" t="str" cm="1">
        <f t="array" ref="AH13">IF(AG13="","",_xll.U.RANGE_REF(AG13,TRUE))</f>
        <v>[REF]{{34856#2238117867360!R1C1}}</v>
      </c>
      <c r="AI13" s="288"/>
    </row>
    <row r="14" spans="1:35" x14ac:dyDescent="0.3">
      <c r="A14" s="18"/>
      <c r="B14" s="278" t="s">
        <v>3156</v>
      </c>
      <c r="C14" s="1" t="s">
        <v>1251</v>
      </c>
      <c r="D14" s="278" t="s">
        <v>411</v>
      </c>
      <c r="E14" s="314" t="s">
        <v>71</v>
      </c>
      <c r="F14" s="314" t="s">
        <v>1786</v>
      </c>
      <c r="G14" s="314"/>
      <c r="H14" s="20"/>
      <c r="Z14" s="276" t="str">
        <v>WEB_CONTROL.BUTTON</v>
      </c>
      <c r="AA14" s="276" t="str" cm="1">
        <f t="array" ref="AA14">IF(Z14="","",_xll.U.RANGE_REF(Z14,TRUE))</f>
        <v>[REF]{{34856#2238120306000!R401C3}}</v>
      </c>
      <c r="AB14" s="276"/>
      <c r="AC14" s="276" t="str">
        <f t="shared" si="0"/>
        <v>WEB_CONTROL.BUTTON_PARAMS</v>
      </c>
      <c r="AD14" s="276" t="str" cm="1">
        <f t="array" ref="AD14">IF(AC14="","",_xll.U.RANGE_REF(AC14,TRUE))</f>
        <v>[REF]{{34856#2238120306000!R226C17:R240C26}}</v>
      </c>
      <c r="AE14" s="281"/>
      <c r="AF14" s="287" t="str">
        <v>UNIQUE</v>
      </c>
      <c r="AG14" s="276" t="str">
        <f t="shared" si="1"/>
        <v>UNIQUE!A1</v>
      </c>
      <c r="AH14" s="276" t="str" cm="1">
        <f t="array" ref="AH14">IF(AG14="","",_xll.U.RANGE_REF(AG14,TRUE))</f>
        <v>[REF]{{34856#2238116439920!R1C1}}</v>
      </c>
      <c r="AI14" s="288"/>
    </row>
    <row r="15" spans="1:35" x14ac:dyDescent="0.3">
      <c r="A15" s="18"/>
      <c r="B15" s="278" t="s">
        <v>3157</v>
      </c>
      <c r="C15" s="1" t="s">
        <v>1252</v>
      </c>
      <c r="D15" s="278" t="s">
        <v>411</v>
      </c>
      <c r="E15" s="314" t="s">
        <v>71</v>
      </c>
      <c r="F15" s="314" t="s">
        <v>1786</v>
      </c>
      <c r="G15" s="314"/>
      <c r="H15" s="20"/>
      <c r="Z15" s="276" t="str">
        <v>WEB_CONTROL.DROPDOWN</v>
      </c>
      <c r="AA15" s="276" t="str" cm="1">
        <f t="array" ref="AA15">IF(Z15="","",_xll.U.RANGE_REF(Z15,TRUE))</f>
        <v>[REF]{{34856#2238120306000!R411C3}}</v>
      </c>
      <c r="AB15" s="276"/>
      <c r="AC15" s="276" t="str">
        <f t="shared" si="0"/>
        <v>WEB_CONTROL.DROPDOWN_PARAMS</v>
      </c>
      <c r="AD15" s="276" t="str" cm="1">
        <f t="array" ref="AD15">IF(AC15="","",_xll.U.RANGE_REF(AC15,TRUE))</f>
        <v>[REF]{{34856#2238120306000!R243C17:R260C26}}</v>
      </c>
      <c r="AE15" s="281"/>
      <c r="AF15" s="287" t="str">
        <v>REPLACE</v>
      </c>
      <c r="AG15" s="276" t="str">
        <f t="shared" si="1"/>
        <v>REPLACE!A1</v>
      </c>
      <c r="AH15" s="276" t="str" cm="1">
        <f t="array" ref="AH15">IF(AG15="","",_xll.U.RANGE_REF(AG15,TRUE))</f>
        <v>[REF]{{34856#2238098038048!R1C1}}</v>
      </c>
      <c r="AI15" s="288"/>
    </row>
    <row r="16" spans="1:35" x14ac:dyDescent="0.3">
      <c r="A16" s="18"/>
      <c r="B16" s="278" t="s">
        <v>3158</v>
      </c>
      <c r="C16" s="1" t="s">
        <v>1253</v>
      </c>
      <c r="D16" s="278" t="s">
        <v>411</v>
      </c>
      <c r="E16" s="314" t="s">
        <v>71</v>
      </c>
      <c r="F16" s="314" t="s">
        <v>1786</v>
      </c>
      <c r="G16" s="314"/>
      <c r="H16" s="20"/>
      <c r="Z16" s="276" t="str">
        <v>WEB_CONTROL.DATEPICKER</v>
      </c>
      <c r="AA16" s="276" t="str" cm="1">
        <f t="array" ref="AA16">IF(Z16="","",_xll.U.RANGE_REF(Z16,TRUE))</f>
        <v>[REF]{{34856#2238120306000!R425C3}}</v>
      </c>
      <c r="AB16" s="276"/>
      <c r="AC16" s="276" t="str">
        <f t="shared" si="0"/>
        <v>WEB_CONTROL.DATEPICKER_PARAMS</v>
      </c>
      <c r="AD16" s="276" t="str" cm="1">
        <f t="array" ref="AD16">IF(AC16="","",_xll.U.RANGE_REF(AC16,TRUE))</f>
        <v>[REF]{{34856#2238120306000!R263C17:R277C26}}</v>
      </c>
      <c r="AE16" s="281"/>
      <c r="AF16" s="287" t="str">
        <v>CONVERT</v>
      </c>
      <c r="AG16" s="276" t="str">
        <f t="shared" si="1"/>
        <v>CONVERT!A1</v>
      </c>
      <c r="AH16" s="276" t="str" cm="1">
        <f t="array" ref="AH16">IF(AG16="","",_xll.U.RANGE_REF(AG16,TRUE))</f>
        <v>[REF]{{34856#2238118522976!R1C1}}</v>
      </c>
      <c r="AI16" s="288"/>
    </row>
    <row r="17" spans="1:35" x14ac:dyDescent="0.3">
      <c r="A17" s="18"/>
      <c r="B17" s="278" t="s">
        <v>3645</v>
      </c>
      <c r="C17" s="1" t="s">
        <v>3647</v>
      </c>
      <c r="D17" s="278" t="s">
        <v>411</v>
      </c>
      <c r="E17" s="314" t="s">
        <v>71</v>
      </c>
      <c r="F17" s="314" t="s">
        <v>1786</v>
      </c>
      <c r="G17" s="314"/>
      <c r="H17" s="20"/>
      <c r="Z17" s="276" t="str">
        <v>WEB_CONTROL.HYPERLINK</v>
      </c>
      <c r="AA17" s="276" t="str" cm="1">
        <f t="array" ref="AA17">IF(Z17="","",_xll.U.RANGE_REF(Z17,TRUE))</f>
        <v>[REF]{{34856#2238120306000!R433C3}}</v>
      </c>
      <c r="AB17" s="276"/>
      <c r="AC17" s="276" t="str">
        <f t="shared" si="0"/>
        <v>WEB_CONTROL.HYPERLINK_PARAMS</v>
      </c>
      <c r="AD17" s="276" t="str" cm="1">
        <f t="array" ref="AD17">IF(AC17="","",_xll.U.RANGE_REF(AC17,TRUE))</f>
        <v>[REF]{{34856#2238120306000!R280C17:R294C26}}</v>
      </c>
      <c r="AE17" s="281"/>
      <c r="AF17" s="287" t="str">
        <v>SUBRANGE</v>
      </c>
      <c r="AG17" s="276" t="str">
        <f t="shared" si="1"/>
        <v>SUBRANGE!A1</v>
      </c>
      <c r="AH17" s="276" t="str" cm="1">
        <f t="array" ref="AH17">IF(AG17="","",_xll.U.RANGE_REF(AG17,TRUE))</f>
        <v>[REF]{{34856#2238106958512!R1C1}}</v>
      </c>
      <c r="AI17" s="288"/>
    </row>
    <row r="18" spans="1:35" x14ac:dyDescent="0.3">
      <c r="A18" s="18"/>
      <c r="B18" s="278" t="s">
        <v>3646</v>
      </c>
      <c r="C18" s="1" t="s">
        <v>3648</v>
      </c>
      <c r="D18" s="278" t="s">
        <v>411</v>
      </c>
      <c r="E18" s="314" t="s">
        <v>71</v>
      </c>
      <c r="F18" s="314" t="s">
        <v>1786</v>
      </c>
      <c r="G18" s="314"/>
      <c r="H18" s="20"/>
      <c r="Z18" s="276" t="str">
        <v>WEB_CONTROL.TOOLTIP</v>
      </c>
      <c r="AA18" s="276" t="str" cm="1">
        <f t="array" ref="AA18">IF(Z18="","",_xll.U.RANGE_REF(Z18,TRUE))</f>
        <v>[REF]{{34856#2238120306000!R443C3}}</v>
      </c>
      <c r="AB18" s="276"/>
      <c r="AC18" s="276" t="str">
        <f t="shared" si="0"/>
        <v>WEB_CONTROL.TOOLTIP_PARAMS</v>
      </c>
      <c r="AD18" s="276" t="str" cm="1">
        <f t="array" ref="AD18">IF(AC18="","",_xll.U.RANGE_REF(AC18,TRUE))</f>
        <v>[REF]{{34856#2238120306000!R297C17:R311C26}}</v>
      </c>
      <c r="AE18" s="281"/>
      <c r="AF18" s="287" t="str">
        <v>OFFSET</v>
      </c>
      <c r="AG18" s="276" t="str">
        <f t="shared" si="1"/>
        <v>OFFSET!A1</v>
      </c>
      <c r="AH18" s="276" t="str" cm="1">
        <f t="array" ref="AH18">IF(AG18="","",_xll.U.RANGE_REF(AG18,TRUE))</f>
        <v>[REF]{{34856#2238110031616!R1C1}}</v>
      </c>
      <c r="AI18" s="288"/>
    </row>
    <row r="19" spans="1:35" x14ac:dyDescent="0.3">
      <c r="A19" s="18"/>
      <c r="B19" s="278" t="s">
        <v>3159</v>
      </c>
      <c r="C19" s="1" t="s">
        <v>951</v>
      </c>
      <c r="D19" s="278" t="s">
        <v>411</v>
      </c>
      <c r="E19" s="314" t="s">
        <v>71</v>
      </c>
      <c r="F19" s="314" t="s">
        <v>71</v>
      </c>
      <c r="G19" s="314"/>
      <c r="H19" s="20"/>
      <c r="Z19" s="276" t="str">
        <v>WEB_CONTROL_LOCATION</v>
      </c>
      <c r="AA19" s="276" t="str" cm="1">
        <f t="array" ref="AA19">IF(Z19="","",_xll.U.RANGE_REF(Z19,TRUE))</f>
        <v>[REF]{{34856#2238120306000!R333C6}}</v>
      </c>
      <c r="AB19" s="276"/>
      <c r="AC19" s="276" t="str">
        <f t="shared" si="0"/>
        <v>WEB_CONTROL_LOCATION_PARAMS</v>
      </c>
      <c r="AD19" s="276" t="str" cm="1">
        <f t="array" ref="AD19">IF(AC19="","",_xll.U.RANGE_REF(AC19,TRUE))</f>
        <v>[REF]{{34856#2238120306000!R314C17:R325C26}}</v>
      </c>
      <c r="AE19" s="281"/>
      <c r="AF19" s="287" t="str">
        <v>REGION</v>
      </c>
      <c r="AG19" s="276" t="str">
        <f t="shared" si="1"/>
        <v>REGION!A1</v>
      </c>
      <c r="AH19" s="276" t="str" cm="1">
        <f t="array" ref="AH19">IF(AG19="","",_xll.U.RANGE_REF(AG19,TRUE))</f>
        <v>[REF]{{34856#2238110037024!R1C1}}</v>
      </c>
      <c r="AI19" s="288"/>
    </row>
    <row r="20" spans="1:35" x14ac:dyDescent="0.3">
      <c r="A20" s="18"/>
      <c r="B20" s="278" t="s">
        <v>3160</v>
      </c>
      <c r="C20" s="1" t="s">
        <v>954</v>
      </c>
      <c r="D20" s="278" t="s">
        <v>411</v>
      </c>
      <c r="E20" s="314" t="s">
        <v>71</v>
      </c>
      <c r="F20" s="314" t="s">
        <v>71</v>
      </c>
      <c r="G20" s="314"/>
      <c r="H20" s="20"/>
      <c r="Z20" s="276" t="str">
        <v>PARSE_WEB_CONTROL_VALS</v>
      </c>
      <c r="AA20" s="276" t="str" cm="1">
        <f t="array" ref="AA20">IF(Z20="","",_xll.U.RANGE_REF(Z20,TRUE))</f>
        <v>[REF]{{34856#2238120306000!R369C2:R370C3}}</v>
      </c>
      <c r="AB20" s="276"/>
      <c r="AC20" s="276" t="str">
        <f t="shared" si="0"/>
        <v>PARSE_WEB_CONTROL_VALS_PARAMS</v>
      </c>
      <c r="AD20" s="276" t="str" cm="1">
        <f t="array" ref="AD20">IF(AC20="","",_xll.U.RANGE_REF(AC20,TRUE))</f>
        <v>[REF]{{34856#2238120306000!R328C17:R336C26}}</v>
      </c>
      <c r="AE20" s="281"/>
      <c r="AF20" s="287" t="str">
        <v>RANGE_REF</v>
      </c>
      <c r="AG20" s="276" t="str">
        <f t="shared" si="1"/>
        <v>RANGE_REF!A1</v>
      </c>
      <c r="AH20" s="276" t="str" cm="1">
        <f t="array" ref="AH20">IF(AG20="","",_xll.U.RANGE_REF(AG20,TRUE))</f>
        <v>[REF]{{34856#2238110039728!R1C1}}</v>
      </c>
      <c r="AI20" s="288"/>
    </row>
    <row r="21" spans="1:35" x14ac:dyDescent="0.3">
      <c r="A21" s="18"/>
      <c r="B21" s="344" t="s">
        <v>3161</v>
      </c>
      <c r="C21" s="345" t="s">
        <v>3801</v>
      </c>
      <c r="D21" s="344" t="s">
        <v>411</v>
      </c>
      <c r="E21" s="346" t="s">
        <v>71</v>
      </c>
      <c r="F21" s="314" t="s">
        <v>71</v>
      </c>
      <c r="G21" s="314"/>
      <c r="H21" s="20"/>
      <c r="Z21" s="276" t="str">
        <v>WEB_STYLE</v>
      </c>
      <c r="AA21" s="276" t="str" cm="1">
        <f t="array" ref="AA21">IF(Z21="","",_xll.U.RANGE_REF(Z21,TRUE))</f>
        <v>[REF]{{34856#2238120306000!R249C2}}</v>
      </c>
      <c r="AB21" s="276"/>
      <c r="AC21" s="276" t="str">
        <f t="shared" si="0"/>
        <v>WEB_STYLE_PARAMS</v>
      </c>
      <c r="AD21" s="276" t="str" cm="1">
        <f t="array" ref="AD21">IF(AC21="","",_xll.U.RANGE_REF(AC21,TRUE))</f>
        <v>[REF]{{34856#2238120306000!R164C17:R175C26}}</v>
      </c>
      <c r="AE21" s="281"/>
      <c r="AF21" s="287" t="str">
        <v>GRID_TO_TABLE</v>
      </c>
      <c r="AG21" s="276" t="str">
        <f t="shared" si="1"/>
        <v>GRID_TO_TABLE!A1</v>
      </c>
      <c r="AH21" s="276" t="str" cm="1">
        <f t="array" ref="AH21">IF(AG21="","",_xll.U.RANGE_REF(AG21,TRUE))</f>
        <v>[REF]{{34856#2238110026208!R1C1}}</v>
      </c>
      <c r="AI21" s="288"/>
    </row>
    <row r="22" spans="1:35" x14ac:dyDescent="0.3">
      <c r="A22" s="18"/>
      <c r="B22" s="477" t="s">
        <v>1419</v>
      </c>
      <c r="C22" s="478"/>
      <c r="D22" s="478"/>
      <c r="E22" s="478"/>
      <c r="F22" s="478"/>
      <c r="G22" s="479"/>
      <c r="H22" s="20"/>
      <c r="Z22" s="276" t="str">
        <v/>
      </c>
      <c r="AA22" s="276" t="str" cm="1">
        <f t="array" ref="AA22">IF(Z22="","",_xll.U.RANGE_REF(Z22,TRUE))</f>
        <v/>
      </c>
      <c r="AB22" s="276"/>
      <c r="AC22" s="276" t="str">
        <f t="shared" si="0"/>
        <v/>
      </c>
      <c r="AD22" s="276" t="str" cm="1">
        <f t="array" ref="AD22">IF(AC22="","",_xll.U.RANGE_REF(AC22,TRUE))</f>
        <v/>
      </c>
      <c r="AE22" s="281"/>
      <c r="AF22" s="287" t="str">
        <v>COMBINATIONS</v>
      </c>
      <c r="AG22" s="276" t="str">
        <f t="shared" si="1"/>
        <v>COMBINATIONS!A1</v>
      </c>
      <c r="AH22" s="276" t="str" cm="1">
        <f t="array" ref="AH22">IF(AG22="","",_xll.U.RANGE_REF(AG22,TRUE))</f>
        <v>[REF]{{34856#2238110034320!R1C1}}</v>
      </c>
      <c r="AI22" s="288"/>
    </row>
    <row r="23" spans="1:35" x14ac:dyDescent="0.3">
      <c r="A23" s="18"/>
      <c r="B23" s="347" t="s">
        <v>3162</v>
      </c>
      <c r="C23" s="348" t="s">
        <v>909</v>
      </c>
      <c r="D23" s="347" t="s">
        <v>411</v>
      </c>
      <c r="E23" s="349" t="s">
        <v>71</v>
      </c>
      <c r="F23" s="314" t="s">
        <v>1786</v>
      </c>
      <c r="G23" s="314"/>
      <c r="H23" s="20"/>
      <c r="Z23" s="276" t="str">
        <v>EVENT</v>
      </c>
      <c r="AA23" s="276" t="str" cm="1">
        <f t="array" ref="AA23">IF(Z23="","",_xll.U.RANGE_REF(Z23,TRUE))</f>
        <v>[REF]{{34856#2238113901360!R6C8:R6C9}}</v>
      </c>
      <c r="AB23" s="276"/>
      <c r="AC23" s="276" t="str">
        <f t="shared" si="0"/>
        <v>EVENT_PARAMS</v>
      </c>
      <c r="AD23" s="276" t="str" cm="1">
        <f t="array" ref="AD23">IF(AC23="","",_xll.U.RANGE_REF(AC23,TRUE))</f>
        <v>[REF]{{34856#2238113901360!R3C17:R32C26}}</v>
      </c>
      <c r="AE23" s="281"/>
      <c r="AF23" s="287" t="str">
        <v>REPEAT</v>
      </c>
      <c r="AG23" s="276" t="str">
        <f t="shared" si="1"/>
        <v>REPEAT!A1</v>
      </c>
      <c r="AH23" s="276" t="str" cm="1">
        <f t="array" ref="AH23">IF(AG23="","",_xll.U.RANGE_REF(AG23,TRUE))</f>
        <v>[REF]{{34856#2238123940000!R1C1}}</v>
      </c>
      <c r="AI23" s="288"/>
    </row>
    <row r="24" spans="1:35" x14ac:dyDescent="0.3">
      <c r="A24" s="18"/>
      <c r="B24" s="278" t="s">
        <v>3163</v>
      </c>
      <c r="C24" s="1" t="s">
        <v>690</v>
      </c>
      <c r="D24" s="278" t="s">
        <v>411</v>
      </c>
      <c r="E24" s="314" t="s">
        <v>71</v>
      </c>
      <c r="F24" s="314" t="s">
        <v>1786</v>
      </c>
      <c r="G24" s="314" t="s">
        <v>1786</v>
      </c>
      <c r="H24" s="20"/>
      <c r="Z24" s="276" t="str">
        <v>SEND_EMAIL</v>
      </c>
      <c r="AA24" s="276" t="str" cm="1">
        <f t="array" ref="AA24">IF(Z24="","",_xll.U.RANGE_REF(Z24,TRUE))</f>
        <v>[REF]{{34856#2238123134864!R7C3}}</v>
      </c>
      <c r="AB24" s="276"/>
      <c r="AC24" s="276" t="str">
        <f t="shared" si="0"/>
        <v>SEND_EMAIL_PARAMS</v>
      </c>
      <c r="AD24" s="276" t="str" cm="1">
        <f t="array" ref="AD24">IF(AC24="","",_xll.U.RANGE_REF(AC24,TRUE))</f>
        <v>[REF]{{34856#2238123134864!R3C11:R38C20}}</v>
      </c>
      <c r="AE24" s="281"/>
      <c r="AF24" s="287" t="str">
        <v>INSERT</v>
      </c>
      <c r="AG24" s="276" t="str">
        <f t="shared" si="1"/>
        <v>INSERT!A1</v>
      </c>
      <c r="AH24" s="276" t="str" cm="1">
        <f t="array" ref="AH24">IF(AG24="","",_xll.U.RANGE_REF(AG24,TRUE))</f>
        <v>[REF]{{34856#2238123956224!R1C1}}</v>
      </c>
      <c r="AI24" s="288"/>
    </row>
    <row r="25" spans="1:35" x14ac:dyDescent="0.3">
      <c r="A25" s="18"/>
      <c r="B25" s="278" t="s">
        <v>3164</v>
      </c>
      <c r="C25" s="1" t="s">
        <v>3165</v>
      </c>
      <c r="D25" s="278" t="s">
        <v>411</v>
      </c>
      <c r="E25" s="314" t="s">
        <v>71</v>
      </c>
      <c r="F25" s="314" t="s">
        <v>71</v>
      </c>
      <c r="G25" s="314" t="s">
        <v>1786</v>
      </c>
      <c r="H25" s="20"/>
      <c r="Z25" s="276" t="str">
        <v>SAVE_EMAIL_CONFIG</v>
      </c>
      <c r="AA25" s="276" t="str" cm="1">
        <f t="array" ref="AA25">IF(Z25="","",_xll.U.RANGE_REF(Z25,TRUE))</f>
        <v>[REF]{{34856#2238123134864!R49C3}}</v>
      </c>
      <c r="AB25" s="276"/>
      <c r="AC25" s="276" t="str">
        <f t="shared" si="0"/>
        <v>SAVE_EMAIL_CONFIG_PARAMS</v>
      </c>
      <c r="AD25" s="276" t="str" cm="1">
        <f t="array" ref="AD25">IF(AC25="","",_xll.U.RANGE_REF(AC25,TRUE))</f>
        <v>[REF]{{34856#2238123134864!R41C11:R64C20}}</v>
      </c>
      <c r="AE25" s="281"/>
      <c r="AF25" s="287" t="str">
        <v>FILL_LABELS</v>
      </c>
      <c r="AG25" s="276" t="str">
        <f t="shared" si="1"/>
        <v>FILL_LABELS!A1</v>
      </c>
      <c r="AH25" s="276" t="str" cm="1">
        <f t="array" ref="AH25">IF(AG25="","",_xll.U.RANGE_REF(AG25,TRUE))</f>
        <v>[REF]{{34856#2238123948112!R1C1}}</v>
      </c>
      <c r="AI25" s="288"/>
    </row>
    <row r="26" spans="1:35" x14ac:dyDescent="0.3">
      <c r="A26" s="18"/>
      <c r="B26" s="278" t="s">
        <v>3166</v>
      </c>
      <c r="C26" s="1" t="s">
        <v>728</v>
      </c>
      <c r="D26" s="278" t="s">
        <v>411</v>
      </c>
      <c r="E26" s="314" t="s">
        <v>71</v>
      </c>
      <c r="F26" s="314" t="s">
        <v>71</v>
      </c>
      <c r="G26" s="314" t="s">
        <v>1786</v>
      </c>
      <c r="H26" s="20"/>
      <c r="Z26" s="276" t="str">
        <v>SEND_TEXT</v>
      </c>
      <c r="AA26" s="276" t="str" cm="1">
        <f t="array" ref="AA26">IF(Z26="","",_xll.U.RANGE_REF(Z26,TRUE))</f>
        <v>[REF]{{34856#2238123134864!R70C3}}</v>
      </c>
      <c r="AB26" s="276"/>
      <c r="AC26" s="276" t="str">
        <f t="shared" si="0"/>
        <v>SEND_TEXT_PARAMS</v>
      </c>
      <c r="AD26" s="276" t="str" cm="1">
        <f t="array" ref="AD26">IF(AC26="","",_xll.U.RANGE_REF(AC26,TRUE))</f>
        <v>[REF]{{34856#2238123134864!R67C11:R93C20}}</v>
      </c>
      <c r="AE26" s="281"/>
      <c r="AF26" s="287" t="str">
        <v>PAD</v>
      </c>
      <c r="AG26" s="276" t="str">
        <f t="shared" si="1"/>
        <v>PAD!A1</v>
      </c>
      <c r="AH26" s="276" t="str" cm="1">
        <f t="array" ref="AH26">IF(AG26="","",_xll.U.RANGE_REF(AG26,TRUE))</f>
        <v>[REF]{{34856#2238123945408!R1C1}}</v>
      </c>
      <c r="AI26" s="288"/>
    </row>
    <row r="27" spans="1:35" x14ac:dyDescent="0.3">
      <c r="A27" s="18"/>
      <c r="B27" s="278" t="s">
        <v>3167</v>
      </c>
      <c r="C27" s="1" t="s">
        <v>3168</v>
      </c>
      <c r="D27" s="278" t="s">
        <v>411</v>
      </c>
      <c r="E27" s="314" t="s">
        <v>71</v>
      </c>
      <c r="F27" s="314" t="s">
        <v>71</v>
      </c>
      <c r="G27" s="314" t="s">
        <v>1786</v>
      </c>
      <c r="H27" s="20"/>
      <c r="Z27" s="276" t="str">
        <v>SAVE_TEXT_CONFIG</v>
      </c>
      <c r="AA27" s="276" t="str" cm="1">
        <f t="array" ref="AA27">IF(Z27="","",_xll.U.RANGE_REF(Z27,TRUE))</f>
        <v>[REF]{{34856#2238123134864!R96C3}}</v>
      </c>
      <c r="AB27" s="276"/>
      <c r="AC27" s="276" t="str">
        <f t="shared" si="0"/>
        <v>SAVE_TEXT_CONFIG_PARAMS</v>
      </c>
      <c r="AD27" s="276" t="str" cm="1">
        <f t="array" ref="AD27">IF(AC27="","",_xll.U.RANGE_REF(AC27,TRUE))</f>
        <v>[REF]{{34856#2238123134864!R96C11:R110C20}}</v>
      </c>
      <c r="AE27" s="281"/>
      <c r="AF27" s="287" t="str">
        <v>RESHAPE</v>
      </c>
      <c r="AG27" s="276" t="str">
        <f t="shared" si="1"/>
        <v>RESHAPE!A1</v>
      </c>
      <c r="AH27" s="276" t="str" cm="1">
        <f t="array" ref="AH27">IF(AG27="","",_xll.U.RANGE_REF(AG27,TRUE))</f>
        <v>[REF]{{34856#2238123950816!R1C1}}</v>
      </c>
      <c r="AI27" s="288"/>
    </row>
    <row r="28" spans="1:35" x14ac:dyDescent="0.3">
      <c r="A28" s="18"/>
      <c r="B28" s="278" t="s">
        <v>3169</v>
      </c>
      <c r="C28" s="1" t="s">
        <v>729</v>
      </c>
      <c r="D28" s="278" t="s">
        <v>411</v>
      </c>
      <c r="E28" s="314" t="s">
        <v>71</v>
      </c>
      <c r="F28" s="314" t="s">
        <v>71</v>
      </c>
      <c r="G28" s="314" t="s">
        <v>1786</v>
      </c>
      <c r="H28" s="20"/>
      <c r="Z28" s="276" t="str">
        <v>SOUND</v>
      </c>
      <c r="AA28" s="276" t="str" cm="1">
        <f t="array" ref="AA28">IF(Z28="","",_xll.U.RANGE_REF(Z28,TRUE))</f>
        <v>[REF]{{34856#2238123134864!R115C3}}</v>
      </c>
      <c r="AB28" s="276"/>
      <c r="AC28" s="276" t="str">
        <f t="shared" si="0"/>
        <v>SOUND_PARAMS</v>
      </c>
      <c r="AD28" s="276" t="str" cm="1">
        <f t="array" ref="AD28">IF(AC28="","",_xll.U.RANGE_REF(AC28,TRUE))</f>
        <v>[REF]{{34856#2238123134864!R113C11:R130C20}}</v>
      </c>
      <c r="AE28" s="281"/>
      <c r="AF28" s="287" t="str">
        <v>ADD_NEWLINES</v>
      </c>
      <c r="AG28" s="276" t="str">
        <f t="shared" si="1"/>
        <v>ADD_NEWLINES!A1</v>
      </c>
      <c r="AH28" s="276" t="str" cm="1">
        <f t="array" ref="AH28">IF(AG28="","",_xll.U.RANGE_REF(AG28,TRUE))</f>
        <v>[REF]{{34856#2238123953520!R1C1}}</v>
      </c>
      <c r="AI28" s="288"/>
    </row>
    <row r="29" spans="1:35" x14ac:dyDescent="0.3">
      <c r="A29" s="18"/>
      <c r="B29" s="344" t="s">
        <v>3170</v>
      </c>
      <c r="C29" s="345" t="s">
        <v>1626</v>
      </c>
      <c r="D29" s="344" t="s">
        <v>411</v>
      </c>
      <c r="E29" s="346" t="s">
        <v>71</v>
      </c>
      <c r="F29" s="314" t="s">
        <v>1786</v>
      </c>
      <c r="G29" s="346" t="s">
        <v>1786</v>
      </c>
      <c r="H29" s="20"/>
      <c r="Z29" s="276" t="str">
        <v>MESSAGE_BOX</v>
      </c>
      <c r="AA29" s="276" t="str" cm="1">
        <f t="array" ref="AA29">IF(Z29="","",_xll.U.RANGE_REF(Z29,TRUE))</f>
        <v>[REF]{{34856#2238123134864!R158C3}}</v>
      </c>
      <c r="AB29" s="276"/>
      <c r="AC29" s="276" t="str">
        <f t="shared" si="0"/>
        <v>MESSAGE_BOX_PARAMS</v>
      </c>
      <c r="AD29" s="276" t="str" cm="1">
        <f t="array" ref="AD29">IF(AC29="","",_xll.U.RANGE_REF(AC29,TRUE))</f>
        <v>[REF]{{34856#2238123134864!R133C11:R150C20}}</v>
      </c>
      <c r="AE29" s="281"/>
      <c r="AF29" s="287" t="str">
        <v>FORMAT_RANGE</v>
      </c>
      <c r="AG29" s="276" t="str">
        <f t="shared" si="1"/>
        <v>FORMAT_RANGE!A1</v>
      </c>
      <c r="AH29" s="276" t="str" cm="1">
        <f t="array" ref="AH29">IF(AG29="","",_xll.U.RANGE_REF(AG29,TRUE))</f>
        <v>[REF]{{34856#2238123942704!R1C1}}</v>
      </c>
      <c r="AI29" s="288"/>
    </row>
    <row r="30" spans="1:35" x14ac:dyDescent="0.3">
      <c r="A30" s="18"/>
      <c r="B30" s="477" t="s">
        <v>1414</v>
      </c>
      <c r="C30" s="478"/>
      <c r="D30" s="478"/>
      <c r="E30" s="478"/>
      <c r="F30" s="478"/>
      <c r="G30" s="479"/>
      <c r="H30" s="20"/>
      <c r="Z30" s="276" t="str">
        <v/>
      </c>
      <c r="AA30" s="276" t="str" cm="1">
        <f t="array" ref="AA30">IF(Z30="","",_xll.U.RANGE_REF(Z30,TRUE))</f>
        <v/>
      </c>
      <c r="AB30" s="276"/>
      <c r="AC30" s="276" t="str">
        <f t="shared" si="0"/>
        <v/>
      </c>
      <c r="AD30" s="276" t="str" cm="1">
        <f t="array" ref="AD30">IF(AC30="","",_xll.U.RANGE_REF(AC30,TRUE))</f>
        <v/>
      </c>
      <c r="AE30" s="281"/>
      <c r="AF30" s="287" t="str">
        <v>IMAGES</v>
      </c>
      <c r="AG30" s="276" t="str">
        <f t="shared" si="1"/>
        <v>IMAGES!A1</v>
      </c>
      <c r="AH30" s="276" t="str" cm="1">
        <f t="array" ref="AH30">IF(AG30="","",_xll.U.RANGE_REF(AG30,TRUE))</f>
        <v>[REF]{{34856#2238123964336!R1C1}}</v>
      </c>
      <c r="AI30" s="288"/>
    </row>
    <row r="31" spans="1:35" x14ac:dyDescent="0.3">
      <c r="A31" s="18"/>
      <c r="B31" s="347" t="s">
        <v>3171</v>
      </c>
      <c r="C31" s="348" t="s">
        <v>173</v>
      </c>
      <c r="D31" s="347" t="s">
        <v>411</v>
      </c>
      <c r="E31" s="349" t="s">
        <v>71</v>
      </c>
      <c r="F31" s="349" t="s">
        <v>71</v>
      </c>
      <c r="G31" s="314" t="s">
        <v>71</v>
      </c>
      <c r="H31" s="20"/>
      <c r="Z31" s="276" t="str">
        <v>VAGGREGATE</v>
      </c>
      <c r="AA31" s="276" t="str" cm="1">
        <f t="array" ref="AA31">IF(Z31="","",_xll.U.RANGE_REF(Z31,TRUE))</f>
        <v>[REF]{{34856#2238121636256!R7C12:R16C20}}</v>
      </c>
      <c r="AB31" s="276"/>
      <c r="AC31" s="276" t="str">
        <f t="shared" si="0"/>
        <v>VAGGREGATE_PARAMS</v>
      </c>
      <c r="AD31" s="276" t="str" cm="1">
        <f t="array" ref="AD31">IF(AC31="","",_xll.U.RANGE_REF(AC31,TRUE))</f>
        <v>[REF]{{34856#2238121636256!R3C31:R29C40}}</v>
      </c>
      <c r="AE31" s="281"/>
      <c r="AF31" s="287" t="str">
        <v>CONCAT</v>
      </c>
      <c r="AG31" s="276" t="str">
        <f t="shared" si="1"/>
        <v>CONCAT!A1</v>
      </c>
      <c r="AH31" s="276" t="str" cm="1">
        <f t="array" ref="AH31">IF(AG31="","",_xll.U.RANGE_REF(AG31,TRUE))</f>
        <v>[REF]{{34856#2238123961632!R1C1}}</v>
      </c>
      <c r="AI31" s="288"/>
    </row>
    <row r="32" spans="1:35" x14ac:dyDescent="0.3">
      <c r="A32" s="18"/>
      <c r="B32" s="278" t="s">
        <v>3172</v>
      </c>
      <c r="C32" s="1" t="s">
        <v>172</v>
      </c>
      <c r="D32" s="278" t="s">
        <v>411</v>
      </c>
      <c r="E32" s="314" t="s">
        <v>71</v>
      </c>
      <c r="F32" s="314" t="s">
        <v>71</v>
      </c>
      <c r="G32" s="314" t="s">
        <v>71</v>
      </c>
      <c r="H32" s="20"/>
      <c r="Z32" s="276" t="str">
        <v>VAPPEND</v>
      </c>
      <c r="AA32" s="276" t="str" cm="1">
        <f t="array" ref="AA32">IF(Z32="","",_xll.U.RANGE_REF(Z32,TRUE))</f>
        <v>[REF]{{34856#2238116407088!R7C7:R12C8}}</v>
      </c>
      <c r="AB32" s="276"/>
      <c r="AC32" s="276" t="str">
        <f t="shared" si="0"/>
        <v>VAPPEND_PARAMS</v>
      </c>
      <c r="AD32" s="276" t="str" cm="1">
        <f t="array" ref="AD32">IF(AC32="","",_xll.U.RANGE_REF(AC32,TRUE))</f>
        <v>[REF]{{34856#2238116407088!R3C17:R38C26}}</v>
      </c>
      <c r="AE32" s="281"/>
      <c r="AF32" s="287" t="str">
        <v>SPLIT</v>
      </c>
      <c r="AG32" s="276" t="str">
        <f t="shared" si="1"/>
        <v>SPLIT!A1</v>
      </c>
      <c r="AH32" s="276" t="str" cm="1">
        <f t="array" ref="AH32">IF(AG32="","",_xll.U.RANGE_REF(AG32,TRUE))</f>
        <v>[REF]{{34856#2238123958928!R1C1}}</v>
      </c>
      <c r="AI32" s="288"/>
    </row>
    <row r="33" spans="1:35" x14ac:dyDescent="0.3">
      <c r="A33" s="18"/>
      <c r="B33" s="278" t="s">
        <v>3173</v>
      </c>
      <c r="C33" s="1" t="s">
        <v>174</v>
      </c>
      <c r="D33" s="278" t="s">
        <v>411</v>
      </c>
      <c r="E33" s="314" t="s">
        <v>71</v>
      </c>
      <c r="F33" s="314" t="s">
        <v>71</v>
      </c>
      <c r="G33" s="314" t="s">
        <v>71</v>
      </c>
      <c r="H33" s="20"/>
      <c r="Z33" s="276" t="str">
        <v>VFILTER</v>
      </c>
      <c r="AA33" s="276" t="str" cm="1">
        <f t="array" ref="AA33">IF(Z33="","",_xll.U.RANGE_REF(Z33,TRUE))</f>
        <v>[REF]{{34856#2238116131984!R7C12:R12C19}}</v>
      </c>
      <c r="AB33" s="276"/>
      <c r="AC33" s="276" t="str">
        <f t="shared" si="0"/>
        <v>VFILTER_PARAMS</v>
      </c>
      <c r="AD33" s="276" t="str" cm="1">
        <f t="array" ref="AD33">IF(AC33="","",_xll.U.RANGE_REF(AC33,TRUE))</f>
        <v>[REF]{{34856#2238116131984!R3C31:R29C40}}</v>
      </c>
      <c r="AE33" s="281"/>
      <c r="AF33" s="287" t="str">
        <v>FIND</v>
      </c>
      <c r="AG33" s="276" t="str">
        <f t="shared" si="1"/>
        <v>FIND!A1</v>
      </c>
      <c r="AH33" s="276" t="str" cm="1">
        <f t="array" ref="AH33">IF(AG33="","",_xll.U.RANGE_REF(AG33,TRUE))</f>
        <v>[REF]{{34856#2238123967040!R1C1}}</v>
      </c>
      <c r="AI33" s="288"/>
    </row>
    <row r="34" spans="1:35" x14ac:dyDescent="0.3">
      <c r="A34" s="18"/>
      <c r="B34" s="278" t="s">
        <v>3174</v>
      </c>
      <c r="C34" s="1" t="s">
        <v>910</v>
      </c>
      <c r="D34" s="278" t="s">
        <v>411</v>
      </c>
      <c r="E34" s="314" t="s">
        <v>71</v>
      </c>
      <c r="F34" s="314" t="s">
        <v>71</v>
      </c>
      <c r="G34" s="314" t="s">
        <v>71</v>
      </c>
      <c r="H34" s="20"/>
      <c r="Z34" s="276" t="str">
        <v>GRID_FILTER</v>
      </c>
      <c r="AA34" s="276" t="str" cm="1">
        <f t="array" ref="AA34">IF(Z34="","",_xll.U.RANGE_REF(Z34,TRUE))</f>
        <v>[REF]{{34856#2238116131984!R356C11:R363C16}}</v>
      </c>
      <c r="AB34" s="276"/>
      <c r="AC34" s="276" t="str">
        <f t="shared" si="0"/>
        <v>GRID_FILTER_PARAMS</v>
      </c>
      <c r="AD34" s="276" t="str" cm="1">
        <f t="array" ref="AD34">IF(AC34="","",_xll.U.RANGE_REF(AC34,TRUE))</f>
        <v>[REF]{{34856#2238116131984!R32C31:R58C40}}</v>
      </c>
      <c r="AE34" s="281"/>
      <c r="AF34" s="287" t="str">
        <v>FORMAT_STRING</v>
      </c>
      <c r="AG34" s="276" t="str">
        <f t="shared" si="1"/>
        <v>FORMAT_STRING!A1</v>
      </c>
      <c r="AH34" s="276" t="str" cm="1">
        <f t="array" ref="AH34">IF(AG34="","",_xll.U.RANGE_REF(AG34,TRUE))</f>
        <v>[REF]{{34856#2238123969744!R1C1}}</v>
      </c>
      <c r="AI34" s="288"/>
    </row>
    <row r="35" spans="1:35" x14ac:dyDescent="0.3">
      <c r="A35" s="18"/>
      <c r="B35" s="278" t="s">
        <v>3175</v>
      </c>
      <c r="C35" s="1" t="s">
        <v>251</v>
      </c>
      <c r="D35" s="278" t="s">
        <v>411</v>
      </c>
      <c r="E35" s="314" t="s">
        <v>71</v>
      </c>
      <c r="F35" s="314" t="s">
        <v>71</v>
      </c>
      <c r="G35" s="314" t="s">
        <v>71</v>
      </c>
      <c r="H35" s="20"/>
      <c r="Z35" s="276" t="str">
        <v>VLOOKUP</v>
      </c>
      <c r="AA35" s="276" t="str" cm="1">
        <f t="array" ref="AA35">IF(Z35="","",_xll.U.RANGE_REF(Z35,TRUE))</f>
        <v>[REF]{{34856#2238113323168!R7C10:R12C11}}</v>
      </c>
      <c r="AB35" s="276"/>
      <c r="AC35" s="276" t="str">
        <f t="shared" si="0"/>
        <v>VLOOKUP_PARAMS</v>
      </c>
      <c r="AD35" s="276" t="str" cm="1">
        <f t="array" ref="AD35">IF(AC35="","",_xll.U.RANGE_REF(AC35,TRUE))</f>
        <v>[REF]{{34856#2238113323168!R3C23:R32C32}}</v>
      </c>
      <c r="AE35" s="281"/>
      <c r="AF35" s="287" t="str">
        <v>PARSE_NUMBERS</v>
      </c>
      <c r="AG35" s="276" t="str">
        <f t="shared" si="1"/>
        <v>PARSE_NUMBERS!A1</v>
      </c>
      <c r="AH35" s="276" t="str" cm="1">
        <f t="array" ref="AH35">IF(AG35="","",_xll.U.RANGE_REF(AG35,TRUE))</f>
        <v>[REF]{{34856#2238124287968!R1C1}}</v>
      </c>
      <c r="AI35" s="288"/>
    </row>
    <row r="36" spans="1:35" x14ac:dyDescent="0.3">
      <c r="A36" s="18"/>
      <c r="B36" s="278" t="s">
        <v>3176</v>
      </c>
      <c r="C36" s="1" t="s">
        <v>626</v>
      </c>
      <c r="D36" s="278" t="s">
        <v>411</v>
      </c>
      <c r="E36" s="314" t="s">
        <v>71</v>
      </c>
      <c r="F36" s="314" t="s">
        <v>71</v>
      </c>
      <c r="G36" s="314" t="s">
        <v>71</v>
      </c>
      <c r="H36" s="20"/>
      <c r="Z36" s="276" t="str">
        <v>GRID_LOOKUP</v>
      </c>
      <c r="AA36" s="276" t="str" cm="1">
        <f t="array" ref="AA36">IF(Z36="","",_xll.U.RANGE_REF(Z36,TRUE))</f>
        <v>[REF]{{34856#2238113323168!R303C11}}</v>
      </c>
      <c r="AB36" s="276"/>
      <c r="AC36" s="276" t="str">
        <f t="shared" si="0"/>
        <v>GRID_LOOKUP_PARAMS</v>
      </c>
      <c r="AD36" s="276" t="str" cm="1">
        <f t="array" ref="AD36">IF(AC36="","",_xll.U.RANGE_REF(AC36,TRUE))</f>
        <v>[REF]{{34856#2238113323168!R35C23:R61C32}}</v>
      </c>
      <c r="AE36" s="281"/>
      <c r="AF36" s="287" t="str">
        <v>REGEX</v>
      </c>
      <c r="AG36" s="276" t="str">
        <f t="shared" si="1"/>
        <v>REGEX!A1</v>
      </c>
      <c r="AH36" s="276" t="str" cm="1">
        <f t="array" ref="AH36">IF(AG36="","",_xll.U.RANGE_REF(AG36,TRUE))</f>
        <v>[REF]{{34856#2238124304192!R1C1}}</v>
      </c>
      <c r="AI36" s="288"/>
    </row>
    <row r="37" spans="1:35" x14ac:dyDescent="0.3">
      <c r="A37" s="18"/>
      <c r="B37" s="278" t="s">
        <v>3177</v>
      </c>
      <c r="C37" s="1" t="s">
        <v>195</v>
      </c>
      <c r="D37" s="278" t="s">
        <v>411</v>
      </c>
      <c r="E37" s="314" t="s">
        <v>71</v>
      </c>
      <c r="F37" s="314" t="s">
        <v>71</v>
      </c>
      <c r="G37" s="314" t="s">
        <v>71</v>
      </c>
      <c r="H37" s="20"/>
      <c r="Z37" s="276" t="str">
        <v>VSORT</v>
      </c>
      <c r="AA37" s="276" t="str" cm="1">
        <f t="array" ref="AA37">IF(Z37="","",_xll.U.RANGE_REF(Z37,TRUE))</f>
        <v>[REF]{{34856#2238117867360!R7C12:R20C19}}</v>
      </c>
      <c r="AB37" s="276"/>
      <c r="AC37" s="276" t="str">
        <f t="shared" si="0"/>
        <v>VSORT_PARAMS</v>
      </c>
      <c r="AD37" s="276" t="str" cm="1">
        <f t="array" ref="AD37">IF(AC37="","",_xll.U.RANGE_REF(AC37,TRUE))</f>
        <v>[REF]{{34856#2238117867360!R3C31:R23C40}}</v>
      </c>
      <c r="AE37" s="281"/>
      <c r="AF37" s="287" t="str">
        <v>REMOVE_NON_ASCII</v>
      </c>
      <c r="AG37" s="276" t="str">
        <f t="shared" si="1"/>
        <v>REMOVE_NON_ASCII!A1</v>
      </c>
      <c r="AH37" s="276" t="str" cm="1">
        <f t="array" ref="AH37">IF(AG37="","",_xll.U.RANGE_REF(AG37,TRUE))</f>
        <v>[REF]{{34856#2238124301488!R1C1}}</v>
      </c>
      <c r="AI37" s="288"/>
    </row>
    <row r="38" spans="1:35" x14ac:dyDescent="0.3">
      <c r="A38" s="18"/>
      <c r="B38" s="278" t="s">
        <v>3178</v>
      </c>
      <c r="C38" s="1" t="s">
        <v>175</v>
      </c>
      <c r="D38" s="278" t="s">
        <v>411</v>
      </c>
      <c r="E38" s="314" t="s">
        <v>71</v>
      </c>
      <c r="F38" s="314" t="s">
        <v>71</v>
      </c>
      <c r="G38" s="314" t="s">
        <v>71</v>
      </c>
      <c r="H38" s="20"/>
      <c r="Z38" s="276" t="str">
        <v>VUNIQUE</v>
      </c>
      <c r="AA38" s="276" t="str" cm="1">
        <f t="array" ref="AA38">IF(Z38="","",_xll.U.RANGE_REF(Z38,TRUE))</f>
        <v>[REF]{{34856#2238116439920!R7C5:R14C6}}</v>
      </c>
      <c r="AB38" s="276"/>
      <c r="AC38" s="276" t="str">
        <f t="shared" si="0"/>
        <v>VUNIQUE_PARAMS</v>
      </c>
      <c r="AD38" s="276" t="str" cm="1">
        <f t="array" ref="AD38">IF(AC38="","",_xll.U.RANGE_REF(AC38,TRUE))</f>
        <v>[REF]{{34856#2238116439920!R3C17:R20C26}}</v>
      </c>
      <c r="AE38" s="281"/>
      <c r="AF38" s="287" t="str">
        <v>URL_ENCODE</v>
      </c>
      <c r="AG38" s="276" t="str">
        <f t="shared" si="1"/>
        <v>URL_ENCODE!A1</v>
      </c>
      <c r="AH38" s="276" t="str" cm="1">
        <f t="array" ref="AH38">IF(AG38="","",_xll.U.RANGE_REF(AG38,TRUE))</f>
        <v>[REF]{{34856#2238124296080!R1C1}}</v>
      </c>
      <c r="AI38" s="288"/>
    </row>
    <row r="39" spans="1:35" x14ac:dyDescent="0.3">
      <c r="A39" s="18"/>
      <c r="B39" s="278" t="s">
        <v>3179</v>
      </c>
      <c r="C39" s="1" t="s">
        <v>1890</v>
      </c>
      <c r="D39" s="278" t="s">
        <v>411</v>
      </c>
      <c r="E39" s="314" t="s">
        <v>71</v>
      </c>
      <c r="F39" s="314" t="s">
        <v>71</v>
      </c>
      <c r="G39" s="314" t="s">
        <v>71</v>
      </c>
      <c r="H39" s="20"/>
      <c r="Z39" s="276" t="str">
        <v>REPLACE</v>
      </c>
      <c r="AA39" s="276" t="str" cm="1">
        <f t="array" ref="AA39">IF(Z39="","",_xll.U.RANGE_REF(Z39,TRUE))</f>
        <v>[REF]{{34856#2238098038048!R6C8:R11C11}}</v>
      </c>
      <c r="AB39" s="276"/>
      <c r="AC39" s="276" t="str">
        <f t="shared" si="0"/>
        <v>REPLACE_PARAMS</v>
      </c>
      <c r="AD39" s="276" t="str" cm="1">
        <f t="array" ref="AD39">IF(AC39="","",_xll.U.RANGE_REF(AC39,TRUE))</f>
        <v>[REF]{{34856#2238098038048!R3C21:R32C30}}</v>
      </c>
      <c r="AE39" s="281"/>
      <c r="AF39" s="287" t="str">
        <v>COMPARE</v>
      </c>
      <c r="AG39" s="276" t="str">
        <f t="shared" si="1"/>
        <v>COMPARE!A1</v>
      </c>
      <c r="AH39" s="276" t="str" cm="1">
        <f t="array" ref="AH39">IF(AG39="","",_xll.U.RANGE_REF(AG39,TRUE))</f>
        <v>[REF]{{34856#2238124298784!R1C1}}</v>
      </c>
      <c r="AI39" s="288"/>
    </row>
    <row r="40" spans="1:35" x14ac:dyDescent="0.3">
      <c r="A40" s="18"/>
      <c r="B40" s="278" t="s">
        <v>3180</v>
      </c>
      <c r="C40" s="1" t="s">
        <v>2605</v>
      </c>
      <c r="D40" s="278" t="s">
        <v>411</v>
      </c>
      <c r="E40" s="314" t="s">
        <v>71</v>
      </c>
      <c r="F40" s="314"/>
      <c r="G40" s="314"/>
      <c r="H40" s="20"/>
      <c r="Z40" s="276" t="str">
        <v>CONVERT</v>
      </c>
      <c r="AA40" s="276" t="str" cm="1">
        <f t="array" ref="AA40">IF(Z40="","",_xll.U.RANGE_REF(Z40,TRUE))</f>
        <v>[REF]{{34856#2238118522976!R23C3:R28C3}}</v>
      </c>
      <c r="AB40" s="276"/>
      <c r="AC40" s="276" t="str">
        <f t="shared" si="0"/>
        <v>CONVERT_PARAMS</v>
      </c>
      <c r="AD40" s="276" t="str" cm="1">
        <f t="array" ref="AD40">IF(AC40="","",_xll.U.RANGE_REF(AC40,TRUE))</f>
        <v>[REF]{{34856#2238118522976!R3C16:R29C25}}</v>
      </c>
      <c r="AE40" s="281"/>
      <c r="AF40" s="287" t="str">
        <v>GZIP</v>
      </c>
      <c r="AG40" s="276" t="str">
        <f t="shared" si="1"/>
        <v>GZIP!A1</v>
      </c>
      <c r="AH40" s="276" t="str" cm="1">
        <f t="array" ref="AH40">IF(AG40="","",_xll.U.RANGE_REF(AG40,TRUE))</f>
        <v>[REF]{{34856#2238124290672!R1C1}}</v>
      </c>
      <c r="AI40" s="288"/>
    </row>
    <row r="41" spans="1:35" x14ac:dyDescent="0.3">
      <c r="A41" s="18"/>
      <c r="B41" s="278" t="s">
        <v>3181</v>
      </c>
      <c r="C41" s="1" t="s">
        <v>282</v>
      </c>
      <c r="D41" s="278" t="s">
        <v>411</v>
      </c>
      <c r="E41" s="314" t="s">
        <v>71</v>
      </c>
      <c r="F41" s="314" t="s">
        <v>71</v>
      </c>
      <c r="G41" s="314" t="s">
        <v>71</v>
      </c>
      <c r="H41" s="20"/>
      <c r="Z41" s="276" t="str">
        <v>SUBRANGE</v>
      </c>
      <c r="AA41" s="276" t="str" cm="1">
        <f t="array" ref="AA41">IF(Z41="","",_xll.U.RANGE_REF(Z41,TRUE))</f>
        <v>[REF]{{34856#2238106958512!R6C9:R10C12}}</v>
      </c>
      <c r="AB41" s="276"/>
      <c r="AC41" s="276" t="str">
        <f t="shared" si="0"/>
        <v>SUBRANGE_PARAMS</v>
      </c>
      <c r="AD41" s="276" t="str" cm="1">
        <f t="array" ref="AD41">IF(AC41="","",_xll.U.RANGE_REF(AC41,TRUE))</f>
        <v>[REF]{{34856#2238106958512!R3C22:R26C31}}</v>
      </c>
      <c r="AE41" s="281"/>
      <c r="AF41" s="287" t="str">
        <v>TIME</v>
      </c>
      <c r="AG41" s="276" t="str">
        <f t="shared" si="1"/>
        <v>TIME!A1</v>
      </c>
      <c r="AH41" s="276" t="str" cm="1">
        <f t="array" ref="AH41">IF(AG41="","",_xll.U.RANGE_REF(AG41,TRUE))</f>
        <v>[REF]{{34856#2238124306896!R1C1}}</v>
      </c>
      <c r="AI41" s="288"/>
    </row>
    <row r="42" spans="1:35" x14ac:dyDescent="0.3">
      <c r="A42" s="18"/>
      <c r="B42" s="278" t="s">
        <v>3182</v>
      </c>
      <c r="C42" s="1" t="s">
        <v>1790</v>
      </c>
      <c r="D42" s="278" t="s">
        <v>411</v>
      </c>
      <c r="E42" s="314" t="s">
        <v>71</v>
      </c>
      <c r="F42" s="314" t="s">
        <v>71</v>
      </c>
      <c r="G42" s="314" t="s">
        <v>71</v>
      </c>
      <c r="H42" s="20"/>
      <c r="Z42" s="276" t="str">
        <v>OFFSET</v>
      </c>
      <c r="AA42" s="276" t="str" cm="1">
        <f t="array" ref="AA42">IF(Z42="","",_xll.U.RANGE_REF(Z42,TRUE))</f>
        <v>[REF]{{34856#2238110031616!R5C6}}</v>
      </c>
      <c r="AB42" s="276"/>
      <c r="AC42" s="276" t="str">
        <f t="shared" si="0"/>
        <v>OFFSET_PARAMS</v>
      </c>
      <c r="AD42" s="276" t="str" cm="1">
        <f t="array" ref="AD42">IF(AC42="","",_xll.U.RANGE_REF(AC42,TRUE))</f>
        <v>[REF]{{34856#2238110031616!R3C15:R29C24}}</v>
      </c>
      <c r="AE42" s="281"/>
      <c r="AF42" s="287" t="str">
        <v>SEQUENCE</v>
      </c>
      <c r="AG42" s="276" t="str">
        <f t="shared" si="1"/>
        <v>SEQUENCE!A1</v>
      </c>
      <c r="AH42" s="276" t="str" cm="1">
        <f t="array" ref="AH42">IF(AG42="","",_xll.U.RANGE_REF(AG42,TRUE))</f>
        <v>[REF]{{34856#2238124293376!R1C1}}</v>
      </c>
      <c r="AI42" s="288"/>
    </row>
    <row r="43" spans="1:35" x14ac:dyDescent="0.3">
      <c r="A43" s="18"/>
      <c r="B43" s="278" t="s">
        <v>3183</v>
      </c>
      <c r="C43" s="1" t="s">
        <v>144</v>
      </c>
      <c r="D43" s="278" t="s">
        <v>411</v>
      </c>
      <c r="E43" s="314" t="s">
        <v>71</v>
      </c>
      <c r="F43" s="314" t="s">
        <v>71</v>
      </c>
      <c r="G43" s="314" t="s">
        <v>71</v>
      </c>
      <c r="H43" s="20"/>
      <c r="Z43" s="276" t="str">
        <v>REGION</v>
      </c>
      <c r="AA43" s="276" t="str" cm="1">
        <f t="array" ref="AA43">IF(Z43="","",_xll.U.RANGE_REF(Z43,TRUE))</f>
        <v>[REF]{{34856#2238110037024!R20C2:R32C5}}</v>
      </c>
      <c r="AB43" s="276"/>
      <c r="AC43" s="276" t="str">
        <f t="shared" si="0"/>
        <v>REGION_PARAMS</v>
      </c>
      <c r="AD43" s="276" t="str" cm="1">
        <f t="array" ref="AD43">IF(AC43="","",_xll.U.RANGE_REF(AC43,TRUE))</f>
        <v>[REF]{{34856#2238110037024!R3C17:R32C26}}</v>
      </c>
      <c r="AE43" s="281"/>
      <c r="AF43" s="287" t="str">
        <v>RAND</v>
      </c>
      <c r="AG43" s="276" t="str">
        <f t="shared" si="1"/>
        <v>RAND!A1</v>
      </c>
      <c r="AH43" s="276" t="str" cm="1">
        <f t="array" ref="AH43">IF(AG43="","",_xll.U.RANGE_REF(AG43,TRUE))</f>
        <v>[REF]{{34856#2238124312304!R1C1}}</v>
      </c>
      <c r="AI43" s="288"/>
    </row>
    <row r="44" spans="1:35" x14ac:dyDescent="0.3">
      <c r="A44" s="18"/>
      <c r="B44" s="278" t="s">
        <v>3184</v>
      </c>
      <c r="C44" s="1" t="s">
        <v>3815</v>
      </c>
      <c r="D44" s="278" t="s">
        <v>411</v>
      </c>
      <c r="E44" s="314" t="s">
        <v>1786</v>
      </c>
      <c r="F44" s="314" t="s">
        <v>71</v>
      </c>
      <c r="G44" s="314" t="s">
        <v>71</v>
      </c>
      <c r="H44" s="20"/>
      <c r="Z44" s="276" t="str">
        <v>RANGE_REF</v>
      </c>
      <c r="AA44" s="276" t="str" cm="1">
        <f t="array" ref="AA44">IF(Z44="","",_xll.U.RANGE_REF(Z44,TRUE))</f>
        <v>[REF]{{34856#2238110039728!R5C5}}</v>
      </c>
      <c r="AB44" s="276"/>
      <c r="AC44" s="276" t="str">
        <f t="shared" si="0"/>
        <v>RANGE_REF_PARAMS</v>
      </c>
      <c r="AD44" s="276" t="str" cm="1">
        <f t="array" ref="AD44">IF(AC44="","",_xll.U.RANGE_REF(AC44,TRUE))</f>
        <v>[REF]{{34856#2238110039728!R3C17:R68C26}}</v>
      </c>
      <c r="AE44" s="281"/>
      <c r="AF44" s="287" t="str">
        <v>FILES</v>
      </c>
      <c r="AG44" s="276" t="str">
        <f t="shared" si="1"/>
        <v>FILES!A1</v>
      </c>
      <c r="AH44" s="276" t="str" cm="1">
        <f t="array" ref="AH44">IF(AG44="","",_xll.U.RANGE_REF(AG44,TRUE))</f>
        <v>[REF]{{34856#2238124309600!R1C1}}</v>
      </c>
      <c r="AI44" s="288"/>
    </row>
    <row r="45" spans="1:35" x14ac:dyDescent="0.3">
      <c r="A45" s="18"/>
      <c r="B45" s="344" t="s">
        <v>3185</v>
      </c>
      <c r="C45" s="345" t="s">
        <v>1559</v>
      </c>
      <c r="D45" s="344" t="s">
        <v>411</v>
      </c>
      <c r="E45" s="346" t="s">
        <v>1786</v>
      </c>
      <c r="F45" s="346" t="s">
        <v>71</v>
      </c>
      <c r="G45" s="314" t="s">
        <v>71</v>
      </c>
      <c r="H45" s="20"/>
      <c r="Z45" s="276" t="str">
        <v>NAMED_RANGE</v>
      </c>
      <c r="AA45" s="276" t="str" cm="1">
        <f t="array" ref="AA45">IF(Z45="","",_xll.U.RANGE_REF(Z45,TRUE))</f>
        <v>[REF]{{34856#2238110039728!R74C5}}</v>
      </c>
      <c r="AB45" s="276"/>
      <c r="AC45" s="276" t="str">
        <f t="shared" si="0"/>
        <v>NAMED_RANGE_PARAMS</v>
      </c>
      <c r="AD45" s="276" t="str" cm="1">
        <f t="array" ref="AD45">IF(AC45="","",_xll.U.RANGE_REF(AC45,TRUE))</f>
        <v>[REF]{{34856#2238110039728!R71C17:R88C26}}</v>
      </c>
      <c r="AE45" s="281"/>
      <c r="AF45" s="287" t="str">
        <v>EXCEL_CONTROL</v>
      </c>
      <c r="AG45" s="276" t="str">
        <f t="shared" si="1"/>
        <v>EXCEL_CONTROL!A1</v>
      </c>
      <c r="AH45" s="276" t="str" cm="1">
        <f t="array" ref="AH45">IF(AG45="","",_xll.U.RANGE_REF(AG45,TRUE))</f>
        <v>[REF]{{34856#2238124315008!R1C1}}</v>
      </c>
      <c r="AI45" s="288"/>
    </row>
    <row r="46" spans="1:35" x14ac:dyDescent="0.3">
      <c r="A46" s="18"/>
      <c r="B46" s="477" t="s">
        <v>1415</v>
      </c>
      <c r="C46" s="478"/>
      <c r="D46" s="478"/>
      <c r="E46" s="478"/>
      <c r="F46" s="478"/>
      <c r="G46" s="479"/>
      <c r="H46" s="20"/>
      <c r="Z46" s="276" t="str">
        <v/>
      </c>
      <c r="AA46" s="276" t="str" cm="1">
        <f t="array" ref="AA46">IF(Z46="","",_xll.U.RANGE_REF(Z46,TRUE))</f>
        <v/>
      </c>
      <c r="AB46" s="276"/>
      <c r="AC46" s="276" t="str">
        <f t="shared" si="0"/>
        <v/>
      </c>
      <c r="AD46" s="276" t="str" cm="1">
        <f t="array" ref="AD46">IF(AC46="","",_xll.U.RANGE_REF(AC46,TRUE))</f>
        <v/>
      </c>
      <c r="AE46" s="281"/>
      <c r="AF46" s="287" t="str">
        <v>MENU</v>
      </c>
      <c r="AG46" s="276" t="str">
        <f t="shared" si="1"/>
        <v>MENU!A1</v>
      </c>
      <c r="AH46" s="276" t="str" cm="1">
        <f t="array" ref="AH46">IF(AG46="","",_xll.U.RANGE_REF(AG46,TRUE))</f>
        <v>[REF]{{34856#2238124317712!R1C1}}</v>
      </c>
      <c r="AI46" s="288"/>
    </row>
    <row r="47" spans="1:35" x14ac:dyDescent="0.3">
      <c r="A47" s="18"/>
      <c r="B47" s="347" t="s">
        <v>3186</v>
      </c>
      <c r="C47" s="348" t="s">
        <v>1028</v>
      </c>
      <c r="D47" s="347" t="s">
        <v>411</v>
      </c>
      <c r="E47" s="349" t="s">
        <v>71</v>
      </c>
      <c r="F47" s="349" t="s">
        <v>71</v>
      </c>
      <c r="G47" s="314" t="s">
        <v>71</v>
      </c>
      <c r="H47" s="20"/>
      <c r="Z47" s="276" t="str">
        <v>GRID_TO_TABLE</v>
      </c>
      <c r="AA47" s="276" t="str" cm="1">
        <f t="array" ref="AA47">IF(Z47="","",_xll.U.RANGE_REF(Z47,TRUE))</f>
        <v>[REF]{{34856#2238110026208!R6C11:R14C13}}</v>
      </c>
      <c r="AB47" s="276"/>
      <c r="AC47" s="276" t="str">
        <f t="shared" si="0"/>
        <v>GRID_TO_TABLE_PARAMS</v>
      </c>
      <c r="AD47" s="276" t="str" cm="1">
        <f t="array" ref="AD47">IF(AC47="","",_xll.U.RANGE_REF(AC47,TRUE))</f>
        <v>[REF]{{34856#2238110026208!R3C22:R20C31}}</v>
      </c>
      <c r="AE47" s="281"/>
      <c r="AF47" s="287" t="str">
        <v>DO</v>
      </c>
      <c r="AG47" s="276" t="str">
        <f t="shared" si="1"/>
        <v>DO!A1</v>
      </c>
      <c r="AH47" s="276" t="str" cm="1">
        <f t="array" ref="AH47">IF(AG47="","",_xll.U.RANGE_REF(AG47,TRUE))</f>
        <v>[REF]{{34856#2238066864240!R1C1}}</v>
      </c>
      <c r="AI47" s="288"/>
    </row>
    <row r="48" spans="1:35" x14ac:dyDescent="0.3">
      <c r="A48" s="18"/>
      <c r="B48" s="278" t="s">
        <v>3187</v>
      </c>
      <c r="C48" s="1" t="s">
        <v>1029</v>
      </c>
      <c r="D48" s="278" t="s">
        <v>411</v>
      </c>
      <c r="E48" s="314" t="s">
        <v>71</v>
      </c>
      <c r="F48" s="314" t="s">
        <v>71</v>
      </c>
      <c r="G48" s="314" t="s">
        <v>71</v>
      </c>
      <c r="H48" s="20"/>
      <c r="Z48" s="276" t="str">
        <v>TABLE_TO_GRID</v>
      </c>
      <c r="AA48" s="276" t="str" cm="1">
        <f t="array" ref="AA48">IF(Z48="","",_xll.U.RANGE_REF(Z48,TRUE))</f>
        <v>[REF]{{34856#2238110026208!R170C9:R173C12}}</v>
      </c>
      <c r="AB48" s="276"/>
      <c r="AC48" s="276" t="str">
        <f t="shared" si="0"/>
        <v>TABLE_TO_GRID_PARAMS</v>
      </c>
      <c r="AD48" s="276" t="str" cm="1">
        <f t="array" ref="AD48">IF(AC48="","",_xll.U.RANGE_REF(AC48,TRUE))</f>
        <v>[REF]{{34856#2238110026208!R23C22:R46C31}}</v>
      </c>
      <c r="AE48" s="281"/>
      <c r="AF48" s="287" t="str">
        <v>CLICKVALS</v>
      </c>
      <c r="AG48" s="276" t="str">
        <f t="shared" si="1"/>
        <v>CLICKVALS!A1</v>
      </c>
      <c r="AH48" s="276" t="str" cm="1">
        <f t="array" ref="AH48">IF(AG48="","",_xll.U.RANGE_REF(AG48,TRUE))</f>
        <v>[REF]{{34856#2238066875056!R1C1}}</v>
      </c>
      <c r="AI48" s="288"/>
    </row>
    <row r="49" spans="1:35" x14ac:dyDescent="0.3">
      <c r="A49" s="18"/>
      <c r="B49" s="278" t="s">
        <v>3188</v>
      </c>
      <c r="C49" s="1" t="s">
        <v>1678</v>
      </c>
      <c r="D49" s="278" t="s">
        <v>411</v>
      </c>
      <c r="E49" s="314" t="s">
        <v>71</v>
      </c>
      <c r="F49" s="314" t="s">
        <v>71</v>
      </c>
      <c r="G49" s="314" t="s">
        <v>71</v>
      </c>
      <c r="H49" s="20"/>
      <c r="Z49" s="276" t="str">
        <v>TRANSPOSE</v>
      </c>
      <c r="AA49" s="276" t="str" cm="1">
        <f t="array" ref="AA49">IF(Z49="","",_xll.U.RANGE_REF(Z49,TRUE))</f>
        <v>[REF]{{34856#2238110026208!R292C9:R294C10}}</v>
      </c>
      <c r="AB49" s="276"/>
      <c r="AC49" s="276" t="str">
        <f t="shared" si="0"/>
        <v>TRANSPOSE_PARAMS</v>
      </c>
      <c r="AD49" s="276" t="str" cm="1">
        <f t="array" ref="AD49">IF(AC49="","",_xll.U.RANGE_REF(AC49,TRUE))</f>
        <v>[REF]{{34856#2238110026208!R49C22:R57C31}}</v>
      </c>
      <c r="AE49" s="281"/>
      <c r="AF49" s="287" t="str">
        <v>KEYBOARD_SHORTCUT</v>
      </c>
      <c r="AG49" s="276" t="str">
        <f t="shared" si="1"/>
        <v>KEYBOARD_SHORTCUT!A1</v>
      </c>
      <c r="AH49" s="276" t="str" cm="1">
        <f t="array" ref="AH49">IF(AG49="","",_xll.U.RANGE_REF(AG49,TRUE))</f>
        <v>[REF]{{34856#2238066877760!R1C1}}</v>
      </c>
      <c r="AI49" s="288"/>
    </row>
    <row r="50" spans="1:35" x14ac:dyDescent="0.3">
      <c r="A50" s="18"/>
      <c r="B50" s="278" t="s">
        <v>3189</v>
      </c>
      <c r="C50" s="1" t="s">
        <v>1115</v>
      </c>
      <c r="D50" s="278" t="s">
        <v>411</v>
      </c>
      <c r="E50" s="314" t="s">
        <v>71</v>
      </c>
      <c r="F50" s="314" t="s">
        <v>71</v>
      </c>
      <c r="G50" s="314" t="s">
        <v>71</v>
      </c>
      <c r="H50" s="20"/>
      <c r="Z50" s="276" t="str">
        <v>VCOMBINATIONS</v>
      </c>
      <c r="AA50" s="276" t="str" cm="1">
        <f t="array" ref="AA50">IF(Z50="","",_xll.U.RANGE_REF(Z50,TRUE))</f>
        <v>[REF]{{34856#2238110034320!R5C6:R13C7}}</v>
      </c>
      <c r="AB50" s="276"/>
      <c r="AC50" s="276" t="str">
        <f t="shared" si="0"/>
        <v>VCOMBINATIONS_PARAMS</v>
      </c>
      <c r="AD50" s="276" t="str" cm="1">
        <f t="array" ref="AD50">IF(AC50="","",_xll.U.RANGE_REF(AC50,TRUE))</f>
        <v>[REF]{{34856#2238110034320!R3C14:R23C23}}</v>
      </c>
      <c r="AE50" s="281"/>
      <c r="AF50" s="287" t="str">
        <v>LISTEN</v>
      </c>
      <c r="AG50" s="276" t="str">
        <f t="shared" si="1"/>
        <v>LISTEN!A1</v>
      </c>
      <c r="AH50" s="276" t="str" cm="1">
        <f t="array" ref="AH50">IF(AG50="","",_xll.U.RANGE_REF(AG50,TRUE))</f>
        <v>[REF]{{34856#2238066880464!R1C1}}</v>
      </c>
      <c r="AI50" s="288"/>
    </row>
    <row r="51" spans="1:35" x14ac:dyDescent="0.3">
      <c r="A51" s="18"/>
      <c r="B51" s="278" t="s">
        <v>3190</v>
      </c>
      <c r="C51" s="1" t="s">
        <v>1117</v>
      </c>
      <c r="D51" s="278" t="s">
        <v>411</v>
      </c>
      <c r="E51" s="314" t="s">
        <v>71</v>
      </c>
      <c r="F51" s="314" t="s">
        <v>71</v>
      </c>
      <c r="G51" s="314" t="s">
        <v>71</v>
      </c>
      <c r="H51" s="20"/>
      <c r="Z51" s="276" t="str">
        <v>VREPEAT</v>
      </c>
      <c r="AA51" s="276" t="str" cm="1">
        <f t="array" ref="AA51">IF(Z51="","",_xll.U.RANGE_REF(Z51,TRUE))</f>
        <v>[REF]{{34856#2238123940000!R5C5:R11C6}}</v>
      </c>
      <c r="AB51" s="276"/>
      <c r="AC51" s="276" t="str">
        <f t="shared" si="0"/>
        <v>VREPEAT_PARAMS</v>
      </c>
      <c r="AD51" s="276" t="str" cm="1">
        <f t="array" ref="AD51">IF(AC51="","",_xll.U.RANGE_REF(AC51,TRUE))</f>
        <v>[REF]{{34856#2238123940000!R3C13:R20C22}}</v>
      </c>
      <c r="AE51" s="281"/>
      <c r="AF51" s="287" t="str">
        <v>INCREMENT</v>
      </c>
      <c r="AG51" s="276" t="str">
        <f t="shared" si="1"/>
        <v>INCREMENT!A1</v>
      </c>
      <c r="AH51" s="276" t="str" cm="1">
        <f t="array" ref="AH51">IF(AG51="","",_xll.U.RANGE_REF(AG51,TRUE))</f>
        <v>[REF]{{34856#2238066866944!R1C1}}</v>
      </c>
      <c r="AI51" s="288"/>
    </row>
    <row r="52" spans="1:35" x14ac:dyDescent="0.3">
      <c r="A52" s="18"/>
      <c r="B52" s="278" t="s">
        <v>3191</v>
      </c>
      <c r="C52" s="1" t="s">
        <v>1116</v>
      </c>
      <c r="D52" s="278" t="s">
        <v>411</v>
      </c>
      <c r="E52" s="314" t="s">
        <v>71</v>
      </c>
      <c r="F52" s="314" t="s">
        <v>71</v>
      </c>
      <c r="G52" s="314" t="s">
        <v>71</v>
      </c>
      <c r="H52" s="20"/>
      <c r="Z52" s="276" t="str">
        <v>VINSERT</v>
      </c>
      <c r="AA52" s="276" t="str" cm="1">
        <f t="array" ref="AA52">IF(Z52="","",_xll.U.RANGE_REF(Z52,TRUE))</f>
        <v>[REF]{{34856#2238123956224!R5C6:R9C7}}</v>
      </c>
      <c r="AB52" s="276"/>
      <c r="AC52" s="276" t="str">
        <f t="shared" si="0"/>
        <v>VINSERT_PARAMS</v>
      </c>
      <c r="AD52" s="276" t="str" cm="1">
        <f t="array" ref="AD52">IF(AC52="","",_xll.U.RANGE_REF(AC52,TRUE))</f>
        <v>[REF]{{34856#2238123956224!R3C14:R26C23}}</v>
      </c>
      <c r="AE52" s="281"/>
      <c r="AF52" s="287" t="str">
        <v>PASTE</v>
      </c>
      <c r="AG52" s="276" t="str">
        <f t="shared" si="1"/>
        <v>PASTE!A1</v>
      </c>
      <c r="AH52" s="276" t="str" cm="1">
        <f t="array" ref="AH52">IF(AG52="","",_xll.U.RANGE_REF(AG52,TRUE))</f>
        <v>[REF]{{34856#2238066883168!R1C1}}</v>
      </c>
      <c r="AI52" s="288"/>
    </row>
    <row r="53" spans="1:35" x14ac:dyDescent="0.3">
      <c r="A53" s="18"/>
      <c r="B53" s="278" t="s">
        <v>3192</v>
      </c>
      <c r="C53" s="1" t="s">
        <v>2511</v>
      </c>
      <c r="D53" s="278" t="s">
        <v>411</v>
      </c>
      <c r="E53" s="314" t="s">
        <v>71</v>
      </c>
      <c r="F53" s="314" t="s">
        <v>71</v>
      </c>
      <c r="G53" s="314" t="s">
        <v>71</v>
      </c>
      <c r="H53" s="20"/>
      <c r="Z53" s="276" t="str">
        <v>FILL_LABELS</v>
      </c>
      <c r="AA53" s="276" t="str" cm="1">
        <f t="array" ref="AA53">IF(Z53="","",_xll.U.RANGE_REF(Z53,TRUE))</f>
        <v>[REF]{{34856#2238123948112!R5C8:R13C10}}</v>
      </c>
      <c r="AB53" s="276"/>
      <c r="AC53" s="276" t="str">
        <f t="shared" si="0"/>
        <v>FILL_LABELS_PARAMS</v>
      </c>
      <c r="AD53" s="276" t="str" cm="1">
        <f t="array" ref="AD53">IF(AC53="","",_xll.U.RANGE_REF(AC53,TRUE))</f>
        <v>[REF]{{34856#2238123948112!R3C17:R35C26}}</v>
      </c>
      <c r="AE53" s="281"/>
      <c r="AF53" s="287" t="str">
        <v>CLEAR</v>
      </c>
      <c r="AG53" s="276" t="str">
        <f t="shared" si="1"/>
        <v>CLEAR!A1</v>
      </c>
      <c r="AH53" s="276" t="str" cm="1">
        <f t="array" ref="AH53">IF(AG53="","",_xll.U.RANGE_REF(AG53,TRUE))</f>
        <v>[REF]{{34856#2238066869648!R1C1}}</v>
      </c>
      <c r="AI53" s="288"/>
    </row>
    <row r="54" spans="1:35" x14ac:dyDescent="0.3">
      <c r="A54" s="18"/>
      <c r="B54" s="278" t="s">
        <v>3193</v>
      </c>
      <c r="C54" s="1" t="s">
        <v>2771</v>
      </c>
      <c r="D54" s="278" t="s">
        <v>411</v>
      </c>
      <c r="E54" s="314" t="s">
        <v>71</v>
      </c>
      <c r="F54" s="314" t="s">
        <v>1786</v>
      </c>
      <c r="G54" s="314"/>
      <c r="H54" s="20"/>
      <c r="Z54" s="276" t="str">
        <v>PAD</v>
      </c>
      <c r="AA54" s="276" t="str" cm="1">
        <f t="array" ref="AA54">IF(Z54="","",_xll.U.RANGE_REF(Z54,TRUE))</f>
        <v>[REF]{{34856#2238123945408!R7C8:R10C9}}</v>
      </c>
      <c r="AB54" s="276"/>
      <c r="AC54" s="276" t="str">
        <f t="shared" si="0"/>
        <v>PAD_PARAMS</v>
      </c>
      <c r="AD54" s="276" t="str" cm="1">
        <f t="array" ref="AD54">IF(AC54="","",_xll.U.RANGE_REF(AC54,TRUE))</f>
        <v>[REF]{{34856#2238123945408!R3C17:R17C26}}</v>
      </c>
      <c r="AE54" s="281"/>
      <c r="AF54" s="287" t="str">
        <v>SCRIPTS #init()</v>
      </c>
      <c r="AG54" s="276" t="str">
        <f t="shared" si="1"/>
        <v>SCRIPTS #init()!A1</v>
      </c>
      <c r="AH54" s="276" t="str" cm="1">
        <f t="array" ref="AH54">IF(AG54="","",_xll.U.RANGE_REF(AG54,TRUE))</f>
        <v>[REF]{{34856#2238066885872!R1C1}}</v>
      </c>
      <c r="AI54" s="288"/>
    </row>
    <row r="55" spans="1:35" x14ac:dyDescent="0.3">
      <c r="A55" s="18"/>
      <c r="B55" s="278" t="s">
        <v>3194</v>
      </c>
      <c r="C55" s="1" t="s">
        <v>1459</v>
      </c>
      <c r="D55" s="278" t="s">
        <v>411</v>
      </c>
      <c r="E55" s="314" t="s">
        <v>71</v>
      </c>
      <c r="F55" s="314" t="s">
        <v>71</v>
      </c>
      <c r="G55" s="314" t="s">
        <v>71</v>
      </c>
      <c r="H55" s="20"/>
      <c r="Z55" s="276" t="str">
        <v>RESHAPE</v>
      </c>
      <c r="AA55" s="276" t="str" cm="1">
        <f t="array" ref="AA55">IF(Z55="","",_xll.U.RANGE_REF(Z55,TRUE))</f>
        <v>[REF]{{34856#2238123950816!R4C8:R5C10}}</v>
      </c>
      <c r="AB55" s="276"/>
      <c r="AC55" s="276" t="str">
        <f t="shared" si="0"/>
        <v>RESHAPE_PARAMS</v>
      </c>
      <c r="AD55" s="276" t="str" cm="1">
        <f t="array" ref="AD55">IF(AC55="","",_xll.U.RANGE_REF(AC55,TRUE))</f>
        <v>[REF]{{34856#2238123950816!R3C17:R29C26}}</v>
      </c>
      <c r="AE55" s="281"/>
      <c r="AF55" s="287" t="str">
        <v>START_PROCESS</v>
      </c>
      <c r="AG55" s="276" t="str">
        <f t="shared" si="1"/>
        <v>START_PROCESS!A1</v>
      </c>
      <c r="AH55" s="276" t="str" cm="1">
        <f t="array" ref="AH55">IF(AG55="","",_xll.U.RANGE_REF(AG55,TRUE))</f>
        <v>[REF]{{34856#2238066872352!R1C1}}</v>
      </c>
      <c r="AI55" s="288"/>
    </row>
    <row r="56" spans="1:35" x14ac:dyDescent="0.3">
      <c r="A56" s="18"/>
      <c r="B56" s="344" t="s">
        <v>3195</v>
      </c>
      <c r="C56" s="345" t="s">
        <v>881</v>
      </c>
      <c r="D56" s="344" t="s">
        <v>411</v>
      </c>
      <c r="E56" s="346" t="s">
        <v>71</v>
      </c>
      <c r="F56" s="346" t="s">
        <v>71</v>
      </c>
      <c r="G56" s="314" t="s">
        <v>71</v>
      </c>
      <c r="H56" s="20"/>
      <c r="Z56" s="276" t="str">
        <v>ADD_NEWLINES</v>
      </c>
      <c r="AA56" s="276" t="str" cm="1">
        <f t="array" ref="AA56">IF(Z56="","",_xll.U.RANGE_REF(Z56,TRUE))</f>
        <v>[REF]{{34856#2238123953520!R11C4:R13C4}}</v>
      </c>
      <c r="AB56" s="276"/>
      <c r="AC56" s="276" t="str">
        <f t="shared" si="0"/>
        <v>ADD_NEWLINES_PARAMS</v>
      </c>
      <c r="AD56" s="276" t="str" cm="1">
        <f t="array" ref="AD56">IF(AC56="","",_xll.U.RANGE_REF(AC56,TRUE))</f>
        <v>[REF]{{34856#2238123953520!R3C13:R20C22}}</v>
      </c>
      <c r="AE56" s="281"/>
      <c r="AF56" s="287" t="str">
        <v>SYNC_CELLS</v>
      </c>
      <c r="AG56" s="276" t="str">
        <f t="shared" si="1"/>
        <v>SYNC_CELLS!A1</v>
      </c>
      <c r="AH56" s="276" t="str" cm="1">
        <f t="array" ref="AH56">IF(AG56="","",_xll.U.RANGE_REF(AG56,TRUE))</f>
        <v>[REF]{{34856#2238066888576!R1C1}}</v>
      </c>
      <c r="AI56" s="288"/>
    </row>
    <row r="57" spans="1:35" x14ac:dyDescent="0.3">
      <c r="A57" s="18"/>
      <c r="B57" s="344" t="s">
        <v>3196</v>
      </c>
      <c r="C57" s="345" t="s">
        <v>2982</v>
      </c>
      <c r="D57" s="344" t="s">
        <v>411</v>
      </c>
      <c r="E57" s="346" t="s">
        <v>71</v>
      </c>
      <c r="F57" s="346" t="s">
        <v>1786</v>
      </c>
      <c r="G57" s="314" t="s">
        <v>1786</v>
      </c>
      <c r="H57" s="20"/>
      <c r="Z57" s="276" t="str">
        <v>FORMAT_RANGE</v>
      </c>
      <c r="AA57" s="276" t="str" cm="1">
        <f t="array" ref="AA57">IF(Z57="","",_xll.U.RANGE_REF(Z57,TRUE))</f>
        <v>[REF]{{34856#2238123942704!R5C5}}</v>
      </c>
      <c r="AB57" s="276"/>
      <c r="AC57" s="276" t="str">
        <f t="shared" si="0"/>
        <v>FORMAT_RANGE_PARAMS</v>
      </c>
      <c r="AD57" s="276" t="str" cm="1">
        <f t="array" ref="AD57">IF(AC57="","",_xll.U.RANGE_REF(AC57,TRUE))</f>
        <v>[REF]{{34856#2238123942704!R3C13:R20C22}}</v>
      </c>
      <c r="AE57" s="281"/>
      <c r="AF57" s="287" t="str">
        <v>SELECTION_PATH</v>
      </c>
      <c r="AG57" s="276" t="str">
        <f t="shared" si="1"/>
        <v>SELECTION_PATH!A1</v>
      </c>
      <c r="AH57" s="276" t="str" cm="1">
        <f t="array" ref="AH57">IF(AG57="","",_xll.U.RANGE_REF(AG57,TRUE))</f>
        <v>[REF]{{34856#2238066891280!R1C1}}</v>
      </c>
      <c r="AI57" s="288"/>
    </row>
    <row r="58" spans="1:35" x14ac:dyDescent="0.3">
      <c r="A58" s="18"/>
      <c r="B58" s="344" t="s">
        <v>3197</v>
      </c>
      <c r="C58" s="345" t="s">
        <v>2633</v>
      </c>
      <c r="D58" s="344" t="s">
        <v>411</v>
      </c>
      <c r="E58" s="346" t="s">
        <v>71</v>
      </c>
      <c r="F58" s="346" t="s">
        <v>1786</v>
      </c>
      <c r="G58" s="314" t="s">
        <v>1786</v>
      </c>
      <c r="H58" s="20"/>
      <c r="Z58" s="276" t="str">
        <v>INSERT_IMAGE</v>
      </c>
      <c r="AA58" s="276" t="str" cm="1">
        <f t="array" ref="AA58">IF(Z58="","",_xll.U.RANGE_REF(Z58,TRUE))</f>
        <v>[REF]{{34856#2238123964336!R8C4}}</v>
      </c>
      <c r="AB58" s="276"/>
      <c r="AC58" s="276" t="str">
        <f t="shared" si="0"/>
        <v>INSERT_IMAGE_PARAMS</v>
      </c>
      <c r="AD58" s="276" t="str" cm="1">
        <f t="array" ref="AD58">IF(AC58="","",_xll.U.RANGE_REF(AC58,TRUE))</f>
        <v>[REF]{{34856#2238123964336!R3C13:R29C22}}</v>
      </c>
      <c r="AE58" s="281"/>
      <c r="AF58" s="287" t="str">
        <v>UUID</v>
      </c>
      <c r="AG58" s="276" t="str">
        <f t="shared" si="1"/>
        <v>UUID!A1</v>
      </c>
      <c r="AH58" s="276" t="str" cm="1">
        <f t="array" ref="AH58">IF(AG58="","",_xll.U.RANGE_REF(AG58,TRUE))</f>
        <v>[REF]{{34856#2238066893984!R1C1}}</v>
      </c>
      <c r="AI58" s="288"/>
    </row>
    <row r="59" spans="1:35" x14ac:dyDescent="0.3">
      <c r="A59" s="18"/>
      <c r="B59" s="344" t="s">
        <v>3198</v>
      </c>
      <c r="C59" s="345" t="s">
        <v>2902</v>
      </c>
      <c r="D59" s="344" t="s">
        <v>411</v>
      </c>
      <c r="E59" s="346" t="s">
        <v>71</v>
      </c>
      <c r="F59" s="346" t="s">
        <v>1786</v>
      </c>
      <c r="G59" s="314" t="s">
        <v>1786</v>
      </c>
      <c r="H59" s="20"/>
      <c r="Z59" s="276" t="str">
        <v>UPDATE_IMAGE</v>
      </c>
      <c r="AA59" s="276" t="str" cm="1">
        <f t="array" ref="AA59">IF(Z59="","",_xll.U.RANGE_REF(Z59,TRUE))</f>
        <v>[REF]{{34856#2238123964336!R68C4}}</v>
      </c>
      <c r="AB59" s="276"/>
      <c r="AC59" s="276" t="str">
        <f t="shared" si="0"/>
        <v>UPDATE_IMAGE_PARAMS</v>
      </c>
      <c r="AD59" s="276" t="str" cm="1">
        <f t="array" ref="AD59">IF(AC59="","",_xll.U.RANGE_REF(AC59,TRUE))</f>
        <v>[REF]{{34856#2238123964336!R32C13:R49C22}}</v>
      </c>
      <c r="AE59" s="281"/>
      <c r="AF59" s="287" t="str">
        <v>MONITORING</v>
      </c>
      <c r="AG59" s="276" t="str">
        <f t="shared" si="1"/>
        <v>MONITORING!A1</v>
      </c>
      <c r="AH59" s="276" t="str" cm="1">
        <f t="array" ref="AH59">IF(AG59="","",_xll.U.RANGE_REF(AG59,TRUE))</f>
        <v>[REF]{{34856#2238067036240!R1C1}}</v>
      </c>
      <c r="AI59" s="288"/>
    </row>
    <row r="60" spans="1:35" x14ac:dyDescent="0.3">
      <c r="A60" s="18"/>
      <c r="B60" s="344" t="s">
        <v>3199</v>
      </c>
      <c r="C60" s="345" t="s">
        <v>2903</v>
      </c>
      <c r="D60" s="344" t="s">
        <v>411</v>
      </c>
      <c r="E60" s="346" t="s">
        <v>1786</v>
      </c>
      <c r="F60" s="346" t="s">
        <v>1786</v>
      </c>
      <c r="G60" s="314"/>
      <c r="H60" s="20"/>
      <c r="Z60" s="276" t="str">
        <v>REGISTER_IMAGE</v>
      </c>
      <c r="AA60" s="276" t="str" cm="1">
        <f t="array" ref="AA60">IF(Z60="","",_xll.U.RANGE_REF(Z60,TRUE))</f>
        <v>[REF]{{34856#2238123964336!R102C4}}</v>
      </c>
      <c r="AB60" s="276"/>
      <c r="AC60" s="276" t="str">
        <f t="shared" si="0"/>
        <v>REGISTER_IMAGE_PARAMS</v>
      </c>
      <c r="AD60" s="276" t="str" cm="1">
        <f t="array" ref="AD60">IF(AC60="","",_xll.U.RANGE_REF(AC60,TRUE))</f>
        <v>[REF]{{34856#2238123964336!R52C13:R69C22}}</v>
      </c>
      <c r="AE60" s="281"/>
      <c r="AF60" s="287" t="str">
        <v>BACKUP</v>
      </c>
      <c r="AG60" s="276" t="str">
        <f t="shared" si="1"/>
        <v>BACKUP!A1</v>
      </c>
      <c r="AH60" s="276" t="str" cm="1">
        <f t="array" ref="AH60">IF(AG60="","",_xll.U.RANGE_REF(AG60,TRUE))</f>
        <v>[REF]{{34856#2238067041648!R1C1}}</v>
      </c>
      <c r="AI60" s="288"/>
    </row>
    <row r="61" spans="1:35" x14ac:dyDescent="0.3">
      <c r="A61" s="18"/>
      <c r="B61" s="477" t="s">
        <v>1416</v>
      </c>
      <c r="C61" s="478"/>
      <c r="D61" s="478"/>
      <c r="E61" s="478"/>
      <c r="F61" s="478"/>
      <c r="G61" s="479"/>
      <c r="H61" s="20"/>
      <c r="Z61" s="276" t="str">
        <v/>
      </c>
      <c r="AA61" s="276" t="str" cm="1">
        <f t="array" ref="AA61">IF(Z61="","",_xll.U.RANGE_REF(Z61,TRUE))</f>
        <v/>
      </c>
      <c r="AB61" s="276"/>
      <c r="AC61" s="276" t="str">
        <f t="shared" si="0"/>
        <v/>
      </c>
      <c r="AD61" s="276" t="str" cm="1">
        <f t="array" ref="AD61">IF(AC61="","",_xll.U.RANGE_REF(AC61,TRUE))</f>
        <v/>
      </c>
      <c r="AE61" s="281"/>
      <c r="AF61" s="287" t="str">
        <v>CACHE</v>
      </c>
      <c r="AG61" s="276" t="str">
        <f t="shared" si="1"/>
        <v>CACHE!A1</v>
      </c>
      <c r="AH61" s="276" t="str" cm="1">
        <f t="array" ref="AH61">IF(AG61="","",_xll.U.RANGE_REF(AG61,TRUE))</f>
        <v>[REF]{{34856#2238067030832!R1C1}}</v>
      </c>
      <c r="AI61" s="288"/>
    </row>
    <row r="62" spans="1:35" x14ac:dyDescent="0.3">
      <c r="A62" s="18"/>
      <c r="B62" s="347" t="s">
        <v>3200</v>
      </c>
      <c r="C62" s="348" t="s">
        <v>241</v>
      </c>
      <c r="D62" s="347" t="s">
        <v>411</v>
      </c>
      <c r="E62" s="349" t="s">
        <v>71</v>
      </c>
      <c r="F62" s="349" t="s">
        <v>71</v>
      </c>
      <c r="G62" s="314" t="s">
        <v>71</v>
      </c>
      <c r="H62" s="20"/>
      <c r="Z62" s="276" t="str">
        <v>CONCAT</v>
      </c>
      <c r="AA62" s="276" t="str" cm="1">
        <f t="array" ref="AA62">IF(Z62="","",_xll.U.RANGE_REF(Z62,TRUE))</f>
        <v>[REF]{{34856#2238123961632!R7C7}}</v>
      </c>
      <c r="AB62" s="276"/>
      <c r="AC62" s="276" t="str">
        <f t="shared" si="0"/>
        <v>CONCAT_PARAMS</v>
      </c>
      <c r="AD62" s="276" t="str" cm="1">
        <f t="array" ref="AD62">IF(AC62="","",_xll.U.RANGE_REF(AC62,TRUE))</f>
        <v>[REF]{{34856#2238123961632!R3C16:R21C25}}</v>
      </c>
      <c r="AE62" s="281"/>
      <c r="AF62" s="287" t="str">
        <v>PERFORMANCE</v>
      </c>
      <c r="AG62" s="276" t="str">
        <f t="shared" si="1"/>
        <v>PERFORMANCE!A1</v>
      </c>
      <c r="AH62" s="276" t="str" cm="1">
        <f t="array" ref="AH62">IF(AG62="","",_xll.U.RANGE_REF(AG62,TRUE))</f>
        <v>[REF]{{34856#2238067028128!R1C1}}</v>
      </c>
      <c r="AI62" s="288"/>
    </row>
    <row r="63" spans="1:35" x14ac:dyDescent="0.3">
      <c r="A63" s="18"/>
      <c r="B63" s="278" t="s">
        <v>3201</v>
      </c>
      <c r="C63" s="1" t="s">
        <v>242</v>
      </c>
      <c r="D63" s="278" t="s">
        <v>411</v>
      </c>
      <c r="E63" s="314" t="s">
        <v>71</v>
      </c>
      <c r="F63" s="314" t="s">
        <v>71</v>
      </c>
      <c r="G63" s="314" t="s">
        <v>71</v>
      </c>
      <c r="H63" s="20"/>
      <c r="Z63" s="276" t="str">
        <v>SPLIT</v>
      </c>
      <c r="AA63" s="276" t="str" cm="1">
        <f t="array" ref="AA63">IF(Z63="","",_xll.U.RANGE_REF(Z63,TRUE))</f>
        <v>[REF]{{34856#2238123958928!R6C4:R6C6}}</v>
      </c>
      <c r="AB63" s="276"/>
      <c r="AC63" s="276" t="str">
        <f t="shared" si="0"/>
        <v>SPLIT_PARAMS</v>
      </c>
      <c r="AD63" s="276" t="str" cm="1">
        <f t="array" ref="AD63">IF(AC63="","",_xll.U.RANGE_REF(AC63,TRUE))</f>
        <v>[REF]{{34856#2238123958928!R3C16:R20C25}}</v>
      </c>
      <c r="AE63" s="281"/>
      <c r="AF63" s="287" t="str">
        <v>DISTRIBUTION</v>
      </c>
      <c r="AG63" s="276" t="str">
        <f t="shared" si="1"/>
        <v>DISTRIBUTION!A1</v>
      </c>
      <c r="AH63" s="276" t="str" cm="1">
        <f t="array" ref="AH63">IF(AG63="","",_xll.U.RANGE_REF(AG63,TRUE))</f>
        <v>[REF]{{34856#2238067038944!R1C1}}</v>
      </c>
      <c r="AI63" s="288"/>
    </row>
    <row r="64" spans="1:35" x14ac:dyDescent="0.3">
      <c r="A64" s="18"/>
      <c r="B64" s="278" t="s">
        <v>3202</v>
      </c>
      <c r="C64" s="1" t="s">
        <v>822</v>
      </c>
      <c r="D64" s="278" t="s">
        <v>411</v>
      </c>
      <c r="E64" s="314" t="s">
        <v>71</v>
      </c>
      <c r="F64" s="314" t="s">
        <v>71</v>
      </c>
      <c r="G64" s="314" t="s">
        <v>71</v>
      </c>
      <c r="H64" s="20"/>
      <c r="Z64" s="276" t="str">
        <v>FORMAT_STRING</v>
      </c>
      <c r="AA64" s="276" t="str" cm="1">
        <f t="array" ref="AA64">IF(Z64="","",_xll.U.RANGE_REF(Z64,TRUE))</f>
        <v>[REF]{{34856#2238123969744!R5C8}}</v>
      </c>
      <c r="AB64" s="276"/>
      <c r="AC64" s="276" t="str">
        <f t="shared" si="0"/>
        <v>FORMAT_STRING_PARAMS</v>
      </c>
      <c r="AD64" s="276" t="str" cm="1">
        <f t="array" ref="AD64">IF(AC64="","",_xll.U.RANGE_REF(AC64,TRUE))</f>
        <v>[REF]{{34856#2238123969744!R3C12:R17C21}}</v>
      </c>
      <c r="AE64" s="281"/>
      <c r="AF64" s="287" t="str">
        <v>SECURITY</v>
      </c>
      <c r="AG64" s="276" t="str">
        <f t="shared" si="1"/>
        <v>SECURITY!A1</v>
      </c>
      <c r="AH64" s="276" t="str" cm="1">
        <f t="array" ref="AH64">IF(AG64="","",_xll.U.RANGE_REF(AG64,TRUE))</f>
        <v>[REF]{{34856#2238067047056!R1C1}}</v>
      </c>
      <c r="AI64" s="288"/>
    </row>
    <row r="65" spans="1:35" x14ac:dyDescent="0.3">
      <c r="A65" s="18"/>
      <c r="B65" s="278" t="s">
        <v>3203</v>
      </c>
      <c r="C65" s="1" t="s">
        <v>795</v>
      </c>
      <c r="D65" s="278" t="s">
        <v>411</v>
      </c>
      <c r="E65" s="314" t="s">
        <v>71</v>
      </c>
      <c r="F65" s="314" t="s">
        <v>71</v>
      </c>
      <c r="G65" s="314" t="s">
        <v>71</v>
      </c>
      <c r="H65" s="20"/>
      <c r="Z65" s="276" t="str">
        <v>PARSE_NUMBERS</v>
      </c>
      <c r="AA65" s="276" t="str" cm="1">
        <f t="array" ref="AA65">IF(Z65="","",_xll.U.RANGE_REF(Z65,TRUE))</f>
        <v>[REF]{{34856#2238124287968!R5C4}}</v>
      </c>
      <c r="AB65" s="276"/>
      <c r="AC65" s="276" t="str">
        <f t="shared" si="0"/>
        <v>PARSE_NUMBERS_PARAMS</v>
      </c>
      <c r="AD65" s="276" t="str" cm="1">
        <f t="array" ref="AD65">IF(AC65="","",_xll.U.RANGE_REF(AC65,TRUE))</f>
        <v>[REF]{{34856#2238124287968!R3C13:R29C22}}</v>
      </c>
      <c r="AE65" s="281"/>
      <c r="AF65" s="287" t="str">
        <v>COMPILE</v>
      </c>
      <c r="AG65" s="276" t="str">
        <f t="shared" si="1"/>
        <v>COMPILE!A1</v>
      </c>
      <c r="AH65" s="276" t="str" cm="1">
        <f t="array" ref="AH65">IF(AG65="","",_xll.U.RANGE_REF(AG65,TRUE))</f>
        <v>[REF]{{34856#2238067044352!R1C1}}</v>
      </c>
      <c r="AI65" s="288"/>
    </row>
    <row r="66" spans="1:35" x14ac:dyDescent="0.3">
      <c r="A66" s="18"/>
      <c r="B66" s="278" t="s">
        <v>3204</v>
      </c>
      <c r="C66" s="1" t="s">
        <v>1271</v>
      </c>
      <c r="D66" s="278" t="s">
        <v>411</v>
      </c>
      <c r="E66" s="314" t="s">
        <v>71</v>
      </c>
      <c r="F66" s="314" t="s">
        <v>71</v>
      </c>
      <c r="G66" s="314" t="s">
        <v>71</v>
      </c>
      <c r="H66" s="20"/>
      <c r="Z66" s="276" t="str">
        <v>PARSE</v>
      </c>
      <c r="AA66" s="276" t="str" cm="1">
        <f t="array" ref="AA66">IF(Z66="","",_xll.U.RANGE_REF(Z66,TRUE))</f>
        <v>[REF]{{34856#2238124287968!R61C4:R66C4}}</v>
      </c>
      <c r="AB66" s="276"/>
      <c r="AC66" s="276" t="str">
        <f t="shared" si="0"/>
        <v>PARSE_PARAMS</v>
      </c>
      <c r="AD66" s="276" t="str" cm="1">
        <f t="array" ref="AD66">IF(AC66="","",_xll.U.RANGE_REF(AC66,TRUE))</f>
        <v>[REF]{{34856#2238124287968!R32C13:R49C22}}</v>
      </c>
      <c r="AE66" s="281"/>
      <c r="AF66" s="287" t="str">
        <v>ADMIN</v>
      </c>
      <c r="AG66" s="276" t="str">
        <f t="shared" si="1"/>
        <v>ADMIN!A1</v>
      </c>
      <c r="AH66" s="276" t="str" cm="1">
        <f t="array" ref="AH66">IF(AG66="","",_xll.U.RANGE_REF(AG66,TRUE))</f>
        <v>[REF]{{34856#2238067033536!R1C1}}</v>
      </c>
      <c r="AI66" s="288"/>
    </row>
    <row r="67" spans="1:35" x14ac:dyDescent="0.3">
      <c r="A67" s="18"/>
      <c r="B67" s="278" t="s">
        <v>3205</v>
      </c>
      <c r="C67" s="1" t="s">
        <v>1653</v>
      </c>
      <c r="D67" s="278" t="s">
        <v>411</v>
      </c>
      <c r="E67" s="314" t="s">
        <v>71</v>
      </c>
      <c r="F67" s="314" t="s">
        <v>71</v>
      </c>
      <c r="G67" s="314" t="s">
        <v>71</v>
      </c>
      <c r="H67" s="20"/>
      <c r="Z67" s="276" t="str">
        <v>REGEX</v>
      </c>
      <c r="AA67" s="276" t="str" cm="1">
        <f t="array" ref="AA67">IF(Z67="","",_xll.U.RANGE_REF(Z67,TRUE))</f>
        <v>[REF]{{34856#2238124304192!R5C9:R7C9}}</v>
      </c>
      <c r="AB67" s="276"/>
      <c r="AC67" s="276" t="str">
        <f t="shared" si="0"/>
        <v>REGEX_PARAMS</v>
      </c>
      <c r="AD67" s="276" t="str" cm="1">
        <f t="array" ref="AD67">IF(AC67="","",_xll.U.RANGE_REF(AC67,TRUE))</f>
        <v>[REF]{{34856#2238124304192!R3C17:R23C26}}</v>
      </c>
      <c r="AE67" s="281"/>
      <c r="AF67" s="287" t="str">
        <v/>
      </c>
      <c r="AG67" s="276" t="str">
        <f t="shared" si="1"/>
        <v/>
      </c>
      <c r="AH67" s="276" t="str" cm="1">
        <f t="array" ref="AH67">IF(AG67="","",_xll.U.RANGE_REF(AG67,TRUE))</f>
        <v/>
      </c>
      <c r="AI67" s="288"/>
    </row>
    <row r="68" spans="1:35" x14ac:dyDescent="0.3">
      <c r="A68" s="18"/>
      <c r="B68" s="278" t="s">
        <v>3206</v>
      </c>
      <c r="C68" s="1" t="s">
        <v>2478</v>
      </c>
      <c r="D68" s="278" t="s">
        <v>411</v>
      </c>
      <c r="E68" s="314" t="s">
        <v>71</v>
      </c>
      <c r="F68" s="314" t="s">
        <v>71</v>
      </c>
      <c r="G68" s="314" t="s">
        <v>71</v>
      </c>
      <c r="H68" s="20"/>
      <c r="Z68" s="276" t="str">
        <v>FIND</v>
      </c>
      <c r="AA68" s="276" t="str" cm="1">
        <f t="array" ref="AA68">IF(Z68="","",_xll.U.RANGE_REF(Z68,TRUE))</f>
        <v>[REF]{{34856#2238123967040!R6C6}}</v>
      </c>
      <c r="AB68" s="276"/>
      <c r="AC68" s="276" t="str">
        <f t="shared" si="0"/>
        <v>FIND_PARAMS</v>
      </c>
      <c r="AD68" s="276" t="str" cm="1">
        <f t="array" ref="AD68">IF(AC68="","",_xll.U.RANGE_REF(AC68,TRUE))</f>
        <v>[REF]{{34856#2238123967040!R3C16:R26C25}}</v>
      </c>
      <c r="AE68" s="281"/>
      <c r="AF68" s="287" t="str">
        <v/>
      </c>
      <c r="AG68" s="276" t="str">
        <f t="shared" si="1"/>
        <v/>
      </c>
      <c r="AH68" s="276" t="str" cm="1">
        <f t="array" ref="AH68">IF(AG68="","",_xll.U.RANGE_REF(AG68,TRUE))</f>
        <v/>
      </c>
      <c r="AI68" s="288"/>
    </row>
    <row r="69" spans="1:35" x14ac:dyDescent="0.3">
      <c r="A69" s="18"/>
      <c r="B69" s="278" t="s">
        <v>3207</v>
      </c>
      <c r="C69" s="1" t="s">
        <v>1773</v>
      </c>
      <c r="D69" s="278" t="s">
        <v>411</v>
      </c>
      <c r="E69" s="314" t="s">
        <v>71</v>
      </c>
      <c r="F69" s="314" t="s">
        <v>1786</v>
      </c>
      <c r="G69" s="314"/>
      <c r="H69" s="20"/>
      <c r="Z69" s="276" t="str">
        <v>FORMULA</v>
      </c>
      <c r="AA69" s="276" t="str" cm="1">
        <f t="array" ref="AA69">IF(Z69="","",_xll.U.RANGE_REF(Z69,TRUE))</f>
        <v>[REF]{{34856#2238124304192!R180C9}}</v>
      </c>
      <c r="AB69" s="276"/>
      <c r="AC69" s="276" t="str">
        <f t="shared" ref="AC69:AC132" si="2">IF(Z69="","",Z69&amp;"_PARAMS")</f>
        <v>FORMULA_PARAMS</v>
      </c>
      <c r="AD69" s="276" t="str" cm="1">
        <f t="array" ref="AD69">IF(AC69="","",_xll.U.RANGE_REF(AC69,TRUE))</f>
        <v>[REF]{{34856#2238124304192!R26C17:R43C26}}</v>
      </c>
      <c r="AE69" s="281"/>
      <c r="AF69" s="287" t="str">
        <v/>
      </c>
      <c r="AG69" s="276" t="str">
        <f t="shared" si="1"/>
        <v/>
      </c>
      <c r="AH69" s="276" t="str" cm="1">
        <f t="array" ref="AH69">IF(AG69="","",_xll.U.RANGE_REF(AG69,TRUE))</f>
        <v/>
      </c>
      <c r="AI69" s="288"/>
    </row>
    <row r="70" spans="1:35" x14ac:dyDescent="0.3">
      <c r="A70" s="18"/>
      <c r="B70" s="278" t="s">
        <v>3208</v>
      </c>
      <c r="C70" s="1" t="s">
        <v>1450</v>
      </c>
      <c r="D70" s="278" t="s">
        <v>411</v>
      </c>
      <c r="E70" s="314" t="s">
        <v>71</v>
      </c>
      <c r="F70" s="314" t="s">
        <v>71</v>
      </c>
      <c r="G70" s="314" t="s">
        <v>71</v>
      </c>
      <c r="H70" s="20"/>
      <c r="Z70" s="276" t="str">
        <v>REMOVE_NON_ASCII</v>
      </c>
      <c r="AA70" s="276" t="str" cm="1">
        <f t="array" ref="AA70">IF(Z70="","",_xll.U.RANGE_REF(Z70,TRUE))</f>
        <v>[REF]{{34856#2238124301488!R6C5:R7C5}}</v>
      </c>
      <c r="AB70" s="276"/>
      <c r="AC70" s="276" t="str">
        <f t="shared" si="2"/>
        <v>REMOVE_NON_ASCII_PARAMS</v>
      </c>
      <c r="AD70" s="276" t="str" cm="1">
        <f t="array" ref="AD70">IF(AC70="","",_xll.U.RANGE_REF(AC70,TRUE))</f>
        <v>[REF]{{34856#2238124301488!R3C16:R23C25}}</v>
      </c>
      <c r="AE70" s="281"/>
      <c r="AF70" s="287" t="str">
        <v/>
      </c>
      <c r="AG70" s="276" t="str">
        <f t="shared" ref="AG70:AG133" si="3">IF(AF70="","",AF70&amp;"!A1")</f>
        <v/>
      </c>
      <c r="AH70" s="276" t="str" cm="1">
        <f t="array" ref="AH70">IF(AG70="","",_xll.U.RANGE_REF(AG70,TRUE))</f>
        <v/>
      </c>
      <c r="AI70" s="288"/>
    </row>
    <row r="71" spans="1:35" x14ac:dyDescent="0.3">
      <c r="A71" s="18"/>
      <c r="B71" s="344" t="s">
        <v>3209</v>
      </c>
      <c r="C71" s="345" t="s">
        <v>907</v>
      </c>
      <c r="D71" s="344" t="s">
        <v>411</v>
      </c>
      <c r="E71" s="346" t="s">
        <v>71</v>
      </c>
      <c r="F71" s="346" t="s">
        <v>71</v>
      </c>
      <c r="G71" s="314" t="s">
        <v>71</v>
      </c>
      <c r="H71" s="20"/>
      <c r="Z71" s="276" t="str">
        <v>URL_ENCODE</v>
      </c>
      <c r="AA71" s="276" t="str" cm="1">
        <f t="array" ref="AA71">IF(Z71="","",_xll.U.RANGE_REF(Z71,TRUE))</f>
        <v>[REF]{{34856#2238124296080!R5C4}}</v>
      </c>
      <c r="AB71" s="276"/>
      <c r="AC71" s="276" t="str">
        <f t="shared" si="2"/>
        <v>URL_ENCODE_PARAMS</v>
      </c>
      <c r="AD71" s="276" t="str" cm="1">
        <f t="array" ref="AD71">IF(AC71="","",_xll.U.RANGE_REF(AC71,TRUE))</f>
        <v>[REF]{{34856#2238124296080!R3C13:R14C22}}</v>
      </c>
      <c r="AE71" s="281"/>
      <c r="AF71" s="287" t="str">
        <v/>
      </c>
      <c r="AG71" s="276" t="str">
        <f t="shared" si="3"/>
        <v/>
      </c>
      <c r="AH71" s="276" t="str" cm="1">
        <f t="array" ref="AH71">IF(AG71="","",_xll.U.RANGE_REF(AG71,TRUE))</f>
        <v/>
      </c>
      <c r="AI71" s="288"/>
    </row>
    <row r="72" spans="1:35" x14ac:dyDescent="0.3">
      <c r="A72" s="18"/>
      <c r="B72" s="344" t="s">
        <v>3210</v>
      </c>
      <c r="C72" s="345" t="s">
        <v>2693</v>
      </c>
      <c r="D72" s="344" t="s">
        <v>411</v>
      </c>
      <c r="E72" s="346" t="s">
        <v>71</v>
      </c>
      <c r="F72" s="346" t="s">
        <v>71</v>
      </c>
      <c r="G72" s="314" t="s">
        <v>71</v>
      </c>
      <c r="H72" s="20"/>
      <c r="Z72" s="276" t="str">
        <v>COMPARE</v>
      </c>
      <c r="AA72" s="276" t="str" cm="1">
        <f t="array" ref="AA72">IF(Z72="","",_xll.U.RANGE_REF(Z72,TRUE))</f>
        <v>[REF]{{34856#2238124298784!R5C4}}</v>
      </c>
      <c r="AB72" s="276"/>
      <c r="AC72" s="276" t="str">
        <f t="shared" si="2"/>
        <v>COMPARE_PARAMS</v>
      </c>
      <c r="AD72" s="276" t="str" cm="1">
        <f t="array" ref="AD72">IF(AC72="","",_xll.U.RANGE_REF(AC72,TRUE))</f>
        <v>[REF]{{34856#2238124298784!R3C13:R26C22}}</v>
      </c>
      <c r="AE72" s="281"/>
      <c r="AF72" s="287" t="str">
        <v/>
      </c>
      <c r="AG72" s="276" t="str">
        <f t="shared" si="3"/>
        <v/>
      </c>
      <c r="AH72" s="276" t="str" cm="1">
        <f t="array" ref="AH72">IF(AG72="","",_xll.U.RANGE_REF(AG72,TRUE))</f>
        <v/>
      </c>
      <c r="AI72" s="288"/>
    </row>
    <row r="73" spans="1:35" x14ac:dyDescent="0.3">
      <c r="A73" s="18"/>
      <c r="B73" s="344" t="s">
        <v>3211</v>
      </c>
      <c r="C73" s="345" t="s">
        <v>2673</v>
      </c>
      <c r="D73" s="344" t="s">
        <v>411</v>
      </c>
      <c r="E73" s="346" t="s">
        <v>71</v>
      </c>
      <c r="F73" s="346" t="s">
        <v>71</v>
      </c>
      <c r="G73" s="314" t="s">
        <v>71</v>
      </c>
      <c r="H73" s="20"/>
      <c r="Z73" s="276" t="str">
        <v>GZIP</v>
      </c>
      <c r="AA73" s="276" t="str" cm="1">
        <f t="array" ref="AA73">IF(Z73="","",_xll.U.RANGE_REF(Z73,TRUE))</f>
        <v>[REF]{{34856#2238124290672!R5C5}}</v>
      </c>
      <c r="AB73" s="276"/>
      <c r="AC73" s="276" t="str">
        <f t="shared" si="2"/>
        <v>GZIP_PARAMS</v>
      </c>
      <c r="AD73" s="276" t="str" cm="1">
        <f t="array" ref="AD73">IF(AC73="","",_xll.U.RANGE_REF(AC73,TRUE))</f>
        <v>[REF]{{34856#2238124290672!R3C13:R16C22}}</v>
      </c>
      <c r="AE73" s="281"/>
      <c r="AF73" s="287" t="str">
        <v/>
      </c>
      <c r="AG73" s="276" t="str">
        <f t="shared" si="3"/>
        <v/>
      </c>
      <c r="AH73" s="276" t="str" cm="1">
        <f t="array" ref="AH73">IF(AG73="","",_xll.U.RANGE_REF(AG73,TRUE))</f>
        <v/>
      </c>
      <c r="AI73" s="288"/>
    </row>
    <row r="74" spans="1:35" x14ac:dyDescent="0.3">
      <c r="A74" s="18"/>
      <c r="B74" s="477" t="s">
        <v>1417</v>
      </c>
      <c r="C74" s="478"/>
      <c r="D74" s="478"/>
      <c r="E74" s="478"/>
      <c r="F74" s="478"/>
      <c r="G74" s="479"/>
      <c r="H74" s="20"/>
      <c r="Z74" s="276" t="str">
        <v/>
      </c>
      <c r="AA74" s="276" t="str" cm="1">
        <f t="array" ref="AA74">IF(Z74="","",_xll.U.RANGE_REF(Z74,TRUE))</f>
        <v/>
      </c>
      <c r="AB74" s="276"/>
      <c r="AC74" s="276" t="str">
        <f t="shared" si="2"/>
        <v/>
      </c>
      <c r="AD74" s="276" t="str" cm="1">
        <f t="array" ref="AD74">IF(AC74="","",_xll.U.RANGE_REF(AC74,TRUE))</f>
        <v/>
      </c>
      <c r="AE74" s="281"/>
      <c r="AF74" s="287" t="str">
        <v/>
      </c>
      <c r="AG74" s="276" t="str">
        <f t="shared" si="3"/>
        <v/>
      </c>
      <c r="AH74" s="276" t="str" cm="1">
        <f t="array" ref="AH74">IF(AG74="","",_xll.U.RANGE_REF(AG74,TRUE))</f>
        <v/>
      </c>
      <c r="AI74" s="288"/>
    </row>
    <row r="75" spans="1:35" x14ac:dyDescent="0.3">
      <c r="A75" s="18"/>
      <c r="B75" s="347" t="s">
        <v>3212</v>
      </c>
      <c r="C75" s="348" t="s">
        <v>1791</v>
      </c>
      <c r="D75" s="347" t="s">
        <v>411</v>
      </c>
      <c r="E75" s="349" t="s">
        <v>1786</v>
      </c>
      <c r="F75" s="349" t="s">
        <v>71</v>
      </c>
      <c r="G75" s="314" t="s">
        <v>71</v>
      </c>
      <c r="H75" s="20"/>
      <c r="Z75" s="276" t="str">
        <v>TODAY</v>
      </c>
      <c r="AA75" s="276" t="str" cm="1">
        <f t="array" ref="AA75">IF(Z75="","",_xll.U.RANGE_REF(Z75,TRUE))</f>
        <v>[REF]{{34856#2238124306896!R4C3}}</v>
      </c>
      <c r="AB75" s="276"/>
      <c r="AC75" s="276" t="str">
        <f t="shared" si="2"/>
        <v>TODAY_PARAMS</v>
      </c>
      <c r="AD75" s="276" t="str" cm="1">
        <f t="array" ref="AD75">IF(AC75="","",_xll.U.RANGE_REF(AC75,TRUE))</f>
        <v>[REF]{{34856#2238124306896!R3C11:R11C20}}</v>
      </c>
      <c r="AE75" s="281"/>
      <c r="AF75" s="287" t="str">
        <v/>
      </c>
      <c r="AG75" s="276" t="str">
        <f t="shared" si="3"/>
        <v/>
      </c>
      <c r="AH75" s="276" t="str" cm="1">
        <f t="array" ref="AH75">IF(AG75="","",_xll.U.RANGE_REF(AG75,TRUE))</f>
        <v/>
      </c>
      <c r="AI75" s="288"/>
    </row>
    <row r="76" spans="1:35" x14ac:dyDescent="0.3">
      <c r="A76" s="18"/>
      <c r="B76" s="278" t="s">
        <v>3213</v>
      </c>
      <c r="C76" s="1" t="s">
        <v>1792</v>
      </c>
      <c r="D76" s="278" t="s">
        <v>411</v>
      </c>
      <c r="E76" s="314" t="s">
        <v>1786</v>
      </c>
      <c r="F76" s="314" t="s">
        <v>71</v>
      </c>
      <c r="G76" s="314" t="s">
        <v>71</v>
      </c>
      <c r="H76" s="20"/>
      <c r="Z76" s="276" t="str">
        <v>NOW</v>
      </c>
      <c r="AA76" s="276" t="str" cm="1">
        <f t="array" ref="AA76">IF(Z76="","",_xll.U.RANGE_REF(Z76,TRUE))</f>
        <v>[REF]{{34856#2238124306896!R18C3}}</v>
      </c>
      <c r="AB76" s="276"/>
      <c r="AC76" s="276" t="str">
        <f t="shared" si="2"/>
        <v>NOW_PARAMS</v>
      </c>
      <c r="AD76" s="276" t="str" cm="1">
        <f t="array" ref="AD76">IF(AC76="","",_xll.U.RANGE_REF(AC76,TRUE))</f>
        <v>[REF]{{34856#2238124306896!R14C11:R22C20}}</v>
      </c>
      <c r="AE76" s="281"/>
      <c r="AF76" s="287" t="str">
        <v/>
      </c>
      <c r="AG76" s="276" t="str">
        <f t="shared" si="3"/>
        <v/>
      </c>
      <c r="AH76" s="276" t="str" cm="1">
        <f t="array" ref="AH76">IF(AG76="","",_xll.U.RANGE_REF(AG76,TRUE))</f>
        <v/>
      </c>
      <c r="AI76" s="288"/>
    </row>
    <row r="77" spans="1:35" x14ac:dyDescent="0.3">
      <c r="A77" s="18"/>
      <c r="B77" s="278" t="s">
        <v>3214</v>
      </c>
      <c r="C77" s="1" t="s">
        <v>3215</v>
      </c>
      <c r="D77" s="278" t="s">
        <v>411</v>
      </c>
      <c r="E77" s="314" t="s">
        <v>1786</v>
      </c>
      <c r="F77" s="314" t="s">
        <v>71</v>
      </c>
      <c r="G77" s="314" t="s">
        <v>71</v>
      </c>
      <c r="H77" s="20"/>
      <c r="Z77" s="276" t="str">
        <v>TIME</v>
      </c>
      <c r="AA77" s="276" t="str" cm="1">
        <f t="array" ref="AA77">IF(Z77="","",_xll.U.RANGE_REF(Z77,TRUE))</f>
        <v>[REF]{{34856#2238124306896!R38C3}}</v>
      </c>
      <c r="AB77" s="276"/>
      <c r="AC77" s="276" t="str">
        <f t="shared" si="2"/>
        <v>TIME_PARAMS</v>
      </c>
      <c r="AD77" s="276" t="str" cm="1">
        <f t="array" ref="AD77">IF(AC77="","",_xll.U.RANGE_REF(AC77,TRUE))</f>
        <v>[REF]{{34856#2238124306896!R25C11:R33C20}}</v>
      </c>
      <c r="AE77" s="281"/>
      <c r="AF77" s="287" t="str">
        <v/>
      </c>
      <c r="AG77" s="276" t="str">
        <f t="shared" si="3"/>
        <v/>
      </c>
      <c r="AH77" s="276" t="str" cm="1">
        <f t="array" ref="AH77">IF(AG77="","",_xll.U.RANGE_REF(AG77,TRUE))</f>
        <v/>
      </c>
      <c r="AI77" s="288"/>
    </row>
    <row r="78" spans="1:35" x14ac:dyDescent="0.3">
      <c r="A78" s="18"/>
      <c r="B78" s="278" t="s">
        <v>3216</v>
      </c>
      <c r="C78" s="1" t="s">
        <v>301</v>
      </c>
      <c r="D78" s="278" t="s">
        <v>411</v>
      </c>
      <c r="E78" s="314" t="s">
        <v>71</v>
      </c>
      <c r="F78" s="314" t="s">
        <v>71</v>
      </c>
      <c r="G78" s="314" t="s">
        <v>71</v>
      </c>
      <c r="H78" s="20"/>
      <c r="Z78" s="276" t="str">
        <v>PARSE_DATETIME</v>
      </c>
      <c r="AA78" s="276" t="str" cm="1">
        <f t="array" ref="AA78">IF(Z78="","",_xll.U.RANGE_REF(Z78,TRUE))</f>
        <v>[REF]{{34856#2238124306896!R44C4}}</v>
      </c>
      <c r="AB78" s="276"/>
      <c r="AC78" s="276" t="str">
        <f t="shared" si="2"/>
        <v>PARSE_DATETIME_PARAMS</v>
      </c>
      <c r="AD78" s="276" t="str" cm="1">
        <f t="array" ref="AD78">IF(AC78="","",_xll.U.RANGE_REF(AC78,TRUE))</f>
        <v>[REF]{{34856#2238124306896!R36C11:R56C20}}</v>
      </c>
      <c r="AE78" s="281"/>
      <c r="AF78" s="287" t="str">
        <v/>
      </c>
      <c r="AG78" s="276" t="str">
        <f t="shared" si="3"/>
        <v/>
      </c>
      <c r="AH78" s="276" t="str" cm="1">
        <f t="array" ref="AH78">IF(AG78="","",_xll.U.RANGE_REF(AG78,TRUE))</f>
        <v/>
      </c>
      <c r="AI78" s="288"/>
    </row>
    <row r="79" spans="1:35" x14ac:dyDescent="0.3">
      <c r="A79" s="18"/>
      <c r="B79" s="278" t="s">
        <v>3217</v>
      </c>
      <c r="C79" s="1" t="s">
        <v>769</v>
      </c>
      <c r="D79" s="278" t="s">
        <v>411</v>
      </c>
      <c r="E79" s="314" t="s">
        <v>71</v>
      </c>
      <c r="F79" s="314" t="s">
        <v>71</v>
      </c>
      <c r="G79" s="314" t="s">
        <v>71</v>
      </c>
      <c r="H79" s="20"/>
      <c r="Z79" s="276" t="str">
        <v>CONVERT_DATETIME</v>
      </c>
      <c r="AA79" s="276" t="str" cm="1">
        <f t="array" ref="AA79">IF(Z79="","",_xll.U.RANGE_REF(Z79,TRUE))</f>
        <v>[REF]{{34856#2238124306896!R100C3}}</v>
      </c>
      <c r="AB79" s="276"/>
      <c r="AC79" s="276" t="str">
        <f t="shared" si="2"/>
        <v>CONVERT_DATETIME_PARAMS</v>
      </c>
      <c r="AD79" s="276" t="str" cm="1">
        <f t="array" ref="AD79">IF(AC79="","",_xll.U.RANGE_REF(AC79,TRUE))</f>
        <v>[REF]{{34856#2238124306896!R59C11:R76C20}}</v>
      </c>
      <c r="AE79" s="281"/>
      <c r="AF79" s="287" t="str">
        <v/>
      </c>
      <c r="AG79" s="276" t="str">
        <f t="shared" si="3"/>
        <v/>
      </c>
      <c r="AH79" s="276" t="str" cm="1">
        <f t="array" ref="AH79">IF(AG79="","",_xll.U.RANGE_REF(AG79,TRUE))</f>
        <v/>
      </c>
      <c r="AI79" s="288"/>
    </row>
    <row r="80" spans="1:35" x14ac:dyDescent="0.3">
      <c r="A80" s="18"/>
      <c r="B80" s="278" t="s">
        <v>3218</v>
      </c>
      <c r="C80" s="1" t="s">
        <v>768</v>
      </c>
      <c r="D80" s="278" t="s">
        <v>411</v>
      </c>
      <c r="E80" s="314" t="s">
        <v>1786</v>
      </c>
      <c r="F80" s="314" t="s">
        <v>71</v>
      </c>
      <c r="G80" s="314" t="s">
        <v>71</v>
      </c>
      <c r="H80" s="20"/>
      <c r="Z80" s="276" t="str">
        <v>TIMEZONE</v>
      </c>
      <c r="AA80" s="276" t="str" cm="1">
        <f t="array" ref="AA80">IF(Z80="","",_xll.U.RANGE_REF(Z80,TRUE))</f>
        <v>[REF]{{34856#2238124306896!R152C3}}</v>
      </c>
      <c r="AB80" s="276"/>
      <c r="AC80" s="276" t="str">
        <f t="shared" si="2"/>
        <v>TIMEZONE_PARAMS</v>
      </c>
      <c r="AD80" s="276" t="str" cm="1">
        <f t="array" ref="AD80">IF(AC80="","",_xll.U.RANGE_REF(AC80,TRUE))</f>
        <v>[REF]{{34856#2238124306896!R79C11:R87C20}}</v>
      </c>
      <c r="AE80" s="281"/>
      <c r="AF80" s="287" t="str">
        <v/>
      </c>
      <c r="AG80" s="276" t="str">
        <f t="shared" si="3"/>
        <v/>
      </c>
      <c r="AH80" s="276" t="str" cm="1">
        <f t="array" ref="AH80">IF(AG80="","",_xll.U.RANGE_REF(AG80,TRUE))</f>
        <v/>
      </c>
      <c r="AI80" s="288"/>
    </row>
    <row r="81" spans="1:35" x14ac:dyDescent="0.3">
      <c r="A81" s="18"/>
      <c r="B81" s="344" t="s">
        <v>3219</v>
      </c>
      <c r="C81" s="345" t="s">
        <v>243</v>
      </c>
      <c r="D81" s="344" t="s">
        <v>411</v>
      </c>
      <c r="E81" s="346" t="s">
        <v>71</v>
      </c>
      <c r="F81" s="346" t="s">
        <v>71</v>
      </c>
      <c r="G81" s="314" t="s">
        <v>71</v>
      </c>
      <c r="H81" s="20"/>
      <c r="Z81" s="276" t="str">
        <v>SEQUENCE</v>
      </c>
      <c r="AA81" s="276" t="str" cm="1">
        <f t="array" ref="AA81">IF(Z81="","",_xll.U.RANGE_REF(Z81,TRUE))</f>
        <v>[REF]{{34856#2238124293376!R6C6:R10C6}}</v>
      </c>
      <c r="AB81" s="276"/>
      <c r="AC81" s="276" t="str">
        <f t="shared" si="2"/>
        <v>SEQUENCE_PARAMS</v>
      </c>
      <c r="AD81" s="276" t="str" cm="1">
        <f t="array" ref="AD81">IF(AC81="","",_xll.U.RANGE_REF(AC81,TRUE))</f>
        <v>[REF]{{34856#2238124293376!R3C13:R20C22}}</v>
      </c>
      <c r="AE81" s="281"/>
      <c r="AF81" s="287" t="str">
        <v/>
      </c>
      <c r="AG81" s="276" t="str">
        <f t="shared" si="3"/>
        <v/>
      </c>
      <c r="AH81" s="276" t="str" cm="1">
        <f t="array" ref="AH81">IF(AG81="","",_xll.U.RANGE_REF(AG81,TRUE))</f>
        <v/>
      </c>
      <c r="AI81" s="288"/>
    </row>
    <row r="82" spans="1:35" x14ac:dyDescent="0.3">
      <c r="A82" s="18"/>
      <c r="B82" s="477" t="s">
        <v>1418</v>
      </c>
      <c r="C82" s="478"/>
      <c r="D82" s="478"/>
      <c r="E82" s="478"/>
      <c r="F82" s="478"/>
      <c r="G82" s="479"/>
      <c r="H82" s="20"/>
      <c r="Z82" s="276" t="str">
        <v/>
      </c>
      <c r="AA82" s="276" t="str" cm="1">
        <f t="array" ref="AA82">IF(Z82="","",_xll.U.RANGE_REF(Z82,TRUE))</f>
        <v/>
      </c>
      <c r="AB82" s="276"/>
      <c r="AC82" s="276" t="str">
        <f t="shared" si="2"/>
        <v/>
      </c>
      <c r="AD82" s="276" t="str" cm="1">
        <f t="array" ref="AD82">IF(AC82="","",_xll.U.RANGE_REF(AC82,TRUE))</f>
        <v/>
      </c>
      <c r="AE82" s="281"/>
      <c r="AF82" s="287" t="str">
        <v/>
      </c>
      <c r="AG82" s="276" t="str">
        <f t="shared" si="3"/>
        <v/>
      </c>
      <c r="AH82" s="276" t="str" cm="1">
        <f t="array" ref="AH82">IF(AG82="","",_xll.U.RANGE_REF(AG82,TRUE))</f>
        <v/>
      </c>
      <c r="AI82" s="288"/>
    </row>
    <row r="83" spans="1:35" x14ac:dyDescent="0.3">
      <c r="A83" s="18"/>
      <c r="B83" s="347" t="s">
        <v>3220</v>
      </c>
      <c r="C83" s="348" t="s">
        <v>2220</v>
      </c>
      <c r="D83" s="347" t="s">
        <v>411</v>
      </c>
      <c r="E83" s="349" t="s">
        <v>71</v>
      </c>
      <c r="F83" s="314" t="s">
        <v>1786</v>
      </c>
      <c r="G83" s="349" t="s">
        <v>1786</v>
      </c>
      <c r="H83" s="20"/>
      <c r="Z83" s="276" t="str">
        <v>READ_FILE</v>
      </c>
      <c r="AA83" s="276" t="str" cm="1">
        <f t="array" ref="AA83">IF(Z83="","",_xll.U.RANGE_REF(Z83,TRUE))</f>
        <v>[REF]{{34856#2238124309600!R61C5}}</v>
      </c>
      <c r="AB83" s="276"/>
      <c r="AC83" s="276" t="str">
        <f t="shared" si="2"/>
        <v>READ_FILE_PARAMS</v>
      </c>
      <c r="AD83" s="276" t="str" cm="1">
        <f t="array" ref="AD83">IF(AC83="","",_xll.U.RANGE_REF(AC83,TRUE))</f>
        <v>[REF]{{34856#2238124309600!R32C17:R55C26}}</v>
      </c>
      <c r="AE83" s="281"/>
      <c r="AF83" s="287" t="str">
        <v/>
      </c>
      <c r="AG83" s="276" t="str">
        <f t="shared" si="3"/>
        <v/>
      </c>
      <c r="AH83" s="276" t="str" cm="1">
        <f t="array" ref="AH83">IF(AG83="","",_xll.U.RANGE_REF(AG83,TRUE))</f>
        <v/>
      </c>
      <c r="AI83" s="288"/>
    </row>
    <row r="84" spans="1:35" x14ac:dyDescent="0.3">
      <c r="A84" s="18"/>
      <c r="B84" s="278" t="s">
        <v>3221</v>
      </c>
      <c r="C84" s="1" t="s">
        <v>1163</v>
      </c>
      <c r="D84" s="278" t="s">
        <v>411</v>
      </c>
      <c r="E84" s="314" t="s">
        <v>71</v>
      </c>
      <c r="F84" s="314"/>
      <c r="G84" s="314" t="s">
        <v>1786</v>
      </c>
      <c r="H84" s="20"/>
      <c r="Z84" s="276" t="str">
        <v>WRITE_FILE</v>
      </c>
      <c r="AA84" s="276" t="str" cm="1">
        <f t="array" ref="AA84">IF(Z84="","",_xll.U.RANGE_REF(Z84,TRUE))</f>
        <v>[REF]{{34856#2238124309600!R5C5}}</v>
      </c>
      <c r="AB84" s="276"/>
      <c r="AC84" s="276" t="str">
        <f t="shared" si="2"/>
        <v>WRITE_FILE_PARAMS</v>
      </c>
      <c r="AD84" s="276" t="str" cm="1">
        <f t="array" ref="AD84">IF(AC84="","",_xll.U.RANGE_REF(AC84,TRUE))</f>
        <v>[REF]{{34856#2238124309600!R3C17:R29C26}}</v>
      </c>
      <c r="AE84" s="281"/>
      <c r="AF84" s="287" t="str">
        <v/>
      </c>
      <c r="AG84" s="276" t="str">
        <f t="shared" si="3"/>
        <v/>
      </c>
      <c r="AH84" s="276" t="str" cm="1">
        <f t="array" ref="AH84">IF(AG84="","",_xll.U.RANGE_REF(AG84,TRUE))</f>
        <v/>
      </c>
      <c r="AI84" s="288"/>
    </row>
    <row r="85" spans="1:35" x14ac:dyDescent="0.3">
      <c r="A85" s="18"/>
      <c r="B85" s="278" t="s">
        <v>3222</v>
      </c>
      <c r="C85" s="1" t="s">
        <v>1381</v>
      </c>
      <c r="D85" s="278" t="s">
        <v>411</v>
      </c>
      <c r="E85" s="314" t="s">
        <v>71</v>
      </c>
      <c r="F85" s="314" t="s">
        <v>71</v>
      </c>
      <c r="G85" s="314" t="s">
        <v>1786</v>
      </c>
      <c r="H85" s="20"/>
      <c r="Z85" s="276" t="str">
        <v>COPY_FILE</v>
      </c>
      <c r="AA85" s="276" t="str" cm="1">
        <f t="array" ref="AA85">IF(Z85="","",_xll.U.RANGE_REF(Z85,TRUE))</f>
        <v>[REF]{{34856#2238124309600!R112C3}}</v>
      </c>
      <c r="AB85" s="276"/>
      <c r="AC85" s="276" t="str">
        <f t="shared" si="2"/>
        <v>COPY_FILE_PARAMS</v>
      </c>
      <c r="AD85" s="276" t="str" cm="1">
        <f t="array" ref="AD85">IF(AC85="","",_xll.U.RANGE_REF(AC85,TRUE))</f>
        <v>[REF]{{34856#2238124309600!R107C17:R133C26}}</v>
      </c>
      <c r="AE85" s="281"/>
      <c r="AF85" s="287" t="str">
        <v/>
      </c>
      <c r="AG85" s="276" t="str">
        <f t="shared" si="3"/>
        <v/>
      </c>
      <c r="AH85" s="276" t="str" cm="1">
        <f t="array" ref="AH85">IF(AG85="","",_xll.U.RANGE_REF(AG85,TRUE))</f>
        <v/>
      </c>
      <c r="AI85" s="288"/>
    </row>
    <row r="86" spans="1:35" x14ac:dyDescent="0.3">
      <c r="A86" s="18"/>
      <c r="B86" s="278" t="s">
        <v>3223</v>
      </c>
      <c r="C86" s="1" t="s">
        <v>2807</v>
      </c>
      <c r="D86" s="278" t="s">
        <v>411</v>
      </c>
      <c r="E86" s="314" t="s">
        <v>71</v>
      </c>
      <c r="F86" s="314" t="s">
        <v>1786</v>
      </c>
      <c r="G86" s="314" t="s">
        <v>1786</v>
      </c>
      <c r="H86" s="20"/>
      <c r="Z86" s="276" t="str">
        <v>FIND_FILE</v>
      </c>
      <c r="AA86" s="276" t="str" cm="1">
        <f t="array" ref="AA86">IF(Z86="","",_xll.U.RANGE_REF(Z86,TRUE))</f>
        <v>[REF]{{34856#2238124309600!R86C3}}</v>
      </c>
      <c r="AB86" s="276"/>
      <c r="AC86" s="276" t="str">
        <f t="shared" si="2"/>
        <v>FIND_FILE_PARAMS</v>
      </c>
      <c r="AD86" s="276" t="str" cm="1">
        <f t="array" ref="AD86">IF(AC86="","",_xll.U.RANGE_REF(AC86,TRUE))</f>
        <v>[REF]{{34856#2238124309600!R58C17:R84C26}}</v>
      </c>
      <c r="AE86" s="281"/>
      <c r="AF86" s="287" t="str">
        <v/>
      </c>
      <c r="AG86" s="276" t="str">
        <f t="shared" si="3"/>
        <v/>
      </c>
      <c r="AH86" s="276" t="str" cm="1">
        <f t="array" ref="AH86">IF(AG86="","",_xll.U.RANGE_REF(AG86,TRUE))</f>
        <v/>
      </c>
      <c r="AI86" s="288"/>
    </row>
    <row r="87" spans="1:35" x14ac:dyDescent="0.3">
      <c r="A87" s="18"/>
      <c r="B87" s="278" t="s">
        <v>3224</v>
      </c>
      <c r="C87" s="1" t="s">
        <v>1261</v>
      </c>
      <c r="D87" s="278" t="s">
        <v>411</v>
      </c>
      <c r="E87" s="314" t="s">
        <v>1786</v>
      </c>
      <c r="F87" s="314" t="s">
        <v>1786</v>
      </c>
      <c r="G87" s="314" t="s">
        <v>71</v>
      </c>
      <c r="H87" s="20"/>
      <c r="Z87" s="276" t="str">
        <v>WATCH_FILES</v>
      </c>
      <c r="AA87" s="276" t="str" cm="1">
        <f t="array" ref="AA87">IF(Z87="","",_xll.U.RANGE_REF(Z87,TRUE))</f>
        <v>[REF]{{34856#2238124309600!R99C3}}</v>
      </c>
      <c r="AB87" s="276"/>
      <c r="AC87" s="276" t="str">
        <f t="shared" si="2"/>
        <v>WATCH_FILES_PARAMS</v>
      </c>
      <c r="AD87" s="276" t="str" cm="1">
        <f t="array" ref="AD87">IF(AC87="","",_xll.U.RANGE_REF(AC87,TRUE))</f>
        <v>[REF]{{34856#2238124309600!R87C17:R104C26}}</v>
      </c>
      <c r="AE87" s="281"/>
      <c r="AF87" s="287" t="str">
        <v/>
      </c>
      <c r="AG87" s="276" t="str">
        <f t="shared" si="3"/>
        <v/>
      </c>
      <c r="AH87" s="276" t="str" cm="1">
        <f t="array" ref="AH87">IF(AG87="","",_xll.U.RANGE_REF(AG87,TRUE))</f>
        <v/>
      </c>
      <c r="AI87" s="288"/>
    </row>
    <row r="88" spans="1:35" x14ac:dyDescent="0.3">
      <c r="A88" s="18"/>
      <c r="B88" s="278" t="s">
        <v>3225</v>
      </c>
      <c r="C88" s="1" t="s">
        <v>680</v>
      </c>
      <c r="D88" s="278" t="s">
        <v>411</v>
      </c>
      <c r="E88" s="314" t="s">
        <v>71</v>
      </c>
      <c r="F88" s="314" t="s">
        <v>1786</v>
      </c>
      <c r="G88" s="314" t="s">
        <v>1786</v>
      </c>
      <c r="H88" s="20"/>
      <c r="Z88" s="276" t="str">
        <v>OPEN_DIRECTORY</v>
      </c>
      <c r="AA88" s="276" t="str" cm="1">
        <f t="array" ref="AA88">IF(Z88="","",_xll.U.RANGE_REF(Z88,TRUE))</f>
        <v>[REF]{{34856#2238124309600!R152C3}}</v>
      </c>
      <c r="AB88" s="276"/>
      <c r="AC88" s="276" t="str">
        <f t="shared" si="2"/>
        <v>OPEN_DIRECTORY_PARAMS</v>
      </c>
      <c r="AD88" s="276" t="str" cm="1">
        <f t="array" ref="AD88">IF(AC88="","",_xll.U.RANGE_REF(AC88,TRUE))</f>
        <v>[REF]{{34856#2238124309600!R136C17:R150C26}}</v>
      </c>
      <c r="AE88" s="281"/>
      <c r="AF88" s="287" t="str">
        <v/>
      </c>
      <c r="AG88" s="276" t="str">
        <f t="shared" si="3"/>
        <v/>
      </c>
      <c r="AH88" s="276" t="str" cm="1">
        <f t="array" ref="AH88">IF(AG88="","",_xll.U.RANGE_REF(AG88,TRUE))</f>
        <v/>
      </c>
      <c r="AI88" s="288"/>
    </row>
    <row r="89" spans="1:35" x14ac:dyDescent="0.3">
      <c r="A89" s="18"/>
      <c r="B89" s="278" t="s">
        <v>3226</v>
      </c>
      <c r="C89" s="1" t="s">
        <v>593</v>
      </c>
      <c r="D89" s="278" t="s">
        <v>411</v>
      </c>
      <c r="E89" s="314" t="s">
        <v>71</v>
      </c>
      <c r="F89" s="314" t="s">
        <v>71</v>
      </c>
      <c r="G89" s="314"/>
      <c r="H89" s="20"/>
      <c r="Z89" s="276" t="str">
        <v>NETWORK_PATH</v>
      </c>
      <c r="AA89" s="276" t="str" cm="1">
        <f t="array" ref="AA89">IF(Z89="","",_xll.U.RANGE_REF(Z89,TRUE))</f>
        <v>[REF]{{34856#2238067033536!R71C3}}</v>
      </c>
      <c r="AB89" s="276"/>
      <c r="AC89" s="276" t="str">
        <f t="shared" si="2"/>
        <v>NETWORK_PATH_PARAMS</v>
      </c>
      <c r="AD89" s="276" t="str" cm="1">
        <f t="array" ref="AD89">IF(AC89="","",_xll.U.RANGE_REF(AC89,TRUE))</f>
        <v>[REF]{{34856#2238067033536!R139C11:R147C20}}</v>
      </c>
      <c r="AE89" s="281"/>
      <c r="AF89" s="287" t="str">
        <v/>
      </c>
      <c r="AG89" s="276" t="str">
        <f t="shared" si="3"/>
        <v/>
      </c>
      <c r="AH89" s="276" t="str" cm="1">
        <f t="array" ref="AH89">IF(AG89="","",_xll.U.RANGE_REF(AG89,TRUE))</f>
        <v/>
      </c>
      <c r="AI89" s="288"/>
    </row>
    <row r="90" spans="1:35" x14ac:dyDescent="0.3">
      <c r="A90" s="18"/>
      <c r="B90" s="278" t="s">
        <v>3704</v>
      </c>
      <c r="C90" s="1" t="s">
        <v>3705</v>
      </c>
      <c r="D90" s="278" t="s">
        <v>411</v>
      </c>
      <c r="E90" s="314" t="s">
        <v>71</v>
      </c>
      <c r="F90" s="314" t="s">
        <v>71</v>
      </c>
      <c r="G90" s="314" t="s">
        <v>1786</v>
      </c>
      <c r="H90" s="20"/>
      <c r="Z90" s="276" t="str">
        <v>MAKE_LINK</v>
      </c>
      <c r="AA90" s="276" t="str" cm="1">
        <f t="array" ref="AA90">IF(Z90="","",_xll.U.RANGE_REF(Z90,TRUE))</f>
        <v>[REF]{{34856#2238124309600!R182C3}}</v>
      </c>
      <c r="AB90" s="276"/>
      <c r="AC90" s="276" t="str">
        <f t="shared" si="2"/>
        <v>MAKE_LINK_PARAMS</v>
      </c>
      <c r="AD90" s="276" t="str" cm="1">
        <f t="array" ref="AD90">IF(AC90="","",_xll.U.RANGE_REF(AC90,TRUE))</f>
        <v>[REF]{{34856#2238124309600!R153C17:R170C26}}</v>
      </c>
      <c r="AE90" s="281"/>
      <c r="AF90" s="287" t="str">
        <v/>
      </c>
      <c r="AG90" s="276" t="str">
        <f t="shared" si="3"/>
        <v/>
      </c>
      <c r="AH90" s="276" t="str" cm="1">
        <f t="array" ref="AH90">IF(AG90="","",_xll.U.RANGE_REF(AG90,TRUE))</f>
        <v/>
      </c>
      <c r="AI90" s="288"/>
    </row>
    <row r="91" spans="1:35" x14ac:dyDescent="0.3">
      <c r="A91" s="18"/>
      <c r="B91" s="344" t="s">
        <v>3227</v>
      </c>
      <c r="C91" s="345" t="s">
        <v>1741</v>
      </c>
      <c r="D91" s="344" t="s">
        <v>411</v>
      </c>
      <c r="E91" s="346" t="s">
        <v>71</v>
      </c>
      <c r="F91" s="314" t="s">
        <v>1786</v>
      </c>
      <c r="G91" s="314"/>
      <c r="H91" s="20"/>
      <c r="Z91" s="276" t="str">
        <v>RECENT</v>
      </c>
      <c r="AA91" s="276" t="str" cm="1">
        <f t="array" ref="AA91">IF(Z91="","",_xll.U.RANGE_REF(Z91,TRUE))</f>
        <v>[REF]{{34856#2238124309600!R190C2:R216C2}}</v>
      </c>
      <c r="AB91" s="276"/>
      <c r="AC91" s="276" t="str">
        <f t="shared" si="2"/>
        <v>RECENT_PARAMS</v>
      </c>
      <c r="AD91" s="276" t="str" cm="1">
        <f t="array" ref="AD91">IF(AC91="","",_xll.U.RANGE_REF(AC91,TRUE))</f>
        <v>[REF]{{34856#2238124309600!R173C17:R181C26}}</v>
      </c>
      <c r="AE91" s="281"/>
      <c r="AF91" s="287" t="str">
        <v/>
      </c>
      <c r="AG91" s="276" t="str">
        <f t="shared" si="3"/>
        <v/>
      </c>
      <c r="AH91" s="276" t="str" cm="1">
        <f t="array" ref="AH91">IF(AG91="","",_xll.U.RANGE_REF(AG91,TRUE))</f>
        <v/>
      </c>
      <c r="AI91" s="288"/>
    </row>
    <row r="92" spans="1:35" x14ac:dyDescent="0.3">
      <c r="A92" s="18"/>
      <c r="B92" s="477" t="s">
        <v>1420</v>
      </c>
      <c r="C92" s="478"/>
      <c r="D92" s="478"/>
      <c r="E92" s="478"/>
      <c r="F92" s="478"/>
      <c r="G92" s="479"/>
      <c r="H92" s="20"/>
      <c r="Z92" s="276" t="str">
        <v/>
      </c>
      <c r="AA92" s="276" t="str" cm="1">
        <f t="array" ref="AA92">IF(Z92="","",_xll.U.RANGE_REF(Z92,TRUE))</f>
        <v/>
      </c>
      <c r="AB92" s="276"/>
      <c r="AC92" s="276" t="str">
        <f t="shared" si="2"/>
        <v/>
      </c>
      <c r="AD92" s="276" t="str" cm="1">
        <f t="array" ref="AD92">IF(AC92="","",_xll.U.RANGE_REF(AC92,TRUE))</f>
        <v/>
      </c>
      <c r="AE92" s="281"/>
      <c r="AF92" s="287" t="str">
        <v/>
      </c>
      <c r="AG92" s="276" t="str">
        <f t="shared" si="3"/>
        <v/>
      </c>
      <c r="AH92" s="276" t="str" cm="1">
        <f t="array" ref="AH92">IF(AG92="","",_xll.U.RANGE_REF(AG92,TRUE))</f>
        <v/>
      </c>
      <c r="AI92" s="288"/>
    </row>
    <row r="93" spans="1:35" x14ac:dyDescent="0.3">
      <c r="A93" s="18"/>
      <c r="B93" s="347" t="s">
        <v>3228</v>
      </c>
      <c r="C93" s="348" t="s">
        <v>339</v>
      </c>
      <c r="D93" s="347" t="s">
        <v>411</v>
      </c>
      <c r="E93" s="349" t="s">
        <v>71</v>
      </c>
      <c r="F93" s="314" t="s">
        <v>1786</v>
      </c>
      <c r="G93" s="349" t="s">
        <v>1786</v>
      </c>
      <c r="H93" s="20"/>
      <c r="Z93" s="276" t="str">
        <v>LAUNCH_EXCEL</v>
      </c>
      <c r="AA93" s="276" t="str" cm="1">
        <f t="array" ref="AA93">IF(Z93="","",_xll.U.RANGE_REF(Z93,TRUE))</f>
        <v>[REF]{{34856#2238124315008!R5C5:R6C5}}</v>
      </c>
      <c r="AB93" s="276"/>
      <c r="AC93" s="276" t="str">
        <f t="shared" si="2"/>
        <v>LAUNCH_EXCEL_PARAMS</v>
      </c>
      <c r="AD93" s="276" t="str" cm="1">
        <f t="array" ref="AD93">IF(AC93="","",_xll.U.RANGE_REF(AC93,TRUE))</f>
        <v>[REF]{{34856#2238124315008!R3C19:R32C28}}</v>
      </c>
      <c r="AE93" s="281"/>
      <c r="AF93" s="287" t="str">
        <v/>
      </c>
      <c r="AG93" s="276" t="str">
        <f t="shared" si="3"/>
        <v/>
      </c>
      <c r="AH93" s="276" t="str" cm="1">
        <f t="array" ref="AH93">IF(AG93="","",_xll.U.RANGE_REF(AG93,TRUE))</f>
        <v/>
      </c>
      <c r="AI93" s="288"/>
    </row>
    <row r="94" spans="1:35" x14ac:dyDescent="0.3">
      <c r="A94" s="18"/>
      <c r="B94" s="278" t="s">
        <v>3229</v>
      </c>
      <c r="C94" s="1" t="s">
        <v>338</v>
      </c>
      <c r="D94" s="278" t="s">
        <v>411</v>
      </c>
      <c r="E94" s="314" t="s">
        <v>71</v>
      </c>
      <c r="F94" s="314" t="s">
        <v>1786</v>
      </c>
      <c r="G94" s="314" t="s">
        <v>1786</v>
      </c>
      <c r="H94" s="20"/>
      <c r="Z94" s="276" t="str">
        <v>CONTROL_EXCEL</v>
      </c>
      <c r="AA94" s="276" t="str" cm="1">
        <f t="array" ref="AA94">IF(Z94="","",_xll.U.RANGE_REF(Z94,TRUE))</f>
        <v>[REF]{{34856#2238124315008!R40C5}}</v>
      </c>
      <c r="AB94" s="276"/>
      <c r="AC94" s="276" t="str">
        <f t="shared" si="2"/>
        <v>CONTROL_EXCEL_PARAMS</v>
      </c>
      <c r="AD94" s="276" t="str" cm="1">
        <f t="array" ref="AD94">IF(AC94="","",_xll.U.RANGE_REF(AC94,TRUE))</f>
        <v>[REF]{{34856#2238124315008!R52C19:R63C28}}</v>
      </c>
      <c r="AE94" s="281"/>
      <c r="AF94" s="287" t="str">
        <v/>
      </c>
      <c r="AG94" s="276" t="str">
        <f t="shared" si="3"/>
        <v/>
      </c>
      <c r="AH94" s="276" t="str" cm="1">
        <f t="array" ref="AH94">IF(AG94="","",_xll.U.RANGE_REF(AG94,TRUE))</f>
        <v/>
      </c>
      <c r="AI94" s="288"/>
    </row>
    <row r="95" spans="1:35" x14ac:dyDescent="0.3">
      <c r="A95" s="18"/>
      <c r="B95" s="278" t="s">
        <v>3230</v>
      </c>
      <c r="C95" s="1" t="s">
        <v>3231</v>
      </c>
      <c r="D95" s="278" t="s">
        <v>411</v>
      </c>
      <c r="E95" s="314" t="s">
        <v>1786</v>
      </c>
      <c r="F95" s="314" t="s">
        <v>71</v>
      </c>
      <c r="G95" s="314" t="s">
        <v>71</v>
      </c>
      <c r="H95" s="20"/>
      <c r="Z95" s="276" t="str">
        <v>ENABLE_CONTROL</v>
      </c>
      <c r="AA95" s="276" t="str" cm="1">
        <f t="array" ref="AA95">IF(Z95="","",_xll.U.RANGE_REF(Z95,TRUE))</f>
        <v>[REF]{{34856#2238124315008!R133C5}}</v>
      </c>
      <c r="AB95" s="276"/>
      <c r="AC95" s="276" t="str">
        <f t="shared" si="2"/>
        <v>ENABLE_CONTROL_PARAMS</v>
      </c>
      <c r="AD95" s="276" t="str" cm="1">
        <f t="array" ref="AD95">IF(AC95="","",_xll.U.RANGE_REF(AC95,TRUE))</f>
        <v>[REF]{{34856#2238124315008!R77C19:R85C28}}</v>
      </c>
      <c r="AE95" s="281"/>
      <c r="AF95" s="287" t="str">
        <v/>
      </c>
      <c r="AG95" s="276" t="str">
        <f t="shared" si="3"/>
        <v/>
      </c>
      <c r="AH95" s="276" t="str" cm="1">
        <f t="array" ref="AH95">IF(AG95="","",_xll.U.RANGE_REF(AG95,TRUE))</f>
        <v/>
      </c>
      <c r="AI95" s="288"/>
    </row>
    <row r="96" spans="1:35" x14ac:dyDescent="0.3">
      <c r="A96" s="18"/>
      <c r="B96" s="278" t="s">
        <v>3232</v>
      </c>
      <c r="C96" s="1" t="s">
        <v>1250</v>
      </c>
      <c r="D96" s="278" t="s">
        <v>411</v>
      </c>
      <c r="E96" s="314" t="s">
        <v>1786</v>
      </c>
      <c r="F96" s="314" t="s">
        <v>71</v>
      </c>
      <c r="G96" s="314" t="s">
        <v>71</v>
      </c>
      <c r="H96" s="20"/>
      <c r="Z96" s="276" t="str">
        <v>IS_CONTROL_ENABLED</v>
      </c>
      <c r="AA96" s="276" t="str" cm="1">
        <f t="array" ref="AA96">IF(Z96="","",_xll.U.RANGE_REF(Z96,TRUE))</f>
        <v>[REF]{{34856#2238124315008!R145C5}}</v>
      </c>
      <c r="AB96" s="276"/>
      <c r="AC96" s="276" t="str">
        <f t="shared" si="2"/>
        <v>IS_CONTROL_ENABLED_PARAMS</v>
      </c>
      <c r="AD96" s="276" t="str" cm="1">
        <f t="array" ref="AD96">IF(AC96="","",_xll.U.RANGE_REF(AC96,TRUE))</f>
        <v>[REF]{{34856#2238124315008!R88C19:R93C28}}</v>
      </c>
      <c r="AE96" s="281"/>
      <c r="AF96" s="287" t="str">
        <v/>
      </c>
      <c r="AG96" s="276" t="str">
        <f t="shared" si="3"/>
        <v/>
      </c>
      <c r="AH96" s="276" t="str" cm="1">
        <f t="array" ref="AH96">IF(AG96="","",_xll.U.RANGE_REF(AG96,TRUE))</f>
        <v/>
      </c>
      <c r="AI96" s="288"/>
    </row>
    <row r="97" spans="1:35" x14ac:dyDescent="0.3">
      <c r="A97" s="18"/>
      <c r="B97" s="278" t="s">
        <v>3233</v>
      </c>
      <c r="C97" s="1" t="s">
        <v>607</v>
      </c>
      <c r="D97" s="278" t="s">
        <v>411</v>
      </c>
      <c r="E97" s="314" t="s">
        <v>71</v>
      </c>
      <c r="F97" s="314" t="s">
        <v>71</v>
      </c>
      <c r="G97" s="314" t="s">
        <v>71</v>
      </c>
      <c r="H97" s="20"/>
      <c r="Z97" s="276" t="str">
        <v>GET_CONTROL_SETTINGS</v>
      </c>
      <c r="AA97" s="276" t="str" cm="1">
        <f t="array" ref="AA97">IF(Z97="","",_xll.U.RANGE_REF(Z97,TRUE))</f>
        <v>[REF]{{34856#2238124315008!R71C2:R128C2}}</v>
      </c>
      <c r="AB97" s="276"/>
      <c r="AC97" s="276" t="str">
        <f t="shared" si="2"/>
        <v>GET_CONTROL_SETTINGS_PARAMS</v>
      </c>
      <c r="AD97" s="276" t="str" cm="1">
        <f t="array" ref="AD97">IF(AC97="","",_xll.U.RANGE_REF(AC97,TRUE))</f>
        <v>[REF]{{34856#2238124315008!R66C19:R74C28}}</v>
      </c>
      <c r="AE97" s="281"/>
      <c r="AF97" s="287" t="str">
        <v/>
      </c>
      <c r="AG97" s="276" t="str">
        <f t="shared" si="3"/>
        <v/>
      </c>
      <c r="AH97" s="276" t="str" cm="1">
        <f t="array" ref="AH97">IF(AG97="","",_xll.U.RANGE_REF(AG97,TRUE))</f>
        <v/>
      </c>
      <c r="AI97" s="288"/>
    </row>
    <row r="98" spans="1:35" x14ac:dyDescent="0.3">
      <c r="A98" s="18"/>
      <c r="B98" s="347" t="s">
        <v>3234</v>
      </c>
      <c r="C98" s="348" t="s">
        <v>3073</v>
      </c>
      <c r="D98" s="347" t="s">
        <v>411</v>
      </c>
      <c r="E98" s="349" t="s">
        <v>1786</v>
      </c>
      <c r="F98" s="314" t="s">
        <v>1786</v>
      </c>
      <c r="G98" s="349"/>
      <c r="H98" s="20"/>
      <c r="Z98" s="276" t="str">
        <v>ISOLATE_WORKBOOK</v>
      </c>
      <c r="AA98" s="276" t="str" cm="1">
        <f t="array" ref="AA98">IF(Z98="","",_xll.U.RANGE_REF(Z98,TRUE))</f>
        <v>[REF]{{34856#2238124315008!R290C5}}</v>
      </c>
      <c r="AB98" s="276"/>
      <c r="AC98" s="276" t="str">
        <f t="shared" si="2"/>
        <v>ISOLATE_WORKBOOK_PARAMS</v>
      </c>
      <c r="AD98" s="276" t="str" cm="1">
        <f t="array" ref="AD98">IF(AC98="","",_xll.U.RANGE_REF(AC98,TRUE))</f>
        <v>[REF]{{34856#2238124315008!R220C19:R228C28}}</v>
      </c>
      <c r="AE98" s="281"/>
      <c r="AF98" s="287" t="str">
        <v/>
      </c>
      <c r="AG98" s="276" t="str">
        <f t="shared" si="3"/>
        <v/>
      </c>
      <c r="AH98" s="276" t="str" cm="1">
        <f t="array" ref="AH98">IF(AG98="","",_xll.U.RANGE_REF(AG98,TRUE))</f>
        <v/>
      </c>
      <c r="AI98" s="288"/>
    </row>
    <row r="99" spans="1:35" x14ac:dyDescent="0.3">
      <c r="A99" s="18"/>
      <c r="B99" s="278" t="s">
        <v>3235</v>
      </c>
      <c r="C99" s="1" t="s">
        <v>612</v>
      </c>
      <c r="D99" s="278" t="s">
        <v>411</v>
      </c>
      <c r="E99" s="314" t="s">
        <v>71</v>
      </c>
      <c r="F99" s="314" t="s">
        <v>71</v>
      </c>
      <c r="G99" s="314" t="s">
        <v>1786</v>
      </c>
      <c r="H99" s="20"/>
      <c r="Z99" s="276" t="str">
        <v>GET_EXCEL_PROCESSES</v>
      </c>
      <c r="AA99" s="276" t="str" cm="1">
        <f t="array" ref="AA99">IF(Z99="","",_xll.U.RANGE_REF(Z99,TRUE))</f>
        <v>[REF]{{34856#2238124315008!R158C2:R161C7}}</v>
      </c>
      <c r="AB99" s="276"/>
      <c r="AC99" s="276" t="str">
        <f t="shared" si="2"/>
        <v>GET_EXCEL_PROCESSES_PARAMS</v>
      </c>
      <c r="AD99" s="276" t="str" cm="1">
        <f t="array" ref="AD99">IF(AC99="","",_xll.U.RANGE_REF(AC99,TRUE))</f>
        <v>[REF]{{34856#2238124315008!R96C19:R101C28}}</v>
      </c>
      <c r="AE99" s="281"/>
      <c r="AF99" s="287" t="str">
        <v/>
      </c>
      <c r="AG99" s="276" t="str">
        <f t="shared" si="3"/>
        <v/>
      </c>
      <c r="AH99" s="276" t="str" cm="1">
        <f t="array" ref="AH99">IF(AG99="","",_xll.U.RANGE_REF(AG99,TRUE))</f>
        <v/>
      </c>
      <c r="AI99" s="288"/>
    </row>
    <row r="100" spans="1:35" x14ac:dyDescent="0.3">
      <c r="A100" s="18"/>
      <c r="B100" s="278" t="s">
        <v>3236</v>
      </c>
      <c r="C100" s="1" t="s">
        <v>1529</v>
      </c>
      <c r="D100" s="278" t="s">
        <v>411</v>
      </c>
      <c r="E100" s="314" t="s">
        <v>71</v>
      </c>
      <c r="F100" s="314" t="s">
        <v>71</v>
      </c>
      <c r="G100" s="314" t="s">
        <v>1786</v>
      </c>
      <c r="H100" s="20"/>
      <c r="Z100" s="276" t="str">
        <v>KILL_EXCEL_PROCESSES</v>
      </c>
      <c r="AA100" s="276" t="str" cm="1">
        <f t="array" ref="AA100">IF(Z100="","",_xll.U.RANGE_REF(Z100,TRUE))</f>
        <v>[REF]{{34856#2238124315008!R178C5}}</v>
      </c>
      <c r="AB100" s="276"/>
      <c r="AC100" s="276" t="str">
        <f t="shared" si="2"/>
        <v>KILL_EXCEL_PROCESSES_PARAMS</v>
      </c>
      <c r="AD100" s="276" t="str" cm="1">
        <f t="array" ref="AD100">IF(AC100="","",_xll.U.RANGE_REF(AC100,TRUE))</f>
        <v>[REF]{{34856#2238124315008!R104C19:R115C28}}</v>
      </c>
      <c r="AE100" s="281"/>
      <c r="AF100" s="287" t="str">
        <v/>
      </c>
      <c r="AG100" s="276" t="str">
        <f t="shared" si="3"/>
        <v/>
      </c>
      <c r="AH100" s="276" t="str" cm="1">
        <f t="array" ref="AH100">IF(AG100="","",_xll.U.RANGE_REF(AG100,TRUE))</f>
        <v/>
      </c>
      <c r="AI100" s="288"/>
    </row>
    <row r="101" spans="1:35" x14ac:dyDescent="0.3">
      <c r="A101" s="18"/>
      <c r="B101" s="278" t="s">
        <v>3237</v>
      </c>
      <c r="C101" s="1" t="s">
        <v>2298</v>
      </c>
      <c r="D101" s="278" t="s">
        <v>411</v>
      </c>
      <c r="E101" s="314" t="s">
        <v>1786</v>
      </c>
      <c r="F101" s="314" t="s">
        <v>71</v>
      </c>
      <c r="G101" s="314" t="s">
        <v>1786</v>
      </c>
      <c r="H101" s="20"/>
      <c r="Z101" s="276" t="str">
        <v>RECALC</v>
      </c>
      <c r="AA101" s="276" t="str" cm="1">
        <f t="array" ref="AA101">IF(Z101="","",_xll.U.RANGE_REF(Z101,TRUE))</f>
        <v>[REF]{{34856#2238124315008!R188C5}}</v>
      </c>
      <c r="AB101" s="276"/>
      <c r="AC101" s="276" t="str">
        <f t="shared" si="2"/>
        <v>RECALC_PARAMS</v>
      </c>
      <c r="AD101" s="276" t="str" cm="1">
        <f t="array" ref="AD101">IF(AC101="","",_xll.U.RANGE_REF(AC101,TRUE))</f>
        <v>[REF]{{34856#2238124315008!R118C19:R132C28}}</v>
      </c>
      <c r="AE101" s="281"/>
      <c r="AF101" s="287" t="str">
        <v/>
      </c>
      <c r="AG101" s="276" t="str">
        <f t="shared" si="3"/>
        <v/>
      </c>
      <c r="AH101" s="276" t="str" cm="1">
        <f t="array" ref="AH101">IF(AG101="","",_xll.U.RANGE_REF(AG101,TRUE))</f>
        <v/>
      </c>
      <c r="AI101" s="288"/>
    </row>
    <row r="102" spans="1:35" x14ac:dyDescent="0.3">
      <c r="A102" s="18"/>
      <c r="B102" s="278" t="s">
        <v>3238</v>
      </c>
      <c r="C102" s="1" t="s">
        <v>1842</v>
      </c>
      <c r="D102" s="278" t="s">
        <v>411</v>
      </c>
      <c r="E102" s="314" t="s">
        <v>1786</v>
      </c>
      <c r="F102" s="314" t="s">
        <v>71</v>
      </c>
      <c r="G102" s="314" t="s">
        <v>71</v>
      </c>
      <c r="H102" s="20"/>
      <c r="Z102" s="276" t="str">
        <v>SET_OPEN_VALS</v>
      </c>
      <c r="AA102" s="276" t="str" cm="1">
        <f t="array" ref="AA102">IF(Z102="","",_xll.U.RANGE_REF(Z102,TRUE))</f>
        <v>[REF]{{34856#2238124315008!R235C5}}</v>
      </c>
      <c r="AB102" s="276"/>
      <c r="AC102" s="276" t="str">
        <f t="shared" si="2"/>
        <v>SET_OPEN_VALS_PARAMS</v>
      </c>
      <c r="AD102" s="276" t="str" cm="1">
        <f t="array" ref="AD102">IF(AC102="","",_xll.U.RANGE_REF(AC102,TRUE))</f>
        <v>[REF]{{34856#2238124315008!R177C19:R200C28}}</v>
      </c>
      <c r="AE102" s="281"/>
      <c r="AF102" s="287" t="str">
        <v/>
      </c>
      <c r="AG102" s="276" t="str">
        <f t="shared" si="3"/>
        <v/>
      </c>
      <c r="AH102" s="276" t="str" cm="1">
        <f t="array" ref="AH102">IF(AG102="","",_xll.U.RANGE_REF(AG102,TRUE))</f>
        <v/>
      </c>
      <c r="AI102" s="288"/>
    </row>
    <row r="103" spans="1:35" x14ac:dyDescent="0.3">
      <c r="A103" s="18"/>
      <c r="B103" s="278" t="s">
        <v>3239</v>
      </c>
      <c r="C103" s="1" t="s">
        <v>1843</v>
      </c>
      <c r="D103" s="278" t="s">
        <v>411</v>
      </c>
      <c r="E103" s="314" t="s">
        <v>80</v>
      </c>
      <c r="F103" s="314" t="s">
        <v>1786</v>
      </c>
      <c r="G103" s="314" t="s">
        <v>71</v>
      </c>
      <c r="H103" s="20"/>
      <c r="Z103" s="276" t="str">
        <v>ON_CLOSE</v>
      </c>
      <c r="AA103" s="276" t="str" cm="1">
        <f t="array" ref="AA103">IF(Z103="","",_xll.U.RANGE_REF(Z103,TRUE))</f>
        <v>[REF]{{34856#2238124315008!R255C5}}</v>
      </c>
      <c r="AB103" s="276"/>
      <c r="AC103" s="276" t="str">
        <f t="shared" si="2"/>
        <v>ON_CLOSE_PARAMS</v>
      </c>
      <c r="AD103" s="276" t="str" cm="1">
        <f t="array" ref="AD103">IF(AC103="","",_xll.U.RANGE_REF(AC103,TRUE))</f>
        <v>[REF]{{34856#2238124315008!R203C19:R217C28}}</v>
      </c>
      <c r="AE103" s="281"/>
      <c r="AF103" s="287" t="str">
        <v/>
      </c>
      <c r="AG103" s="276" t="str">
        <f t="shared" si="3"/>
        <v/>
      </c>
      <c r="AH103" s="276" t="str" cm="1">
        <f t="array" ref="AH103">IF(AG103="","",_xll.U.RANGE_REF(AG103,TRUE))</f>
        <v/>
      </c>
      <c r="AI103" s="288"/>
    </row>
    <row r="104" spans="1:35" x14ac:dyDescent="0.3">
      <c r="A104" s="18"/>
      <c r="B104" s="278" t="s">
        <v>3240</v>
      </c>
      <c r="C104" s="1" t="s">
        <v>3241</v>
      </c>
      <c r="D104" s="278" t="s">
        <v>411</v>
      </c>
      <c r="E104" s="314" t="s">
        <v>71</v>
      </c>
      <c r="F104" s="314" t="s">
        <v>1786</v>
      </c>
      <c r="G104" s="314" t="s">
        <v>1786</v>
      </c>
      <c r="H104" s="20"/>
      <c r="Z104" s="276" t="str">
        <v>SAVE_WORKBOOK_PASSWORD</v>
      </c>
      <c r="AA104" s="276" t="str" cm="1">
        <f t="array" ref="AA104">IF(Z104="","",_xll.U.RANGE_REF(Z104,TRUE))</f>
        <v>[REF]{{34856#2238124315008!R31C5}}</v>
      </c>
      <c r="AB104" s="276"/>
      <c r="AC104" s="276" t="str">
        <f t="shared" si="2"/>
        <v>SAVE_WORKBOOK_PASSWORD_PARAMS</v>
      </c>
      <c r="AD104" s="276" t="str" cm="1">
        <f t="array" ref="AD104">IF(AC104="","",_xll.U.RANGE_REF(AC104,TRUE))</f>
        <v>[REF]{{34856#2238124315008!R35C19:R49C28}}</v>
      </c>
      <c r="AE104" s="281"/>
      <c r="AF104" s="287" t="str">
        <v/>
      </c>
      <c r="AG104" s="276" t="str">
        <f t="shared" si="3"/>
        <v/>
      </c>
      <c r="AH104" s="276" t="str" cm="1">
        <f t="array" ref="AH104">IF(AG104="","",_xll.U.RANGE_REF(AG104,TRUE))</f>
        <v/>
      </c>
      <c r="AI104" s="288"/>
    </row>
    <row r="105" spans="1:35" x14ac:dyDescent="0.3">
      <c r="A105" s="18"/>
      <c r="B105" s="278" t="s">
        <v>3242</v>
      </c>
      <c r="C105" s="1" t="s">
        <v>3732</v>
      </c>
      <c r="D105" s="278" t="s">
        <v>411</v>
      </c>
      <c r="E105" s="314" t="s">
        <v>71</v>
      </c>
      <c r="F105" s="314" t="s">
        <v>1786</v>
      </c>
      <c r="G105" s="314" t="s">
        <v>71</v>
      </c>
      <c r="H105" s="20"/>
      <c r="Z105" s="276" t="str">
        <v>WORKBOOK_NAME</v>
      </c>
      <c r="AA105" s="276" t="str" cm="1">
        <f t="array" ref="AA105">IF(Z105="","",_xll.U.RANGE_REF(Z105,TRUE))</f>
        <v>[REF]{{34856#2238124315008!R194C5}}</v>
      </c>
      <c r="AB105" s="276"/>
      <c r="AC105" s="276" t="str">
        <f t="shared" si="2"/>
        <v>WORKBOOK_NAME_PARAMS</v>
      </c>
      <c r="AD105" s="276" t="str" cm="1">
        <f t="array" ref="AD105">IF(AC105="","",_xll.U.RANGE_REF(AC105,TRUE))</f>
        <v>[REF]{{34856#2238124315008!R135C19:R143C28}}</v>
      </c>
      <c r="AE105" s="281"/>
      <c r="AF105" s="287" t="str">
        <v/>
      </c>
      <c r="AG105" s="276" t="str">
        <f t="shared" si="3"/>
        <v/>
      </c>
      <c r="AH105" s="276" t="str" cm="1">
        <f t="array" ref="AH105">IF(AG105="","",_xll.U.RANGE_REF(AG105,TRUE))</f>
        <v/>
      </c>
      <c r="AI105" s="288"/>
    </row>
    <row r="106" spans="1:35" x14ac:dyDescent="0.3">
      <c r="A106" s="18"/>
      <c r="B106" s="344" t="s">
        <v>3243</v>
      </c>
      <c r="C106" s="345" t="s">
        <v>3730</v>
      </c>
      <c r="D106" s="344" t="s">
        <v>411</v>
      </c>
      <c r="E106" s="346" t="s">
        <v>71</v>
      </c>
      <c r="F106" s="314" t="s">
        <v>1786</v>
      </c>
      <c r="G106" s="346" t="s">
        <v>1786</v>
      </c>
      <c r="H106" s="20"/>
      <c r="Z106" s="276" t="str">
        <v>WORKSHEET_NAME</v>
      </c>
      <c r="AA106" s="276" t="str" cm="1">
        <f t="array" ref="AA106">IF(Z106="","",_xll.U.RANGE_REF(Z106,TRUE))</f>
        <v>[REF]{{34856#2238124315008!R200C5}}</v>
      </c>
      <c r="AB106" s="276"/>
      <c r="AC106" s="276" t="str">
        <f t="shared" si="2"/>
        <v>WORKSHEET_NAME_PARAMS</v>
      </c>
      <c r="AD106" s="276" t="str" cm="1">
        <f t="array" ref="AD106">IF(AC106="","",_xll.U.RANGE_REF(AC106,TRUE))</f>
        <v>[REF]{{34856#2238124315008!R146C19:R160C28}}</v>
      </c>
      <c r="AE106" s="281"/>
      <c r="AF106" s="287" t="str">
        <v/>
      </c>
      <c r="AG106" s="276" t="str">
        <f t="shared" si="3"/>
        <v/>
      </c>
      <c r="AH106" s="276" t="str" cm="1">
        <f t="array" ref="AH106">IF(AG106="","",_xll.U.RANGE_REF(AG106,TRUE))</f>
        <v/>
      </c>
      <c r="AI106" s="288"/>
    </row>
    <row r="107" spans="1:35" x14ac:dyDescent="0.3">
      <c r="A107" s="18"/>
      <c r="B107" s="344" t="s">
        <v>3244</v>
      </c>
      <c r="C107" s="345" t="s">
        <v>3101</v>
      </c>
      <c r="D107" s="344" t="s">
        <v>411</v>
      </c>
      <c r="E107" s="346" t="s">
        <v>71</v>
      </c>
      <c r="F107" s="314" t="s">
        <v>1786</v>
      </c>
      <c r="G107" s="346"/>
      <c r="H107" s="20"/>
      <c r="Z107" s="276" t="str">
        <v>RANGE_NAME</v>
      </c>
      <c r="AA107" s="276" t="str" cm="1">
        <f t="array" ref="AA107">IF(Z107="","",_xll.U.RANGE_REF(Z107,TRUE))</f>
        <v>[REF]{{34856#2238124315008!R228C5}}</v>
      </c>
      <c r="AB107" s="276"/>
      <c r="AC107" s="276" t="str">
        <f t="shared" si="2"/>
        <v>RANGE_NAME_PARAMS</v>
      </c>
      <c r="AD107" s="276" t="str" cm="1">
        <f t="array" ref="AD107">IF(AC107="","",_xll.U.RANGE_REF(AC107,TRUE))</f>
        <v>[REF]{{34856#2238124315008!R163C19:R174C28}}</v>
      </c>
      <c r="AE107" s="281"/>
      <c r="AF107" s="287" t="str">
        <v/>
      </c>
      <c r="AG107" s="276" t="str">
        <f t="shared" si="3"/>
        <v/>
      </c>
      <c r="AH107" s="276" t="str" cm="1">
        <f t="array" ref="AH107">IF(AG107="","",_xll.U.RANGE_REF(AG107,TRUE))</f>
        <v/>
      </c>
      <c r="AI107" s="288"/>
    </row>
    <row r="108" spans="1:35" x14ac:dyDescent="0.3">
      <c r="A108" s="18"/>
      <c r="B108" s="477" t="s">
        <v>1421</v>
      </c>
      <c r="C108" s="478"/>
      <c r="D108" s="478"/>
      <c r="E108" s="478"/>
      <c r="F108" s="478"/>
      <c r="G108" s="479"/>
      <c r="H108" s="20"/>
      <c r="Z108" s="276" t="str">
        <v/>
      </c>
      <c r="AA108" s="276" t="str" cm="1">
        <f t="array" ref="AA108">IF(Z108="","",_xll.U.RANGE_REF(Z108,TRUE))</f>
        <v/>
      </c>
      <c r="AB108" s="276"/>
      <c r="AC108" s="276" t="str">
        <f t="shared" si="2"/>
        <v/>
      </c>
      <c r="AD108" s="276" t="str" cm="1">
        <f t="array" ref="AD108">IF(AC108="","",_xll.U.RANGE_REF(AC108,TRUE))</f>
        <v/>
      </c>
      <c r="AE108" s="281"/>
      <c r="AF108" s="287" t="str">
        <v/>
      </c>
      <c r="AG108" s="276" t="str">
        <f t="shared" si="3"/>
        <v/>
      </c>
      <c r="AH108" s="276" t="str" cm="1">
        <f t="array" ref="AH108">IF(AG108="","",_xll.U.RANGE_REF(AG108,TRUE))</f>
        <v/>
      </c>
      <c r="AI108" s="288"/>
    </row>
    <row r="109" spans="1:35" x14ac:dyDescent="0.3">
      <c r="A109" s="18"/>
      <c r="B109" s="347" t="s">
        <v>3245</v>
      </c>
      <c r="C109" s="348" t="s">
        <v>2078</v>
      </c>
      <c r="D109" s="347" t="s">
        <v>411</v>
      </c>
      <c r="E109" s="349" t="s">
        <v>1786</v>
      </c>
      <c r="F109" s="314" t="s">
        <v>1786</v>
      </c>
      <c r="G109" s="314"/>
      <c r="H109" s="20"/>
      <c r="Z109" s="276" t="str">
        <v>MENU</v>
      </c>
      <c r="AA109" s="276" t="str" cm="1">
        <f t="array" ref="AA109">IF(Z109="","",_xll.U.RANGE_REF(Z109,TRUE))</f>
        <v>[REF]{{34856#2238124317712!R4C20}}</v>
      </c>
      <c r="AB109" s="276"/>
      <c r="AC109" s="276" t="str">
        <f t="shared" si="2"/>
        <v>MENU_PARAMS</v>
      </c>
      <c r="AD109" s="276" t="str" cm="1">
        <f t="array" ref="AD109">IF(AC109="","",_xll.U.RANGE_REF(AC109,TRUE))</f>
        <v>[REF]{{34856#2238124317712!R3C23:R14C32}}</v>
      </c>
      <c r="AE109" s="281"/>
      <c r="AF109" s="287" t="str">
        <v/>
      </c>
      <c r="AG109" s="276" t="str">
        <f t="shared" si="3"/>
        <v/>
      </c>
      <c r="AH109" s="276" t="str" cm="1">
        <f t="array" ref="AH109">IF(AG109="","",_xll.U.RANGE_REF(AG109,TRUE))</f>
        <v/>
      </c>
      <c r="AI109" s="288"/>
    </row>
    <row r="110" spans="1:35" x14ac:dyDescent="0.3">
      <c r="A110" s="18"/>
      <c r="B110" s="278" t="s">
        <v>3246</v>
      </c>
      <c r="C110" s="1" t="s">
        <v>2079</v>
      </c>
      <c r="D110" s="278" t="s">
        <v>411</v>
      </c>
      <c r="E110" s="314" t="s">
        <v>71</v>
      </c>
      <c r="F110" s="314" t="s">
        <v>1786</v>
      </c>
      <c r="G110" s="314"/>
      <c r="H110" s="20"/>
      <c r="Z110" s="276" t="str">
        <v>MENU_IMAGES</v>
      </c>
      <c r="AA110" s="276" t="str" cm="1">
        <f t="array" ref="AA110">IF(Z110="","",_xll.U.RANGE_REF(Z110,TRUE))</f>
        <v>[REF]{{34856#2238124317712!R89C20}}</v>
      </c>
      <c r="AB110" s="276"/>
      <c r="AC110" s="276" t="str">
        <f t="shared" si="2"/>
        <v>MENU_IMAGES_PARAMS</v>
      </c>
      <c r="AD110" s="276" t="str" cm="1">
        <f t="array" ref="AD110">IF(AC110="","",_xll.U.RANGE_REF(AC110,TRUE))</f>
        <v>[REF]{{34856#2238124317712!R17C23:R25C32}}</v>
      </c>
      <c r="AE110" s="281"/>
      <c r="AF110" s="287" t="str">
        <v/>
      </c>
      <c r="AG110" s="276" t="str">
        <f t="shared" si="3"/>
        <v/>
      </c>
      <c r="AH110" s="276" t="str" cm="1">
        <f t="array" ref="AH110">IF(AG110="","",_xll.U.RANGE_REF(AG110,TRUE))</f>
        <v/>
      </c>
      <c r="AI110" s="288"/>
    </row>
    <row r="111" spans="1:35" x14ac:dyDescent="0.3">
      <c r="A111" s="18"/>
      <c r="B111" s="278" t="s">
        <v>3247</v>
      </c>
      <c r="C111" s="1" t="s">
        <v>191</v>
      </c>
      <c r="D111" s="278" t="s">
        <v>411</v>
      </c>
      <c r="E111" s="314" t="s">
        <v>71</v>
      </c>
      <c r="F111" s="314" t="s">
        <v>71</v>
      </c>
      <c r="G111" s="314"/>
      <c r="H111" s="20"/>
      <c r="Z111" s="276" t="str">
        <v>DO</v>
      </c>
      <c r="AA111" s="276" t="str" cm="1">
        <f t="array" ref="AA111">IF(Z111="","",_xll.U.RANGE_REF(Z111,TRUE))</f>
        <v>[REF]{{34856#2238066864240!R4C3}}</v>
      </c>
      <c r="AB111" s="276"/>
      <c r="AC111" s="276" t="str">
        <f t="shared" si="2"/>
        <v>DO_PARAMS</v>
      </c>
      <c r="AD111" s="276" t="str" cm="1">
        <f t="array" ref="AD111">IF(AC111="","",_xll.U.RANGE_REF(AC111,TRUE))</f>
        <v>[REF]{{34856#2238066864240!R3C11:R20C20}}</v>
      </c>
      <c r="AE111" s="281"/>
      <c r="AF111" s="287" t="str">
        <v/>
      </c>
      <c r="AG111" s="276" t="str">
        <f t="shared" si="3"/>
        <v/>
      </c>
      <c r="AH111" s="276" t="str" cm="1">
        <f t="array" ref="AH111">IF(AG111="","",_xll.U.RANGE_REF(AG111,TRUE))</f>
        <v/>
      </c>
      <c r="AI111" s="288"/>
    </row>
    <row r="112" spans="1:35" x14ac:dyDescent="0.3">
      <c r="A112" s="18"/>
      <c r="B112" s="278" t="s">
        <v>3248</v>
      </c>
      <c r="C112" s="1" t="s">
        <v>3249</v>
      </c>
      <c r="D112" s="278" t="s">
        <v>411</v>
      </c>
      <c r="E112" s="314" t="s">
        <v>71</v>
      </c>
      <c r="F112" s="314" t="s">
        <v>71</v>
      </c>
      <c r="G112" s="314"/>
      <c r="H112" s="20"/>
      <c r="Z112" s="276" t="str">
        <v>AFTER</v>
      </c>
      <c r="AA112" s="276" t="str" cm="1">
        <f t="array" ref="AA112">IF(Z112="","",_xll.U.RANGE_REF(Z112,TRUE))</f>
        <v>[REF]{{34856#2238066864240!R26C2}}</v>
      </c>
      <c r="AB112" s="276"/>
      <c r="AC112" s="276" t="str">
        <f t="shared" si="2"/>
        <v>AFTER_PARAMS</v>
      </c>
      <c r="AD112" s="276" t="str" cm="1">
        <f t="array" ref="AD112">IF(AC112="","",_xll.U.RANGE_REF(AC112,TRUE))</f>
        <v>[REF]{{34856#2238066864240!R23C11:R34C20}}</v>
      </c>
      <c r="AE112" s="281"/>
      <c r="AF112" s="287" t="str">
        <v/>
      </c>
      <c r="AG112" s="276" t="str">
        <f t="shared" si="3"/>
        <v/>
      </c>
      <c r="AH112" s="276" t="str" cm="1">
        <f t="array" ref="AH112">IF(AG112="","",_xll.U.RANGE_REF(AG112,TRUE))</f>
        <v/>
      </c>
      <c r="AI112" s="288"/>
    </row>
    <row r="113" spans="1:35" x14ac:dyDescent="0.3">
      <c r="A113" s="18"/>
      <c r="B113" s="278" t="s">
        <v>3250</v>
      </c>
      <c r="C113" s="1" t="s">
        <v>960</v>
      </c>
      <c r="D113" s="278" t="s">
        <v>411</v>
      </c>
      <c r="E113" s="314" t="s">
        <v>71</v>
      </c>
      <c r="F113" s="314" t="s">
        <v>1786</v>
      </c>
      <c r="G113" s="314"/>
      <c r="H113" s="20"/>
      <c r="Z113" s="276" t="str">
        <v>CURRENT_VALS</v>
      </c>
      <c r="AA113" s="276" t="str" cm="1">
        <f t="array" ref="AA113">IF(Z113="","",_xll.U.RANGE_REF(Z113,TRUE))</f>
        <v>[REF]{{34856#2238066864240!R55C2:R57C2}}</v>
      </c>
      <c r="AB113" s="276"/>
      <c r="AC113" s="276" t="str">
        <f t="shared" si="2"/>
        <v>CURRENT_VALS_PARAMS</v>
      </c>
      <c r="AD113" s="276" t="str" cm="1">
        <f t="array" ref="AD113">IF(AC113="","",_xll.U.RANGE_REF(AC113,TRUE))</f>
        <v>[REF]{{34856#2238066864240!R37C11:R45C20}}</v>
      </c>
      <c r="AE113" s="281"/>
      <c r="AF113" s="287" t="str">
        <v/>
      </c>
      <c r="AG113" s="276" t="str">
        <f t="shared" si="3"/>
        <v/>
      </c>
      <c r="AH113" s="276" t="str" cm="1">
        <f t="array" ref="AH113">IF(AG113="","",_xll.U.RANGE_REF(AG113,TRUE))</f>
        <v/>
      </c>
      <c r="AI113" s="288"/>
    </row>
    <row r="114" spans="1:35" x14ac:dyDescent="0.3">
      <c r="A114" s="18"/>
      <c r="B114" s="278" t="s">
        <v>3251</v>
      </c>
      <c r="C114" s="1" t="s">
        <v>2277</v>
      </c>
      <c r="D114" s="278" t="s">
        <v>411</v>
      </c>
      <c r="E114" s="314" t="s">
        <v>71</v>
      </c>
      <c r="F114" s="314" t="s">
        <v>1786</v>
      </c>
      <c r="G114" s="314"/>
      <c r="H114" s="20"/>
      <c r="Z114" s="276" t="str">
        <v>PRIOR_VALS</v>
      </c>
      <c r="AA114" s="276" t="str" cm="1">
        <f t="array" ref="AA114">IF(Z114="","",_xll.U.RANGE_REF(Z114,TRUE))</f>
        <v>[REF]{{34856#2238066864240!R112C2:R114C2}}</v>
      </c>
      <c r="AB114" s="276"/>
      <c r="AC114" s="276" t="str">
        <f t="shared" si="2"/>
        <v>PRIOR_VALS_PARAMS</v>
      </c>
      <c r="AD114" s="276" t="str" cm="1">
        <f t="array" ref="AD114">IF(AC114="","",_xll.U.RANGE_REF(AC114,TRUE))</f>
        <v>[REF]{{34856#2238066864240!R48C11:R68C20}}</v>
      </c>
      <c r="AE114" s="281"/>
      <c r="AF114" s="287" t="str">
        <v/>
      </c>
      <c r="AG114" s="276" t="str">
        <f t="shared" si="3"/>
        <v/>
      </c>
      <c r="AH114" s="276" t="str" cm="1">
        <f t="array" ref="AH114">IF(AG114="","",_xll.U.RANGE_REF(AG114,TRUE))</f>
        <v/>
      </c>
      <c r="AI114" s="288"/>
    </row>
    <row r="115" spans="1:35" x14ac:dyDescent="0.3">
      <c r="A115" s="18"/>
      <c r="B115" s="278" t="s">
        <v>3252</v>
      </c>
      <c r="C115" s="1" t="s">
        <v>2983</v>
      </c>
      <c r="D115" s="278" t="s">
        <v>411</v>
      </c>
      <c r="E115" s="314" t="s">
        <v>1786</v>
      </c>
      <c r="F115" s="314" t="s">
        <v>71</v>
      </c>
      <c r="G115" s="314" t="s">
        <v>208</v>
      </c>
      <c r="H115" s="20"/>
      <c r="Z115" s="276" t="str">
        <v>SET_CLICKVALS</v>
      </c>
      <c r="AA115" s="276" t="str" cm="1">
        <f t="array" ref="AA115">IF(Z115="","",_xll.U.RANGE_REF(Z115,TRUE))</f>
        <v>[REF]{{34856#2238066875056!R8C4}}</v>
      </c>
      <c r="AB115" s="276"/>
      <c r="AC115" s="276" t="str">
        <f t="shared" si="2"/>
        <v>SET_CLICKVALS_PARAMS</v>
      </c>
      <c r="AD115" s="276" t="str" cm="1">
        <f t="array" ref="AD115">IF(AC115="","",_xll.U.RANGE_REF(AC115,TRUE))</f>
        <v>[REF]{{34856#2238066875056!R6C11:R38C20}}</v>
      </c>
      <c r="AE115" s="281"/>
      <c r="AF115" s="287" t="str">
        <v/>
      </c>
      <c r="AG115" s="276" t="str">
        <f t="shared" si="3"/>
        <v/>
      </c>
      <c r="AH115" s="276" t="str" cm="1">
        <f t="array" ref="AH115">IF(AG115="","",_xll.U.RANGE_REF(AG115,TRUE))</f>
        <v/>
      </c>
      <c r="AI115" s="288"/>
    </row>
    <row r="116" spans="1:35" x14ac:dyDescent="0.3">
      <c r="A116" s="18"/>
      <c r="B116" s="278" t="s">
        <v>3253</v>
      </c>
      <c r="C116" s="1" t="s">
        <v>3254</v>
      </c>
      <c r="D116" s="278" t="s">
        <v>411</v>
      </c>
      <c r="E116" s="314" t="s">
        <v>1786</v>
      </c>
      <c r="F116" s="314" t="s">
        <v>71</v>
      </c>
      <c r="G116" s="314" t="s">
        <v>71</v>
      </c>
      <c r="H116" s="20"/>
      <c r="Z116" s="276" t="str">
        <v>GET_CLICKVAL</v>
      </c>
      <c r="AA116" s="276" t="str" cm="1">
        <f t="array" ref="AA116">IF(Z116="","",_xll.U.RANGE_REF(Z116,TRUE))</f>
        <v>[REF]{{34856#2238066875056!R11C4}}</v>
      </c>
      <c r="AB116" s="276"/>
      <c r="AC116" s="276" t="str">
        <f t="shared" si="2"/>
        <v>GET_CLICKVAL_PARAMS</v>
      </c>
      <c r="AD116" s="276" t="str" cm="1">
        <f t="array" ref="AD116">IF(AC116="","",_xll.U.RANGE_REF(AC116,TRUE))</f>
        <v>[REF]{{34856#2238066875056!R41C11:R49C20}}</v>
      </c>
      <c r="AE116" s="281"/>
      <c r="AF116" s="287" t="str">
        <v/>
      </c>
      <c r="AG116" s="276" t="str">
        <f t="shared" si="3"/>
        <v/>
      </c>
      <c r="AH116" s="276" t="str" cm="1">
        <f t="array" ref="AH116">IF(AG116="","",_xll.U.RANGE_REF(AG116,TRUE))</f>
        <v/>
      </c>
      <c r="AI116" s="288"/>
    </row>
    <row r="117" spans="1:35" x14ac:dyDescent="0.3">
      <c r="A117" s="18"/>
      <c r="B117" s="278" t="s">
        <v>3255</v>
      </c>
      <c r="C117" s="1" t="s">
        <v>3256</v>
      </c>
      <c r="D117" s="278" t="s">
        <v>411</v>
      </c>
      <c r="E117" s="314" t="s">
        <v>71</v>
      </c>
      <c r="F117" s="314" t="s">
        <v>71</v>
      </c>
      <c r="G117" s="314" t="s">
        <v>1786</v>
      </c>
      <c r="H117" s="20"/>
      <c r="Z117" s="276" t="str">
        <v>OVERWRITE_CLICKVAL</v>
      </c>
      <c r="AA117" s="276" t="str" cm="1">
        <f t="array" ref="AA117">IF(Z117="","",_xll.U.RANGE_REF(Z117,TRUE))</f>
        <v>[REF]{{34856#2238066875056!R208C4}}</v>
      </c>
      <c r="AB117" s="276"/>
      <c r="AC117" s="276" t="str">
        <f t="shared" si="2"/>
        <v>OVERWRITE_CLICKVAL_PARAMS</v>
      </c>
      <c r="AD117" s="276" t="str" cm="1">
        <f t="array" ref="AD117">IF(AC117="","",_xll.U.RANGE_REF(AC117,TRUE))</f>
        <v>[REF]{{34856#2238066875056!R52C11:R66C20}}</v>
      </c>
      <c r="AE117" s="281"/>
      <c r="AF117" s="287" t="str">
        <v/>
      </c>
      <c r="AG117" s="276" t="str">
        <f t="shared" si="3"/>
        <v/>
      </c>
      <c r="AH117" s="276" t="str" cm="1">
        <f t="array" ref="AH117">IF(AG117="","",_xll.U.RANGE_REF(AG117,TRUE))</f>
        <v/>
      </c>
      <c r="AI117" s="288"/>
    </row>
    <row r="118" spans="1:35" x14ac:dyDescent="0.3">
      <c r="A118" s="18"/>
      <c r="B118" s="278" t="s">
        <v>3257</v>
      </c>
      <c r="C118" s="1" t="s">
        <v>1753</v>
      </c>
      <c r="D118" s="278" t="s">
        <v>411</v>
      </c>
      <c r="E118" s="314" t="s">
        <v>1786</v>
      </c>
      <c r="F118" s="314" t="s">
        <v>71</v>
      </c>
      <c r="G118" s="314"/>
      <c r="H118" s="20"/>
      <c r="Z118" s="276" t="str">
        <v>KEYBOARD_SHORTCUT</v>
      </c>
      <c r="AA118" s="276" t="str" cm="1">
        <f t="array" ref="AA118">IF(Z118="","",_xll.U.RANGE_REF(Z118,TRUE))</f>
        <v>[REF]{{34856#2238066877760!R5C4}}</v>
      </c>
      <c r="AB118" s="276"/>
      <c r="AC118" s="276" t="str">
        <f t="shared" si="2"/>
        <v>KEYBOARD_SHORTCUT_PARAMS</v>
      </c>
      <c r="AD118" s="276" t="str" cm="1">
        <f t="array" ref="AD118">IF(AC118="","",_xll.U.RANGE_REF(AC118,TRUE))</f>
        <v>[REF]{{34856#2238066877760!R4C11:R30C20}}</v>
      </c>
      <c r="AE118" s="281"/>
      <c r="AF118" s="287" t="str">
        <v/>
      </c>
      <c r="AG118" s="276" t="str">
        <f t="shared" si="3"/>
        <v/>
      </c>
      <c r="AH118" s="276" t="str" cm="1">
        <f t="array" ref="AH118">IF(AG118="","",_xll.U.RANGE_REF(AG118,TRUE))</f>
        <v/>
      </c>
      <c r="AI118" s="288"/>
    </row>
    <row r="119" spans="1:35" x14ac:dyDescent="0.3">
      <c r="A119" s="18"/>
      <c r="B119" s="278" t="s">
        <v>3258</v>
      </c>
      <c r="C119" s="1" t="s">
        <v>2589</v>
      </c>
      <c r="D119" s="278" t="s">
        <v>411</v>
      </c>
      <c r="E119" s="314" t="s">
        <v>1786</v>
      </c>
      <c r="F119" s="314" t="s">
        <v>71</v>
      </c>
      <c r="G119" s="314"/>
      <c r="H119" s="20"/>
      <c r="Z119" s="276" t="str">
        <v>LISTEN</v>
      </c>
      <c r="AA119" s="276" t="str" cm="1">
        <f t="array" ref="AA119">IF(Z119="","",_xll.U.RANGE_REF(Z119,TRUE))</f>
        <v>[REF]{{34856#2238066880464!R8C4}}</v>
      </c>
      <c r="AB119" s="276"/>
      <c r="AC119" s="276" t="str">
        <f t="shared" si="2"/>
        <v>LISTEN_PARAMS</v>
      </c>
      <c r="AD119" s="276" t="str" cm="1">
        <f t="array" ref="AD119">IF(AC119="","",_xll.U.RANGE_REF(AC119,TRUE))</f>
        <v>[REF]{{34856#2238066880464!R7C15:R30C24}}</v>
      </c>
      <c r="AE119" s="281"/>
      <c r="AF119" s="287" t="str">
        <v/>
      </c>
      <c r="AG119" s="276" t="str">
        <f t="shared" si="3"/>
        <v/>
      </c>
      <c r="AH119" s="276" t="str" cm="1">
        <f t="array" ref="AH119">IF(AG119="","",_xll.U.RANGE_REF(AG119,TRUE))</f>
        <v/>
      </c>
      <c r="AI119" s="288"/>
    </row>
    <row r="120" spans="1:35" x14ac:dyDescent="0.3">
      <c r="A120" s="18"/>
      <c r="B120" s="278" t="s">
        <v>3259</v>
      </c>
      <c r="C120" s="1" t="s">
        <v>185</v>
      </c>
      <c r="D120" s="278" t="s">
        <v>411</v>
      </c>
      <c r="E120" s="314" t="s">
        <v>71</v>
      </c>
      <c r="F120" s="314" t="s">
        <v>71</v>
      </c>
      <c r="G120" s="314" t="s">
        <v>71</v>
      </c>
      <c r="H120" s="20"/>
      <c r="Z120" s="276" t="str">
        <v>INCREMENT</v>
      </c>
      <c r="AA120" s="276" t="str" cm="1">
        <f t="array" ref="AA120">IF(Z120="","",_xll.U.RANGE_REF(Z120,TRUE))</f>
        <v>[REF]{{34856#2238066866944!R5C8}}</v>
      </c>
      <c r="AB120" s="276"/>
      <c r="AC120" s="276" t="str">
        <f t="shared" si="2"/>
        <v>INCREMENT_PARAMS</v>
      </c>
      <c r="AD120" s="276" t="str" cm="1">
        <f t="array" ref="AD120">IF(AC120="","",_xll.U.RANGE_REF(AC120,TRUE))</f>
        <v>[REF]{{34856#2238066866944!R3C17:R17C26}}</v>
      </c>
      <c r="AE120" s="281"/>
      <c r="AF120" s="287" t="str">
        <v/>
      </c>
      <c r="AG120" s="276" t="str">
        <f t="shared" si="3"/>
        <v/>
      </c>
      <c r="AH120" s="276" t="str" cm="1">
        <f t="array" ref="AH120">IF(AG120="","",_xll.U.RANGE_REF(AG120,TRUE))</f>
        <v/>
      </c>
      <c r="AI120" s="288"/>
    </row>
    <row r="121" spans="1:35" x14ac:dyDescent="0.3">
      <c r="A121" s="18"/>
      <c r="B121" s="278" t="s">
        <v>3260</v>
      </c>
      <c r="C121" s="1" t="s">
        <v>143</v>
      </c>
      <c r="D121" s="278" t="s">
        <v>411</v>
      </c>
      <c r="E121" s="314" t="s">
        <v>71</v>
      </c>
      <c r="F121" s="314" t="s">
        <v>71</v>
      </c>
      <c r="G121" s="314" t="s">
        <v>1786</v>
      </c>
      <c r="H121" s="20"/>
      <c r="Z121" s="276" t="str">
        <v>PASTE</v>
      </c>
      <c r="AA121" s="276" t="str" cm="1">
        <f t="array" ref="AA121">IF(Z121="","",_xll.U.RANGE_REF(Z121,TRUE))</f>
        <v>[REF]{{34856#2238066883168!R10C3}}</v>
      </c>
      <c r="AB121" s="276"/>
      <c r="AC121" s="276" t="str">
        <f t="shared" si="2"/>
        <v>PASTE_PARAMS</v>
      </c>
      <c r="AD121" s="276" t="str" cm="1">
        <f t="array" ref="AD121">IF(AC121="","",_xll.U.RANGE_REF(AC121,TRUE))</f>
        <v>[REF]{{34856#2238066883168!R3C17:R35C26}}</v>
      </c>
      <c r="AE121" s="281"/>
      <c r="AF121" s="287" t="str">
        <v/>
      </c>
      <c r="AG121" s="276" t="str">
        <f t="shared" si="3"/>
        <v/>
      </c>
      <c r="AH121" s="276" t="str" cm="1">
        <f t="array" ref="AH121">IF(AG121="","",_xll.U.RANGE_REF(AG121,TRUE))</f>
        <v/>
      </c>
      <c r="AI121" s="288"/>
    </row>
    <row r="122" spans="1:35" x14ac:dyDescent="0.3">
      <c r="A122" s="18"/>
      <c r="B122" s="278" t="s">
        <v>3261</v>
      </c>
      <c r="C122" s="1" t="s">
        <v>3262</v>
      </c>
      <c r="D122" s="278" t="s">
        <v>411</v>
      </c>
      <c r="E122" s="314" t="s">
        <v>1786</v>
      </c>
      <c r="F122" s="314" t="s">
        <v>71</v>
      </c>
      <c r="G122" s="314" t="s">
        <v>71</v>
      </c>
      <c r="H122" s="20"/>
      <c r="Z122" s="276" t="str">
        <v>PASTE_IN_MANUAL_MODE</v>
      </c>
      <c r="AA122" s="276" t="str" cm="1">
        <f t="array" ref="AA122">IF(Z122="","",_xll.U.RANGE_REF(Z122,TRUE))</f>
        <v>[REF]{{34856#2238066883168!R46C3}}</v>
      </c>
      <c r="AB122" s="276"/>
      <c r="AC122" s="276" t="str">
        <f t="shared" si="2"/>
        <v>PASTE_IN_MANUAL_MODE_PARAMS</v>
      </c>
      <c r="AD122" s="276" t="str" cm="1">
        <f t="array" ref="AD122">IF(AC122="","",_xll.U.RANGE_REF(AC122,TRUE))</f>
        <v>[REF]{{34856#2238066883168!R38C17:R46C26}}</v>
      </c>
      <c r="AE122" s="281"/>
      <c r="AF122" s="287" t="str">
        <v/>
      </c>
      <c r="AG122" s="276" t="str">
        <f t="shared" si="3"/>
        <v/>
      </c>
      <c r="AH122" s="276" t="str" cm="1">
        <f t="array" ref="AH122">IF(AG122="","",_xll.U.RANGE_REF(AG122,TRUE))</f>
        <v/>
      </c>
      <c r="AI122" s="288"/>
    </row>
    <row r="123" spans="1:35" x14ac:dyDescent="0.3">
      <c r="A123" s="18"/>
      <c r="B123" s="278" t="s">
        <v>3263</v>
      </c>
      <c r="C123" s="1" t="s">
        <v>920</v>
      </c>
      <c r="D123" s="278" t="s">
        <v>411</v>
      </c>
      <c r="E123" s="314" t="s">
        <v>71</v>
      </c>
      <c r="F123" s="314" t="s">
        <v>71</v>
      </c>
      <c r="G123" s="314" t="s">
        <v>71</v>
      </c>
      <c r="H123" s="20"/>
      <c r="Z123" s="276" t="str">
        <v>PASTE_OCCURRED</v>
      </c>
      <c r="AA123" s="276" t="str" cm="1">
        <f t="array" ref="AA123">IF(Z123="","",_xll.U.RANGE_REF(Z123,TRUE))</f>
        <v>[REF]{{34856#2238066883168!R52C3}}</v>
      </c>
      <c r="AB123" s="276"/>
      <c r="AC123" s="276" t="str">
        <f t="shared" si="2"/>
        <v>PASTE_OCCURRED_PARAMS</v>
      </c>
      <c r="AD123" s="276" t="str" cm="1">
        <f t="array" ref="AD123">IF(AC123="","",_xll.U.RANGE_REF(AC123,TRUE))</f>
        <v>[REF]{{34856#2238066883168!R49C17:R57C26}}</v>
      </c>
      <c r="AE123" s="281"/>
      <c r="AF123" s="287" t="str">
        <v/>
      </c>
      <c r="AG123" s="276" t="str">
        <f t="shared" si="3"/>
        <v/>
      </c>
      <c r="AH123" s="276" t="str" cm="1">
        <f t="array" ref="AH123">IF(AG123="","",_xll.U.RANGE_REF(AG123,TRUE))</f>
        <v/>
      </c>
      <c r="AI123" s="288"/>
    </row>
    <row r="124" spans="1:35" x14ac:dyDescent="0.3">
      <c r="A124" s="18"/>
      <c r="B124" s="278" t="s">
        <v>3264</v>
      </c>
      <c r="C124" s="1" t="s">
        <v>2561</v>
      </c>
      <c r="D124" s="278" t="s">
        <v>411</v>
      </c>
      <c r="E124" s="314" t="s">
        <v>71</v>
      </c>
      <c r="F124" s="314" t="s">
        <v>1786</v>
      </c>
      <c r="G124" s="314" t="s">
        <v>1786</v>
      </c>
      <c r="H124" s="20"/>
      <c r="Z124" s="276" t="str">
        <v>COPY_PASTE</v>
      </c>
      <c r="AA124" s="276" t="str" cm="1">
        <f t="array" ref="AA124">IF(Z124="","",_xll.U.RANGE_REF(Z124,TRUE))</f>
        <v>[REF]{{34856#2238066883168!R140C4}}</v>
      </c>
      <c r="AB124" s="276"/>
      <c r="AC124" s="276" t="str">
        <f t="shared" si="2"/>
        <v>COPY_PASTE_PARAMS</v>
      </c>
      <c r="AD124" s="276" t="str" cm="1">
        <f t="array" ref="AD124">IF(AC124="","",_xll.U.RANGE_REF(AC124,TRUE))</f>
        <v>[REF]{{34856#2238066883168!R60C17:R77C26}}</v>
      </c>
      <c r="AE124" s="281"/>
      <c r="AF124" s="287" t="str">
        <v/>
      </c>
      <c r="AG124" s="276" t="str">
        <f t="shared" si="3"/>
        <v/>
      </c>
      <c r="AH124" s="276" t="str" cm="1">
        <f t="array" ref="AH124">IF(AG124="","",_xll.U.RANGE_REF(AG124,TRUE))</f>
        <v/>
      </c>
      <c r="AI124" s="288"/>
    </row>
    <row r="125" spans="1:35" x14ac:dyDescent="0.3">
      <c r="A125" s="18"/>
      <c r="B125" s="278" t="s">
        <v>3265</v>
      </c>
      <c r="C125" s="1" t="s">
        <v>1190</v>
      </c>
      <c r="D125" s="278" t="s">
        <v>411</v>
      </c>
      <c r="E125" s="314" t="s">
        <v>71</v>
      </c>
      <c r="F125" s="314" t="s">
        <v>71</v>
      </c>
      <c r="G125" s="314" t="s">
        <v>1786</v>
      </c>
      <c r="H125" s="20"/>
      <c r="Z125" s="276" t="str">
        <v>CLEAR</v>
      </c>
      <c r="AA125" s="276" t="str" cm="1">
        <f t="array" ref="AA125">IF(Z125="","",_xll.U.RANGE_REF(Z125,TRUE))</f>
        <v>[REF]{{34856#2238066869648!R5C5}}</v>
      </c>
      <c r="AB125" s="276"/>
      <c r="AC125" s="276" t="str">
        <f t="shared" si="2"/>
        <v>CLEAR_PARAMS</v>
      </c>
      <c r="AD125" s="276" t="str" cm="1">
        <f t="array" ref="AD125">IF(AC125="","",_xll.U.RANGE_REF(AC125,TRUE))</f>
        <v>[REF]{{34856#2238066869648!R3C17:R20C26}}</v>
      </c>
      <c r="AE125" s="281"/>
      <c r="AF125" s="287" t="str">
        <v/>
      </c>
      <c r="AG125" s="276" t="str">
        <f t="shared" si="3"/>
        <v/>
      </c>
      <c r="AH125" s="276" t="str" cm="1">
        <f t="array" ref="AH125">IF(AG125="","",_xll.U.RANGE_REF(AG125,TRUE))</f>
        <v/>
      </c>
      <c r="AI125" s="288"/>
    </row>
    <row r="126" spans="1:35" x14ac:dyDescent="0.3">
      <c r="A126" s="18"/>
      <c r="B126" s="278" t="s">
        <v>3266</v>
      </c>
      <c r="C126" s="1" t="s">
        <v>2069</v>
      </c>
      <c r="D126" s="278" t="s">
        <v>411</v>
      </c>
      <c r="E126" s="314"/>
      <c r="F126" s="314" t="s">
        <v>71</v>
      </c>
      <c r="G126" s="314"/>
      <c r="H126" s="20"/>
      <c r="Z126" s="276" t="str">
        <v>REVERT</v>
      </c>
      <c r="AA126" s="276" t="str" cm="1">
        <f t="array" ref="AA126">IF(Z126="","",_xll.U.RANGE_REF(Z126,TRUE))</f>
        <v>[REF]{{34856#2238066869648!R40C5}}</v>
      </c>
      <c r="AB126" s="276"/>
      <c r="AC126" s="276" t="str">
        <f t="shared" si="2"/>
        <v>REVERT_PARAMS</v>
      </c>
      <c r="AD126" s="276" t="str" cm="1">
        <f t="array" ref="AD126">IF(AC126="","",_xll.U.RANGE_REF(AC126,TRUE))</f>
        <v>[REF]{{34856#2238066869648!R23C17:R34C26}}</v>
      </c>
      <c r="AE126" s="281"/>
      <c r="AF126" s="287" t="str">
        <v/>
      </c>
      <c r="AG126" s="276" t="str">
        <f t="shared" si="3"/>
        <v/>
      </c>
      <c r="AH126" s="276" t="str" cm="1">
        <f t="array" ref="AH126">IF(AG126="","",_xll.U.RANGE_REF(AG126,TRUE))</f>
        <v/>
      </c>
      <c r="AI126" s="288"/>
    </row>
    <row r="127" spans="1:35" x14ac:dyDescent="0.3">
      <c r="A127" s="18"/>
      <c r="B127" s="278" t="s">
        <v>3267</v>
      </c>
      <c r="C127" s="1" t="s">
        <v>1530</v>
      </c>
      <c r="D127" s="278" t="s">
        <v>411</v>
      </c>
      <c r="E127" s="314" t="s">
        <v>1786</v>
      </c>
      <c r="F127" s="314"/>
      <c r="G127" s="314" t="s">
        <v>1786</v>
      </c>
      <c r="H127" s="20"/>
      <c r="Z127" s="276" t="str">
        <v>CREATE_SCRIPT</v>
      </c>
      <c r="AA127" s="276" t="str" cm="1">
        <f t="array" ref="AA127">IF(Z127="","",_xll.U.RANGE_REF(Z127,TRUE))</f>
        <v>[REF]{{34856#2238066885872!R7C7}}</v>
      </c>
      <c r="AB127" s="276"/>
      <c r="AC127" s="276" t="str">
        <f t="shared" si="2"/>
        <v>CREATE_SCRIPT_PARAMS</v>
      </c>
      <c r="AD127" s="276" t="str" cm="1">
        <f t="array" ref="AD127">IF(AC127="","",_xll.U.RANGE_REF(AC127,TRUE))</f>
        <v>[REF]{{34856#2238066885872!R3C17:R23C26}}</v>
      </c>
      <c r="AE127" s="281"/>
      <c r="AF127" s="287" t="str">
        <v/>
      </c>
      <c r="AG127" s="276" t="str">
        <f t="shared" si="3"/>
        <v/>
      </c>
      <c r="AH127" s="276" t="str" cm="1">
        <f t="array" ref="AH127">IF(AG127="","",_xll.U.RANGE_REF(AG127,TRUE))</f>
        <v/>
      </c>
      <c r="AI127" s="288"/>
    </row>
    <row r="128" spans="1:35" x14ac:dyDescent="0.3">
      <c r="A128" s="18"/>
      <c r="B128" s="278" t="s">
        <v>3268</v>
      </c>
      <c r="C128" s="1" t="s">
        <v>3269</v>
      </c>
      <c r="D128" s="278" t="s">
        <v>411</v>
      </c>
      <c r="E128" s="314" t="s">
        <v>71</v>
      </c>
      <c r="F128" s="314" t="s">
        <v>1786</v>
      </c>
      <c r="G128" s="314" t="s">
        <v>1786</v>
      </c>
      <c r="H128" s="20"/>
      <c r="Z128" s="276" t="str">
        <v>RUN_SCRIPT</v>
      </c>
      <c r="AA128" s="276" t="str" cm="1">
        <f t="array" ref="AA128">IF(Z128="","",_xll.U.RANGE_REF(Z128,TRUE))</f>
        <v>[REF]{{34856#2238066885872!R11C7}}</v>
      </c>
      <c r="AB128" s="276"/>
      <c r="AC128" s="276" t="str">
        <f t="shared" si="2"/>
        <v>RUN_SCRIPT_PARAMS</v>
      </c>
      <c r="AD128" s="276" t="str" cm="1">
        <f t="array" ref="AD128">IF(AC128="","",_xll.U.RANGE_REF(AC128,TRUE))</f>
        <v>[REF]{{34856#2238066885872!R26C17:R52C26}}</v>
      </c>
      <c r="AE128" s="281"/>
      <c r="AF128" s="287" t="str">
        <v/>
      </c>
      <c r="AG128" s="276" t="str">
        <f t="shared" si="3"/>
        <v/>
      </c>
      <c r="AH128" s="276" t="str" cm="1">
        <f t="array" ref="AH128">IF(AG128="","",_xll.U.RANGE_REF(AG128,TRUE))</f>
        <v/>
      </c>
      <c r="AI128" s="288"/>
    </row>
    <row r="129" spans="1:35" x14ac:dyDescent="0.3">
      <c r="A129" s="18"/>
      <c r="B129" s="278" t="s">
        <v>3270</v>
      </c>
      <c r="C129" s="1" t="s">
        <v>1828</v>
      </c>
      <c r="D129" s="278" t="s">
        <v>411</v>
      </c>
      <c r="E129" s="314" t="s">
        <v>1786</v>
      </c>
      <c r="F129" s="314" t="s">
        <v>71</v>
      </c>
      <c r="G129" s="314" t="s">
        <v>71</v>
      </c>
      <c r="H129" s="20"/>
      <c r="Z129" s="276" t="str">
        <v>CURRENT_SCRIPT</v>
      </c>
      <c r="AA129" s="276" t="str" cm="1">
        <f t="array" ref="AA129">IF(Z129="","",_xll.U.RANGE_REF(Z129,TRUE))</f>
        <v>[REF]{{34856#2238066885872!R53C7}}</v>
      </c>
      <c r="AB129" s="276"/>
      <c r="AC129" s="276" t="str">
        <f t="shared" si="2"/>
        <v>CURRENT_SCRIPT_PARAMS</v>
      </c>
      <c r="AD129" s="276" t="str" cm="1">
        <f t="array" ref="AD129">IF(AC129="","",_xll.U.RANGE_REF(AC129,TRUE))</f>
        <v>[REF]{{34856#2238066885872!R55C17:R60C26}}</v>
      </c>
      <c r="AE129" s="281"/>
      <c r="AF129" s="287" t="str">
        <v/>
      </c>
      <c r="AG129" s="276" t="str">
        <f t="shared" si="3"/>
        <v/>
      </c>
      <c r="AH129" s="276" t="str" cm="1">
        <f t="array" ref="AH129">IF(AG129="","",_xll.U.RANGE_REF(AG129,TRUE))</f>
        <v/>
      </c>
      <c r="AI129" s="288"/>
    </row>
    <row r="130" spans="1:35" x14ac:dyDescent="0.3">
      <c r="A130" s="18"/>
      <c r="B130" s="278" t="s">
        <v>3271</v>
      </c>
      <c r="C130" s="1" t="s">
        <v>1605</v>
      </c>
      <c r="D130" s="278" t="s">
        <v>411</v>
      </c>
      <c r="E130" s="314" t="s">
        <v>71</v>
      </c>
      <c r="F130" s="314" t="s">
        <v>1786</v>
      </c>
      <c r="G130" s="314" t="s">
        <v>1786</v>
      </c>
      <c r="H130" s="20"/>
      <c r="Z130" s="276" t="str">
        <v>START_PROCESS</v>
      </c>
      <c r="AA130" s="276" t="str" cm="1">
        <f t="array" ref="AA130">IF(Z130="","",_xll.U.RANGE_REF(Z130,TRUE))</f>
        <v>[REF]{{34856#2238066872352!R5C5}}</v>
      </c>
      <c r="AB130" s="276"/>
      <c r="AC130" s="276" t="str">
        <f t="shared" si="2"/>
        <v>START_PROCESS_PARAMS</v>
      </c>
      <c r="AD130" s="276" t="str" cm="1">
        <f t="array" ref="AD130">IF(AC130="","",_xll.U.RANGE_REF(AC130,TRUE))</f>
        <v>[REF]{{34856#2238066872352!R3C17:R26C26}}</v>
      </c>
      <c r="AE130" s="281"/>
      <c r="AF130" s="287" t="str">
        <v/>
      </c>
      <c r="AG130" s="276" t="str">
        <f t="shared" si="3"/>
        <v/>
      </c>
      <c r="AH130" s="276" t="str" cm="1">
        <f t="array" ref="AH130">IF(AG130="","",_xll.U.RANGE_REF(AG130,TRUE))</f>
        <v/>
      </c>
      <c r="AI130" s="288"/>
    </row>
    <row r="131" spans="1:35" x14ac:dyDescent="0.3">
      <c r="A131" s="18"/>
      <c r="B131" s="278" t="s">
        <v>3272</v>
      </c>
      <c r="C131" s="1" t="s">
        <v>987</v>
      </c>
      <c r="D131" s="278" t="s">
        <v>411</v>
      </c>
      <c r="E131" s="314" t="s">
        <v>1786</v>
      </c>
      <c r="F131" s="314" t="s">
        <v>71</v>
      </c>
      <c r="G131" s="314"/>
      <c r="H131" s="20"/>
      <c r="Z131" s="276" t="str">
        <v>SYNC_CELLS</v>
      </c>
      <c r="AA131" s="276" t="str" cm="1">
        <f t="array" ref="AA131">IF(Z131="","",_xll.U.RANGE_REF(Z131,TRUE))</f>
        <v>[REF]{{34856#2238066888576!R5C5}}</v>
      </c>
      <c r="AB131" s="276"/>
      <c r="AC131" s="276" t="str">
        <f t="shared" si="2"/>
        <v>SYNC_CELLS_PARAMS</v>
      </c>
      <c r="AD131" s="276" t="str" cm="1">
        <f t="array" ref="AD131">IF(AC131="","",_xll.U.RANGE_REF(AC131,TRUE))</f>
        <v>[REF]{{34856#2238066888576!R3C17:R20C26}}</v>
      </c>
      <c r="AE131" s="281"/>
      <c r="AF131" s="287" t="str">
        <v/>
      </c>
      <c r="AG131" s="276" t="str">
        <f t="shared" si="3"/>
        <v/>
      </c>
      <c r="AH131" s="276" t="str" cm="1">
        <f t="array" ref="AH131">IF(AG131="","",_xll.U.RANGE_REF(AG131,TRUE))</f>
        <v/>
      </c>
      <c r="AI131" s="288"/>
    </row>
    <row r="132" spans="1:35" x14ac:dyDescent="0.3">
      <c r="A132" s="18"/>
      <c r="B132" s="278" t="s">
        <v>3273</v>
      </c>
      <c r="C132" s="1" t="s">
        <v>2562</v>
      </c>
      <c r="D132" s="278" t="s">
        <v>411</v>
      </c>
      <c r="E132" s="314" t="s">
        <v>1786</v>
      </c>
      <c r="F132" s="314" t="s">
        <v>71</v>
      </c>
      <c r="G132" s="314"/>
      <c r="H132" s="20"/>
      <c r="Z132" s="276" t="str">
        <v>SELECTION_PATH</v>
      </c>
      <c r="AA132" s="276" t="str" cm="1">
        <f t="array" ref="AA132">IF(Z132="","",_xll.U.RANGE_REF(Z132,TRUE))</f>
        <v>[REF]{{34856#2238066891280!R5C5}}</v>
      </c>
      <c r="AB132" s="276"/>
      <c r="AC132" s="276" t="str">
        <f t="shared" si="2"/>
        <v>SELECTION_PATH_PARAMS</v>
      </c>
      <c r="AD132" s="276" t="str" cm="1">
        <f t="array" ref="AD132">IF(AC132="","",_xll.U.RANGE_REF(AC132,TRUE))</f>
        <v>[REF]{{34856#2238066891280!R3C17:R68C26}}</v>
      </c>
      <c r="AE132" s="281"/>
      <c r="AF132" s="287" t="str">
        <v/>
      </c>
      <c r="AG132" s="276" t="str">
        <f t="shared" si="3"/>
        <v/>
      </c>
      <c r="AH132" s="276" t="str" cm="1">
        <f t="array" ref="AH132">IF(AG132="","",_xll.U.RANGE_REF(AG132,TRUE))</f>
        <v/>
      </c>
      <c r="AI132" s="288"/>
    </row>
    <row r="133" spans="1:35" x14ac:dyDescent="0.3">
      <c r="A133" s="18"/>
      <c r="B133" s="344" t="s">
        <v>3274</v>
      </c>
      <c r="C133" s="345" t="s">
        <v>142</v>
      </c>
      <c r="D133" s="344" t="s">
        <v>411</v>
      </c>
      <c r="E133" s="346" t="s">
        <v>71</v>
      </c>
      <c r="F133" s="314" t="s">
        <v>1786</v>
      </c>
      <c r="G133" s="314"/>
      <c r="H133" s="20"/>
      <c r="Z133" s="276" t="str">
        <v>UUID</v>
      </c>
      <c r="AA133" s="276" t="str" cm="1">
        <f t="array" ref="AA133">IF(Z133="","",_xll.U.RANGE_REF(Z133,TRUE))</f>
        <v>[REF]{{34856#2238066893984!R4C3}}</v>
      </c>
      <c r="AB133" s="276"/>
      <c r="AC133" s="276" t="str">
        <f t="shared" ref="AC133:AC193" si="4">IF(Z133="","",Z133&amp;"_PARAMS")</f>
        <v>UUID_PARAMS</v>
      </c>
      <c r="AD133" s="276" t="str" cm="1">
        <f t="array" ref="AD133">IF(AC133="","",_xll.U.RANGE_REF(AC133,TRUE))</f>
        <v>[REF]{{34856#2238066893984!R3C11:R8C20}}</v>
      </c>
      <c r="AE133" s="281"/>
      <c r="AF133" s="287" t="str">
        <v/>
      </c>
      <c r="AG133" s="276" t="str">
        <f t="shared" si="3"/>
        <v/>
      </c>
      <c r="AH133" s="276" t="str" cm="1">
        <f t="array" ref="AH133">IF(AG133="","",_xll.U.RANGE_REF(AG133,TRUE))</f>
        <v/>
      </c>
      <c r="AI133" s="288"/>
    </row>
    <row r="134" spans="1:35" x14ac:dyDescent="0.3">
      <c r="A134" s="18"/>
      <c r="B134" s="477" t="s">
        <v>1455</v>
      </c>
      <c r="C134" s="478"/>
      <c r="D134" s="478"/>
      <c r="E134" s="478"/>
      <c r="F134" s="478"/>
      <c r="G134" s="479"/>
      <c r="H134" s="20"/>
      <c r="Z134" s="276" t="str">
        <v/>
      </c>
      <c r="AA134" s="276" t="str" cm="1">
        <f t="array" ref="AA134">IF(Z134="","",_xll.U.RANGE_REF(Z134,TRUE))</f>
        <v/>
      </c>
      <c r="AB134" s="276"/>
      <c r="AC134" s="276" t="str">
        <f t="shared" si="4"/>
        <v/>
      </c>
      <c r="AD134" s="276" t="str" cm="1">
        <f t="array" ref="AD134">IF(AC134="","",_xll.U.RANGE_REF(AC134,TRUE))</f>
        <v/>
      </c>
      <c r="AE134" s="281"/>
      <c r="AF134" s="287" t="str">
        <v/>
      </c>
      <c r="AG134" s="276" t="str">
        <f t="shared" ref="AG134:AG193" si="5">IF(AF134="","",AF134&amp;"!A1")</f>
        <v/>
      </c>
      <c r="AH134" s="276" t="str" cm="1">
        <f t="array" ref="AH134">IF(AG134="","",_xll.U.RANGE_REF(AG134,TRUE))</f>
        <v/>
      </c>
      <c r="AI134" s="288"/>
    </row>
    <row r="135" spans="1:35" x14ac:dyDescent="0.3">
      <c r="A135" s="18"/>
      <c r="B135" s="347" t="s">
        <v>3275</v>
      </c>
      <c r="C135" s="348" t="s">
        <v>1391</v>
      </c>
      <c r="D135" s="347" t="s">
        <v>411</v>
      </c>
      <c r="E135" s="349" t="s">
        <v>71</v>
      </c>
      <c r="F135" s="314" t="s">
        <v>1786</v>
      </c>
      <c r="G135" s="349" t="s">
        <v>1786</v>
      </c>
      <c r="H135" s="20"/>
      <c r="Z135" s="276" t="str">
        <v>MONITOR_WORKBOOK</v>
      </c>
      <c r="AA135" s="276" t="str" cm="1">
        <f t="array" ref="AA135">IF(Z135="","",_xll.U.RANGE_REF(Z135,TRUE))</f>
        <v>[REF]{{34856#2238067036240!R5C3}}</v>
      </c>
      <c r="AB135" s="276"/>
      <c r="AC135" s="276" t="str">
        <f t="shared" si="4"/>
        <v>MONITOR_WORKBOOK_PARAMS</v>
      </c>
      <c r="AD135" s="276" t="str" cm="1">
        <f t="array" ref="AD135">IF(AC135="","",_xll.U.RANGE_REF(AC135,TRUE))</f>
        <v>[REF]{{34856#2238067036240!R3C17:R56C26}}</v>
      </c>
      <c r="AE135" s="281"/>
      <c r="AF135" s="287" t="str">
        <v/>
      </c>
      <c r="AG135" s="276" t="str">
        <f t="shared" si="5"/>
        <v/>
      </c>
      <c r="AH135" s="276" t="str" cm="1">
        <f t="array" ref="AH135">IF(AG135="","",_xll.U.RANGE_REF(AG135,TRUE))</f>
        <v/>
      </c>
      <c r="AI135" s="288"/>
    </row>
    <row r="136" spans="1:35" x14ac:dyDescent="0.3">
      <c r="A136" s="18"/>
      <c r="B136" s="347" t="s">
        <v>3276</v>
      </c>
      <c r="C136" s="348" t="s">
        <v>2308</v>
      </c>
      <c r="D136" s="347" t="s">
        <v>411</v>
      </c>
      <c r="E136" s="349" t="s">
        <v>1786</v>
      </c>
      <c r="F136" s="314" t="s">
        <v>1786</v>
      </c>
      <c r="G136" s="349"/>
      <c r="H136" s="20"/>
      <c r="Z136" s="276" t="str">
        <v>KEEP_AWAKE</v>
      </c>
      <c r="AA136" s="276" t="str" cm="1">
        <f t="array" ref="AA136">IF(Z136="","",_xll.U.RANGE_REF(Z136,TRUE))</f>
        <v>[REF]{{34856#2238067036240!R86C3}}</v>
      </c>
      <c r="AB136" s="276"/>
      <c r="AC136" s="276" t="str">
        <f t="shared" si="4"/>
        <v>KEEP_AWAKE_PARAMS</v>
      </c>
      <c r="AD136" s="276" t="str" cm="1">
        <f t="array" ref="AD136">IF(AC136="","",_xll.U.RANGE_REF(AC136,TRUE))</f>
        <v>[REF]{{34856#2238067036240!R59C17:R67C26}}</v>
      </c>
      <c r="AE136" s="281"/>
      <c r="AF136" s="287" t="str">
        <v/>
      </c>
      <c r="AG136" s="276" t="str">
        <f t="shared" si="5"/>
        <v/>
      </c>
      <c r="AH136" s="276" t="str" cm="1">
        <f t="array" ref="AH136">IF(AG136="","",_xll.U.RANGE_REF(AG136,TRUE))</f>
        <v/>
      </c>
      <c r="AI136" s="288"/>
    </row>
    <row r="137" spans="1:35" x14ac:dyDescent="0.3">
      <c r="A137" s="18"/>
      <c r="B137" s="278" t="s">
        <v>3277</v>
      </c>
      <c r="C137" s="1" t="s">
        <v>1328</v>
      </c>
      <c r="D137" s="278" t="s">
        <v>411</v>
      </c>
      <c r="E137" s="314" t="s">
        <v>1786</v>
      </c>
      <c r="F137" s="314" t="s">
        <v>71</v>
      </c>
      <c r="G137" s="314" t="s">
        <v>71</v>
      </c>
      <c r="H137" s="20"/>
      <c r="Z137" s="276" t="str">
        <v>BACKUP_WORKBOOK</v>
      </c>
      <c r="AA137" s="276" t="str" cm="1">
        <f t="array" ref="AA137">IF(Z137="","",_xll.U.RANGE_REF(Z137,TRUE))</f>
        <v>[REF]{{34856#2238067041648!R5C7}}</v>
      </c>
      <c r="AB137" s="276"/>
      <c r="AC137" s="276" t="str">
        <f t="shared" si="4"/>
        <v>BACKUP_WORKBOOK_PARAMS</v>
      </c>
      <c r="AD137" s="276" t="str" cm="1">
        <f t="array" ref="AD137">IF(AC137="","",_xll.U.RANGE_REF(AC137,TRUE))</f>
        <v>[REF]{{34856#2238067041648!R3C17:R20C26}}</v>
      </c>
      <c r="AE137" s="281"/>
      <c r="AF137" s="287" t="str">
        <v/>
      </c>
      <c r="AG137" s="276" t="str">
        <f t="shared" si="5"/>
        <v/>
      </c>
      <c r="AH137" s="276" t="str" cm="1">
        <f t="array" ref="AH137">IF(AG137="","",_xll.U.RANGE_REF(AG137,TRUE))</f>
        <v/>
      </c>
      <c r="AI137" s="288"/>
    </row>
    <row r="138" spans="1:35" x14ac:dyDescent="0.3">
      <c r="A138" s="18"/>
      <c r="B138" s="344" t="s">
        <v>3278</v>
      </c>
      <c r="C138" s="345" t="s">
        <v>3816</v>
      </c>
      <c r="D138" s="344" t="s">
        <v>411</v>
      </c>
      <c r="E138" s="346" t="s">
        <v>71</v>
      </c>
      <c r="F138" s="346" t="s">
        <v>71</v>
      </c>
      <c r="G138" s="314" t="s">
        <v>71</v>
      </c>
      <c r="H138" s="20"/>
      <c r="Z138" s="276" t="str">
        <v>BACKUP_ALL_WORKBOOKS</v>
      </c>
      <c r="AA138" s="276" t="str" cm="1">
        <f t="array" ref="AA138">IF(Z138="","",_xll.U.RANGE_REF(Z138,TRUE))</f>
        <v>[REF]{{34856#2238067041648!R53C7}}</v>
      </c>
      <c r="AB138" s="276"/>
      <c r="AC138" s="276" t="str">
        <f t="shared" si="4"/>
        <v>BACKUP_ALL_WORKBOOKS_PARAMS</v>
      </c>
      <c r="AD138" s="276" t="str" cm="1">
        <f t="array" ref="AD138">IF(AC138="","",_xll.U.RANGE_REF(AC138,TRUE))</f>
        <v>[REF]{{34856#2238067041648!R23C17:R43C26}}</v>
      </c>
      <c r="AE138" s="281"/>
      <c r="AF138" s="287" t="str">
        <v/>
      </c>
      <c r="AG138" s="276" t="str">
        <f t="shared" si="5"/>
        <v/>
      </c>
      <c r="AH138" s="276" t="str" cm="1">
        <f t="array" ref="AH138">IF(AG138="","",_xll.U.RANGE_REF(AG138,TRUE))</f>
        <v/>
      </c>
      <c r="AI138" s="288"/>
    </row>
    <row r="139" spans="1:35" x14ac:dyDescent="0.3">
      <c r="A139" s="18"/>
      <c r="B139" s="477" t="s">
        <v>1456</v>
      </c>
      <c r="C139" s="478"/>
      <c r="D139" s="478"/>
      <c r="E139" s="478"/>
      <c r="F139" s="478"/>
      <c r="G139" s="479"/>
      <c r="H139" s="20"/>
      <c r="Z139" s="276" t="str">
        <v/>
      </c>
      <c r="AA139" s="276" t="str" cm="1">
        <f t="array" ref="AA139">IF(Z139="","",_xll.U.RANGE_REF(Z139,TRUE))</f>
        <v/>
      </c>
      <c r="AB139" s="276"/>
      <c r="AC139" s="276" t="str">
        <f t="shared" si="4"/>
        <v/>
      </c>
      <c r="AD139" s="276" t="str" cm="1">
        <f t="array" ref="AD139">IF(AC139="","",_xll.U.RANGE_REF(AC139,TRUE))</f>
        <v/>
      </c>
      <c r="AE139" s="281"/>
      <c r="AF139" s="287" t="str">
        <v/>
      </c>
      <c r="AG139" s="276" t="str">
        <f t="shared" si="5"/>
        <v/>
      </c>
      <c r="AH139" s="276" t="str" cm="1">
        <f t="array" ref="AH139">IF(AG139="","",_xll.U.RANGE_REF(AG139,TRUE))</f>
        <v/>
      </c>
      <c r="AI139" s="288"/>
    </row>
    <row r="140" spans="1:35" x14ac:dyDescent="0.3">
      <c r="A140" s="18"/>
      <c r="B140" s="347" t="s">
        <v>3279</v>
      </c>
      <c r="C140" s="348" t="s">
        <v>999</v>
      </c>
      <c r="D140" s="347" t="s">
        <v>411</v>
      </c>
      <c r="E140" s="349" t="s">
        <v>71</v>
      </c>
      <c r="F140" s="349"/>
      <c r="G140" s="349" t="s">
        <v>1786</v>
      </c>
      <c r="H140" s="20"/>
      <c r="Z140" s="276" t="str">
        <v>CACHE</v>
      </c>
      <c r="AA140" s="276" t="str" cm="1">
        <f t="array" ref="AA140">IF(Z140="","",_xll.U.RANGE_REF(Z140,TRUE))</f>
        <v>[REF]{{34856#2238067030832!R10C12}}</v>
      </c>
      <c r="AB140" s="276"/>
      <c r="AC140" s="276" t="str">
        <f t="shared" si="4"/>
        <v>CACHE_PARAMS</v>
      </c>
      <c r="AD140" s="276" t="str" cm="1">
        <f t="array" ref="AD140">IF(AC140="","",_xll.U.RANGE_REF(AC140,TRUE))</f>
        <v>[REF]{{34856#2238067030832!R3C24:R23C33}}</v>
      </c>
      <c r="AE140" s="281"/>
      <c r="AF140" s="287" t="str">
        <v/>
      </c>
      <c r="AG140" s="276" t="str">
        <f t="shared" si="5"/>
        <v/>
      </c>
      <c r="AH140" s="276" t="str" cm="1">
        <f t="array" ref="AH140">IF(AG140="","",_xll.U.RANGE_REF(AG140,TRUE))</f>
        <v/>
      </c>
      <c r="AI140" s="288"/>
    </row>
    <row r="141" spans="1:35" x14ac:dyDescent="0.3">
      <c r="A141" s="18"/>
      <c r="B141" s="278" t="s">
        <v>3280</v>
      </c>
      <c r="C141" s="1" t="s">
        <v>1351</v>
      </c>
      <c r="D141" s="278" t="s">
        <v>411</v>
      </c>
      <c r="E141" s="314" t="s">
        <v>1786</v>
      </c>
      <c r="F141" s="314" t="s">
        <v>1786</v>
      </c>
      <c r="G141" s="314"/>
      <c r="H141" s="20"/>
      <c r="Z141" s="276" t="str">
        <v>PROFILE_WORKBOOK</v>
      </c>
      <c r="AA141" s="276" t="str" cm="1">
        <f t="array" ref="AA141">IF(Z141="","",_xll.U.RANGE_REF(Z141,TRUE))</f>
        <v>[REF]{{34856#2238067028128!R5C3}}</v>
      </c>
      <c r="AB141" s="276"/>
      <c r="AC141" s="276" t="str">
        <f t="shared" si="4"/>
        <v>PROFILE_WORKBOOK_PARAMS</v>
      </c>
      <c r="AD141" s="276" t="str" cm="1">
        <f t="array" ref="AD141">IF(AC141="","",_xll.U.RANGE_REF(AC141,TRUE))</f>
        <v>[REF]{{34856#2238067028128!R3C17:R23C26}}</v>
      </c>
      <c r="AE141" s="281"/>
      <c r="AF141" s="287" t="str">
        <v/>
      </c>
      <c r="AG141" s="276" t="str">
        <f t="shared" si="5"/>
        <v/>
      </c>
      <c r="AH141" s="276" t="str" cm="1">
        <f t="array" ref="AH141">IF(AG141="","",_xll.U.RANGE_REF(AG141,TRUE))</f>
        <v/>
      </c>
      <c r="AI141" s="288"/>
    </row>
    <row r="142" spans="1:35" x14ac:dyDescent="0.3">
      <c r="A142" s="18"/>
      <c r="B142" s="278" t="s">
        <v>3281</v>
      </c>
      <c r="C142" s="1" t="s">
        <v>3817</v>
      </c>
      <c r="D142" s="278" t="s">
        <v>411</v>
      </c>
      <c r="E142" s="314" t="s">
        <v>1786</v>
      </c>
      <c r="F142" s="314"/>
      <c r="G142" s="314"/>
      <c r="H142" s="20"/>
      <c r="Z142" s="276" t="str">
        <v>COUNT_FUNCTION_CALLS</v>
      </c>
      <c r="AA142" s="276" t="str" cm="1">
        <f t="array" ref="AA142">IF(Z142="","",_xll.U.RANGE_REF(Z142,TRUE))</f>
        <v>[REF]{{34856#2238067028128!R82C10}}</v>
      </c>
      <c r="AB142" s="276"/>
      <c r="AC142" s="276" t="str">
        <f t="shared" si="4"/>
        <v>COUNT_FUNCTION_CALLS_PARAMS</v>
      </c>
      <c r="AD142" s="276" t="str" cm="1">
        <f t="array" ref="AD142">IF(AC142="","",_xll.U.RANGE_REF(AC142,TRUE))</f>
        <v>[REF]{{34856#2238067028128!R26C17:R34C26}}</v>
      </c>
      <c r="AE142" s="281"/>
      <c r="AF142" s="287" t="str">
        <v/>
      </c>
      <c r="AG142" s="276" t="str">
        <f t="shared" si="5"/>
        <v/>
      </c>
      <c r="AH142" s="276" t="str" cm="1">
        <f t="array" ref="AH142">IF(AG142="","",_xll.U.RANGE_REF(AG142,TRUE))</f>
        <v/>
      </c>
      <c r="AI142" s="288"/>
    </row>
    <row r="143" spans="1:35" x14ac:dyDescent="0.3">
      <c r="A143" s="18"/>
      <c r="B143" s="344" t="s">
        <v>3282</v>
      </c>
      <c r="C143" s="345" t="s">
        <v>1748</v>
      </c>
      <c r="D143" s="344" t="s">
        <v>411</v>
      </c>
      <c r="E143" s="346" t="s">
        <v>71</v>
      </c>
      <c r="F143" s="346" t="s">
        <v>71</v>
      </c>
      <c r="G143" s="314" t="s">
        <v>71</v>
      </c>
      <c r="H143" s="20"/>
      <c r="Z143" s="276" t="str">
        <v>RAND</v>
      </c>
      <c r="AA143" s="276" t="str" cm="1">
        <f t="array" ref="AA143">IF(Z143="","",_xll.U.RANGE_REF(Z143,TRUE))</f>
        <v>[REF]{{34856#2238124312304!R6C6}}</v>
      </c>
      <c r="AB143" s="276"/>
      <c r="AC143" s="276" t="str">
        <f t="shared" si="4"/>
        <v>RAND_PARAMS</v>
      </c>
      <c r="AD143" s="276" t="str" cm="1">
        <f t="array" ref="AD143">IF(AC143="","",_xll.U.RANGE_REF(AC143,TRUE))</f>
        <v>[REF]{{34856#2238124312304!R3C13:R17C22}}</v>
      </c>
      <c r="AE143" s="281"/>
      <c r="AF143" s="287" t="str">
        <v/>
      </c>
      <c r="AG143" s="276" t="str">
        <f t="shared" si="5"/>
        <v/>
      </c>
      <c r="AH143" s="276" t="str" cm="1">
        <f t="array" ref="AH143">IF(AG143="","",_xll.U.RANGE_REF(AG143,TRUE))</f>
        <v/>
      </c>
      <c r="AI143" s="288"/>
    </row>
    <row r="144" spans="1:35" x14ac:dyDescent="0.3">
      <c r="A144" s="18"/>
      <c r="B144" s="477" t="s">
        <v>1457</v>
      </c>
      <c r="C144" s="478"/>
      <c r="D144" s="478"/>
      <c r="E144" s="478"/>
      <c r="F144" s="478"/>
      <c r="G144" s="479"/>
      <c r="H144" s="20"/>
      <c r="Z144" s="276" t="str">
        <v/>
      </c>
      <c r="AA144" s="276" t="str" cm="1">
        <f t="array" ref="AA144">IF(Z144="","",_xll.U.RANGE_REF(Z144,TRUE))</f>
        <v/>
      </c>
      <c r="AB144" s="276"/>
      <c r="AC144" s="276" t="str">
        <f t="shared" si="4"/>
        <v/>
      </c>
      <c r="AD144" s="276" t="str" cm="1">
        <f t="array" ref="AD144">IF(AC144="","",_xll.U.RANGE_REF(AC144,TRUE))</f>
        <v/>
      </c>
      <c r="AE144" s="281"/>
      <c r="AF144" s="287" t="str">
        <v/>
      </c>
      <c r="AG144" s="276" t="str">
        <f t="shared" si="5"/>
        <v/>
      </c>
      <c r="AH144" s="276" t="str" cm="1">
        <f t="array" ref="AH144">IF(AG144="","",_xll.U.RANGE_REF(AG144,TRUE))</f>
        <v/>
      </c>
      <c r="AI144" s="288"/>
    </row>
    <row r="145" spans="1:35" x14ac:dyDescent="0.3">
      <c r="A145" s="18"/>
      <c r="B145" s="347" t="s">
        <v>3283</v>
      </c>
      <c r="C145" s="348" t="s">
        <v>1289</v>
      </c>
      <c r="D145" s="347" t="s">
        <v>411</v>
      </c>
      <c r="E145" s="349" t="s">
        <v>1786</v>
      </c>
      <c r="F145" s="314" t="s">
        <v>1786</v>
      </c>
      <c r="G145" s="314"/>
      <c r="H145" s="20"/>
      <c r="Z145" s="276" t="str">
        <v>READ_ONLY</v>
      </c>
      <c r="AA145" s="276" t="str" cm="1">
        <f t="array" ref="AA145">IF(Z145="","",_xll.U.RANGE_REF(Z145,TRUE))</f>
        <v>[REF]{{34856#2238067038944!R5C5}}</v>
      </c>
      <c r="AB145" s="276"/>
      <c r="AC145" s="276" t="str">
        <f t="shared" si="4"/>
        <v>READ_ONLY_PARAMS</v>
      </c>
      <c r="AD145" s="276" t="str" cm="1">
        <f t="array" ref="AD145">IF(AC145="","",_xll.U.RANGE_REF(AC145,TRUE))</f>
        <v>[REF]{{34856#2238067038944!R3C17:R23C26}}</v>
      </c>
      <c r="AE145" s="281"/>
      <c r="AF145" s="287" t="str">
        <v/>
      </c>
      <c r="AG145" s="276" t="str">
        <f t="shared" si="5"/>
        <v/>
      </c>
      <c r="AH145" s="276" t="str" cm="1">
        <f t="array" ref="AH145">IF(AG145="","",_xll.U.RANGE_REF(AG145,TRUE))</f>
        <v/>
      </c>
      <c r="AI145" s="288"/>
    </row>
    <row r="146" spans="1:35" x14ac:dyDescent="0.3">
      <c r="A146" s="18"/>
      <c r="B146" s="278" t="s">
        <v>3284</v>
      </c>
      <c r="C146" s="1" t="s">
        <v>1347</v>
      </c>
      <c r="D146" s="278" t="s">
        <v>411</v>
      </c>
      <c r="E146" s="314" t="s">
        <v>71</v>
      </c>
      <c r="F146" s="314" t="s">
        <v>1786</v>
      </c>
      <c r="G146" s="314" t="s">
        <v>1786</v>
      </c>
      <c r="H146" s="20"/>
      <c r="Z146" s="276" t="str">
        <v>DISTRIBUTE_WORKBOOK</v>
      </c>
      <c r="AA146" s="276" t="str" cm="1">
        <f t="array" ref="AA146">IF(Z146="","",_xll.U.RANGE_REF(Z146,TRUE))</f>
        <v>[REF]{{34856#2238067038944!R48C2}}</v>
      </c>
      <c r="AB146" s="276"/>
      <c r="AC146" s="276" t="str">
        <f t="shared" si="4"/>
        <v>DISTRIBUTE_WORKBOOK_PARAMS</v>
      </c>
      <c r="AD146" s="276" t="str" cm="1">
        <f t="array" ref="AD146">IF(AC146="","",_xll.U.RANGE_REF(AC146,TRUE))</f>
        <v>[REF]{{34856#2238067038944!R26C17:R49C26}}</v>
      </c>
      <c r="AE146" s="281"/>
      <c r="AF146" s="287" t="str">
        <v/>
      </c>
      <c r="AG146" s="276" t="str">
        <f t="shared" si="5"/>
        <v/>
      </c>
      <c r="AH146" s="276" t="str" cm="1">
        <f t="array" ref="AH146">IF(AG146="","",_xll.U.RANGE_REF(AG146,TRUE))</f>
        <v/>
      </c>
      <c r="AI146" s="288"/>
    </row>
    <row r="147" spans="1:35" x14ac:dyDescent="0.3">
      <c r="A147" s="18"/>
      <c r="B147" s="278" t="s">
        <v>3285</v>
      </c>
      <c r="C147" s="1" t="s">
        <v>2448</v>
      </c>
      <c r="D147" s="278" t="s">
        <v>411</v>
      </c>
      <c r="E147" s="314" t="s">
        <v>71</v>
      </c>
      <c r="F147" s="314" t="s">
        <v>1786</v>
      </c>
      <c r="G147" s="314" t="s">
        <v>71</v>
      </c>
      <c r="H147" s="20"/>
      <c r="Z147" s="276" t="str">
        <v>TRUSTED_DISTRIBUTOR</v>
      </c>
      <c r="AA147" s="276" t="str" cm="1">
        <f t="array" ref="AA147">IF(Z147="","",_xll.U.RANGE_REF(Z147,TRUE))</f>
        <v>[REF]{{34856#2238067038944!R75C2}}</v>
      </c>
      <c r="AB147" s="276"/>
      <c r="AC147" s="276" t="str">
        <f t="shared" si="4"/>
        <v>TRUSTED_DISTRIBUTOR_PARAMS</v>
      </c>
      <c r="AD147" s="276" t="str" cm="1">
        <f t="array" ref="AD147">IF(AC147="","",_xll.U.RANGE_REF(AC147,TRUE))</f>
        <v>[REF]{{34856#2238067038944!R52C17:R72C26}}</v>
      </c>
      <c r="AE147" s="281"/>
      <c r="AF147" s="287" t="str">
        <v/>
      </c>
      <c r="AG147" s="276" t="str">
        <f t="shared" si="5"/>
        <v/>
      </c>
      <c r="AH147" s="276" t="str" cm="1">
        <f t="array" ref="AH147">IF(AG147="","",_xll.U.RANGE_REF(AG147,TRUE))</f>
        <v/>
      </c>
      <c r="AI147" s="288"/>
    </row>
    <row r="148" spans="1:35" x14ac:dyDescent="0.3">
      <c r="A148" s="18"/>
      <c r="B148" s="278" t="s">
        <v>3286</v>
      </c>
      <c r="C148" s="1" t="s">
        <v>1290</v>
      </c>
      <c r="D148" s="278" t="s">
        <v>411</v>
      </c>
      <c r="E148" s="314" t="s">
        <v>71</v>
      </c>
      <c r="F148" s="314" t="s">
        <v>1786</v>
      </c>
      <c r="G148" s="314" t="s">
        <v>1786</v>
      </c>
      <c r="H148" s="20"/>
      <c r="Z148" s="276" t="str">
        <v>PROTECT_WORKBOOK</v>
      </c>
      <c r="AA148" s="276" t="str" cm="1">
        <f t="array" ref="AA148">IF(Z148="","",_xll.U.RANGE_REF(Z148,TRUE))</f>
        <v>[REF]{{34856#2238067038944!R101C2}}</v>
      </c>
      <c r="AB148" s="276"/>
      <c r="AC148" s="276" t="str">
        <f t="shared" si="4"/>
        <v>PROTECT_WORKBOOK_PARAMS</v>
      </c>
      <c r="AD148" s="276" t="str" cm="1">
        <f t="array" ref="AD148">IF(AC148="","",_xll.U.RANGE_REF(AC148,TRUE))</f>
        <v>[REF]{{34856#2238067038944!R75C17:R95C26}}</v>
      </c>
      <c r="AE148" s="281"/>
      <c r="AF148" s="287" t="str">
        <v/>
      </c>
      <c r="AG148" s="276" t="str">
        <f t="shared" si="5"/>
        <v/>
      </c>
      <c r="AH148" s="276" t="str" cm="1">
        <f t="array" ref="AH148">IF(AG148="","",_xll.U.RANGE_REF(AG148,TRUE))</f>
        <v/>
      </c>
      <c r="AI148" s="288"/>
    </row>
    <row r="149" spans="1:35" x14ac:dyDescent="0.3">
      <c r="A149" s="18"/>
      <c r="B149" s="344" t="s">
        <v>3287</v>
      </c>
      <c r="C149" s="345" t="s">
        <v>3288</v>
      </c>
      <c r="D149" s="344" t="s">
        <v>411</v>
      </c>
      <c r="E149" s="346" t="s">
        <v>1786</v>
      </c>
      <c r="F149" s="314" t="s">
        <v>71</v>
      </c>
      <c r="G149" s="314"/>
      <c r="H149" s="20"/>
      <c r="Z149" s="276" t="str">
        <v>UNLOCK_CELLS</v>
      </c>
      <c r="AA149" s="276" t="str" cm="1">
        <f t="array" ref="AA149">IF(Z149="","",_xll.U.RANGE_REF(Z149,TRUE))</f>
        <v>[REF]{{34856#2238067038944!R117C5}}</v>
      </c>
      <c r="AB149" s="276"/>
      <c r="AC149" s="276" t="str">
        <f t="shared" si="4"/>
        <v>UNLOCK_CELLS_PARAMS</v>
      </c>
      <c r="AD149" s="276" t="str" cm="1">
        <f t="array" ref="AD149">IF(AC149="","",_xll.U.RANGE_REF(AC149,TRUE))</f>
        <v>[REF]{{34856#2238067038944!R98C17:R112C26}}</v>
      </c>
      <c r="AE149" s="281"/>
      <c r="AF149" s="287" t="str">
        <v/>
      </c>
      <c r="AG149" s="276" t="str">
        <f t="shared" si="5"/>
        <v/>
      </c>
      <c r="AH149" s="276" t="str" cm="1">
        <f t="array" ref="AH149">IF(AG149="","",_xll.U.RANGE_REF(AG149,TRUE))</f>
        <v/>
      </c>
      <c r="AI149" s="288"/>
    </row>
    <row r="150" spans="1:35" x14ac:dyDescent="0.3">
      <c r="A150" s="18"/>
      <c r="B150" s="477" t="s">
        <v>1424</v>
      </c>
      <c r="C150" s="478"/>
      <c r="D150" s="478"/>
      <c r="E150" s="478"/>
      <c r="F150" s="478"/>
      <c r="G150" s="479"/>
      <c r="H150" s="20"/>
      <c r="Z150" s="276" t="str">
        <v/>
      </c>
      <c r="AA150" s="276" t="str" cm="1">
        <f t="array" ref="AA150">IF(Z150="","",_xll.U.RANGE_REF(Z150,TRUE))</f>
        <v/>
      </c>
      <c r="AB150" s="276"/>
      <c r="AC150" s="276" t="str">
        <f t="shared" si="4"/>
        <v/>
      </c>
      <c r="AD150" s="276" t="str" cm="1">
        <f t="array" ref="AD150">IF(AC150="","",_xll.U.RANGE_REF(AC150,TRUE))</f>
        <v/>
      </c>
      <c r="AE150" s="281"/>
      <c r="AF150" s="287" t="str">
        <v/>
      </c>
      <c r="AG150" s="276" t="str">
        <f t="shared" si="5"/>
        <v/>
      </c>
      <c r="AH150" s="276" t="str" cm="1">
        <f t="array" ref="AH150">IF(AG150="","",_xll.U.RANGE_REF(AG150,TRUE))</f>
        <v/>
      </c>
      <c r="AI150" s="288"/>
    </row>
    <row r="151" spans="1:35" x14ac:dyDescent="0.3">
      <c r="A151" s="18"/>
      <c r="B151" s="347" t="s">
        <v>3289</v>
      </c>
      <c r="C151" s="348" t="s">
        <v>794</v>
      </c>
      <c r="D151" s="347" t="s">
        <v>411</v>
      </c>
      <c r="E151" s="349" t="s">
        <v>1786</v>
      </c>
      <c r="F151" s="349" t="s">
        <v>71</v>
      </c>
      <c r="G151" s="314" t="s">
        <v>71</v>
      </c>
      <c r="H151" s="20"/>
      <c r="Z151" s="276" t="str">
        <v>AUTHN</v>
      </c>
      <c r="AA151" s="276" t="str" cm="1">
        <f t="array" ref="AA151">IF(Z151="","",_xll.U.RANGE_REF(Z151,TRUE))</f>
        <v>[REF]{{34856#2238067033536!R12C3}}</v>
      </c>
      <c r="AB151" s="276"/>
      <c r="AC151" s="276" t="str">
        <f t="shared" si="4"/>
        <v>AUTHN_PARAMS</v>
      </c>
      <c r="AD151" s="276" t="str" cm="1">
        <f t="array" ref="AD151">IF(AC151="","",_xll.U.RANGE_REF(AC151,TRUE))</f>
        <v>[REF]{{34856#2238067033536!R44C11:R55C20}}</v>
      </c>
      <c r="AE151" s="281"/>
      <c r="AF151" s="287" t="str">
        <v/>
      </c>
      <c r="AG151" s="276" t="str">
        <f t="shared" si="5"/>
        <v/>
      </c>
      <c r="AH151" s="276" t="str" cm="1">
        <f t="array" ref="AH151">IF(AG151="","",_xll.U.RANGE_REF(AG151,TRUE))</f>
        <v/>
      </c>
      <c r="AI151" s="288"/>
    </row>
    <row r="152" spans="1:35" x14ac:dyDescent="0.3">
      <c r="A152" s="18"/>
      <c r="B152" s="278" t="s">
        <v>3290</v>
      </c>
      <c r="C152" s="1" t="s">
        <v>3855</v>
      </c>
      <c r="D152" s="278" t="s">
        <v>411</v>
      </c>
      <c r="E152" s="314" t="s">
        <v>71</v>
      </c>
      <c r="F152" s="314" t="s">
        <v>1786</v>
      </c>
      <c r="G152" s="314" t="s">
        <v>1786</v>
      </c>
      <c r="H152" s="20"/>
      <c r="Z152" s="276" t="str">
        <v>SAVE_CREDENTIALS</v>
      </c>
      <c r="AA152" s="276" t="str" cm="1">
        <f t="array" ref="AA152">IF(Z152="","",_xll.U.RANGE_REF(Z152,TRUE))</f>
        <v>[REF]{{34856#2238067033536!R24C3}}</v>
      </c>
      <c r="AB152" s="276"/>
      <c r="AC152" s="276" t="str">
        <f t="shared" si="4"/>
        <v>SAVE_CREDENTIALS_PARAMS</v>
      </c>
      <c r="AD152" s="276" t="str" cm="1">
        <f t="array" ref="AD152">IF(AC152="","",_xll.U.RANGE_REF(AC152,TRUE))</f>
        <v>[REF]{{34856#2238067033536!R69C11:R89C20}}</v>
      </c>
      <c r="AE152" s="281"/>
      <c r="AF152" s="287" t="str">
        <v/>
      </c>
      <c r="AG152" s="276" t="str">
        <f t="shared" si="5"/>
        <v/>
      </c>
      <c r="AH152" s="276" t="str" cm="1">
        <f t="array" ref="AH152">IF(AG152="","",_xll.U.RANGE_REF(AG152,TRUE))</f>
        <v/>
      </c>
      <c r="AI152" s="288"/>
    </row>
    <row r="153" spans="1:35" x14ac:dyDescent="0.3">
      <c r="A153" s="18"/>
      <c r="B153" s="278" t="s">
        <v>3291</v>
      </c>
      <c r="C153" s="1" t="s">
        <v>47</v>
      </c>
      <c r="D153" s="278" t="s">
        <v>411</v>
      </c>
      <c r="E153" s="314" t="s">
        <v>71</v>
      </c>
      <c r="F153" s="314" t="s">
        <v>71</v>
      </c>
      <c r="G153" s="314" t="s">
        <v>71</v>
      </c>
      <c r="H153" s="20"/>
      <c r="Z153" s="276" t="str">
        <v>SECRET</v>
      </c>
      <c r="AA153" s="276" t="str" cm="1">
        <f t="array" ref="AA153">IF(Z153="","",_xll.U.RANGE_REF(Z153,TRUE))</f>
        <v>[REF]{{34856#2238067047056!R14C2:R14C3}}</v>
      </c>
      <c r="AB153" s="276"/>
      <c r="AC153" s="276" t="str">
        <f t="shared" si="4"/>
        <v>SECRET_PARAMS</v>
      </c>
      <c r="AD153" s="276" t="str" cm="1">
        <f t="array" ref="AD153">IF(AC153="","",_xll.U.RANGE_REF(AC153,TRUE))</f>
        <v>[REF]{{34856#2238067047056!R3C17:R14C26}}</v>
      </c>
      <c r="AE153" s="281"/>
      <c r="AF153" s="287" t="str">
        <v/>
      </c>
      <c r="AG153" s="276" t="str">
        <f t="shared" si="5"/>
        <v/>
      </c>
      <c r="AH153" s="276" t="str" cm="1">
        <f t="array" ref="AH153">IF(AG153="","",_xll.U.RANGE_REF(AG153,TRUE))</f>
        <v/>
      </c>
      <c r="AI153" s="288"/>
    </row>
    <row r="154" spans="1:35" x14ac:dyDescent="0.3">
      <c r="A154" s="18"/>
      <c r="B154" s="278" t="s">
        <v>3292</v>
      </c>
      <c r="C154" s="1" t="s">
        <v>48</v>
      </c>
      <c r="D154" s="278" t="s">
        <v>411</v>
      </c>
      <c r="E154" s="314" t="s">
        <v>71</v>
      </c>
      <c r="F154" s="314" t="s">
        <v>71</v>
      </c>
      <c r="G154" s="314" t="s">
        <v>71</v>
      </c>
      <c r="H154" s="20"/>
      <c r="Z154" s="276" t="str">
        <v>PUB_SECRET</v>
      </c>
      <c r="AA154" s="276" t="str" cm="1">
        <f t="array" ref="AA154">IF(Z154="","",_xll.U.RANGE_REF(Z154,TRUE))</f>
        <v>[REF]{{34856#2238067047056!R82C2:R82C3}}</v>
      </c>
      <c r="AB154" s="276"/>
      <c r="AC154" s="276" t="str">
        <f t="shared" si="4"/>
        <v>PUB_SECRET_PARAMS</v>
      </c>
      <c r="AD154" s="276" t="str" cm="1">
        <f t="array" ref="AD154">IF(AC154="","",_xll.U.RANGE_REF(AC154,TRUE))</f>
        <v>[REF]{{34856#2238067047056!R17C17:R31C26}}</v>
      </c>
      <c r="AE154" s="281"/>
      <c r="AF154" s="287" t="str">
        <v/>
      </c>
      <c r="AG154" s="276" t="str">
        <f t="shared" si="5"/>
        <v/>
      </c>
      <c r="AH154" s="276" t="str" cm="1">
        <f t="array" ref="AH154">IF(AG154="","",_xll.U.RANGE_REF(AG154,TRUE))</f>
        <v/>
      </c>
      <c r="AI154" s="288"/>
    </row>
    <row r="155" spans="1:35" x14ac:dyDescent="0.3">
      <c r="A155" s="18"/>
      <c r="B155" s="344" t="s">
        <v>3293</v>
      </c>
      <c r="C155" s="345" t="s">
        <v>1641</v>
      </c>
      <c r="D155" s="344" t="s">
        <v>411</v>
      </c>
      <c r="E155" s="346" t="s">
        <v>71</v>
      </c>
      <c r="F155" s="346" t="s">
        <v>71</v>
      </c>
      <c r="G155" s="314" t="s">
        <v>71</v>
      </c>
      <c r="H155" s="20"/>
      <c r="Z155" s="276" t="str">
        <v>ENCRYPT</v>
      </c>
      <c r="AA155" s="276" t="str" cm="1">
        <f t="array" ref="AA155">IF(Z155="","",_xll.U.RANGE_REF(Z155,TRUE))</f>
        <v>[REF]{{34856#2238067047056!R103C5:R105C6}}</v>
      </c>
      <c r="AB155" s="276"/>
      <c r="AC155" s="276" t="str">
        <f t="shared" si="4"/>
        <v>ENCRYPT_PARAMS</v>
      </c>
      <c r="AD155" s="276" t="str" cm="1">
        <f t="array" ref="AD155">IF(AC155="","",_xll.U.RANGE_REF(AC155,TRUE))</f>
        <v>[REF]{{34856#2238067047056!R51C17:R62C26}}</v>
      </c>
      <c r="AE155" s="281"/>
      <c r="AF155" s="287" t="str">
        <v/>
      </c>
      <c r="AG155" s="276" t="str">
        <f t="shared" si="5"/>
        <v/>
      </c>
      <c r="AH155" s="276" t="str" cm="1">
        <f t="array" ref="AH155">IF(AG155="","",_xll.U.RANGE_REF(AG155,TRUE))</f>
        <v/>
      </c>
      <c r="AI155" s="288"/>
    </row>
    <row r="156" spans="1:35" x14ac:dyDescent="0.3">
      <c r="A156" s="18"/>
      <c r="B156" s="477" t="s">
        <v>2307</v>
      </c>
      <c r="C156" s="478"/>
      <c r="D156" s="478"/>
      <c r="E156" s="478"/>
      <c r="F156" s="478"/>
      <c r="G156" s="479"/>
      <c r="H156" s="20"/>
      <c r="Z156" s="276" t="str">
        <v/>
      </c>
      <c r="AA156" s="276" t="str" cm="1">
        <f t="array" ref="AA156">IF(Z156="","",_xll.U.RANGE_REF(Z156,TRUE))</f>
        <v/>
      </c>
      <c r="AB156" s="276"/>
      <c r="AC156" s="276" t="str">
        <f t="shared" si="4"/>
        <v/>
      </c>
      <c r="AD156" s="276" t="str" cm="1">
        <f t="array" ref="AD156">IF(AC156="","",_xll.U.RANGE_REF(AC156,TRUE))</f>
        <v/>
      </c>
      <c r="AE156" s="281"/>
      <c r="AF156" s="287" t="str">
        <v/>
      </c>
      <c r="AG156" s="276" t="str">
        <f t="shared" si="5"/>
        <v/>
      </c>
      <c r="AH156" s="276" t="str" cm="1">
        <f t="array" ref="AH156">IF(AG156="","",_xll.U.RANGE_REF(AG156,TRUE))</f>
        <v/>
      </c>
      <c r="AI156" s="288"/>
    </row>
    <row r="157" spans="1:35" x14ac:dyDescent="0.3">
      <c r="A157" s="18"/>
      <c r="B157" s="278" t="s">
        <v>3294</v>
      </c>
      <c r="C157" s="1" t="s">
        <v>3295</v>
      </c>
      <c r="D157" s="344" t="s">
        <v>411</v>
      </c>
      <c r="E157" s="314" t="s">
        <v>1786</v>
      </c>
      <c r="F157" s="314" t="s">
        <v>1786</v>
      </c>
      <c r="G157" s="314"/>
      <c r="H157" s="20"/>
      <c r="Z157" s="276" t="str">
        <v>COMPILE</v>
      </c>
      <c r="AA157" s="276" t="str" cm="1">
        <f t="array" ref="AA157">IF(Z157="","",_xll.U.RANGE_REF(Z157,TRUE))</f>
        <v>[REF]{{34856#2238067044352!R5C5}}</v>
      </c>
      <c r="AB157" s="276"/>
      <c r="AC157" s="276" t="str">
        <f t="shared" si="4"/>
        <v>COMPILE_PARAMS</v>
      </c>
      <c r="AD157" s="276" t="str" cm="1">
        <f t="array" ref="AD157">IF(AC157="","",_xll.U.RANGE_REF(AC157,TRUE))</f>
        <v>[REF]{{34856#2238067044352!R3C22:R35C31}}</v>
      </c>
      <c r="AE157" s="281"/>
      <c r="AF157" s="287" t="str">
        <v/>
      </c>
      <c r="AG157" s="276" t="str">
        <f t="shared" si="5"/>
        <v/>
      </c>
      <c r="AH157" s="276" t="str" cm="1">
        <f t="array" ref="AH157">IF(AG157="","",_xll.U.RANGE_REF(AG157,TRUE))</f>
        <v/>
      </c>
      <c r="AI157" s="288"/>
    </row>
    <row r="158" spans="1:35" x14ac:dyDescent="0.3">
      <c r="A158" s="18"/>
      <c r="B158" s="278" t="s">
        <v>3296</v>
      </c>
      <c r="C158" s="1" t="s">
        <v>3297</v>
      </c>
      <c r="D158" s="344" t="s">
        <v>411</v>
      </c>
      <c r="E158" s="314"/>
      <c r="F158" s="314"/>
      <c r="G158" s="314" t="s">
        <v>1786</v>
      </c>
      <c r="H158" s="20"/>
      <c r="Z158" s="276" t="str">
        <v>INVOKE</v>
      </c>
      <c r="AA158" s="276" t="str" cm="1">
        <f t="array" ref="AA158">IF(Z158="","",_xll.U.RANGE_REF(Z158,TRUE))</f>
        <v>[REF]{{34856#2238067044352!R16C5}}</v>
      </c>
      <c r="AB158" s="276"/>
      <c r="AC158" s="276" t="str">
        <f t="shared" si="4"/>
        <v>INVOKE_PARAMS</v>
      </c>
      <c r="AD158" s="276" t="str" cm="1">
        <f t="array" ref="AD158">IF(AC158="","",_xll.U.RANGE_REF(AC158,TRUE))</f>
        <v>[REF]{{34856#2238067044352!R38C22:R106C31}}</v>
      </c>
      <c r="AE158" s="281"/>
      <c r="AF158" s="287" t="str">
        <v/>
      </c>
      <c r="AG158" s="276" t="str">
        <f t="shared" si="5"/>
        <v/>
      </c>
      <c r="AH158" s="276" t="str" cm="1">
        <f t="array" ref="AH158">IF(AG158="","",_xll.U.RANGE_REF(AG158,TRUE))</f>
        <v/>
      </c>
      <c r="AI158" s="288"/>
    </row>
    <row r="159" spans="1:35" x14ac:dyDescent="0.3">
      <c r="A159" s="18"/>
      <c r="B159" s="278" t="s">
        <v>3298</v>
      </c>
      <c r="C159" s="1" t="s">
        <v>3299</v>
      </c>
      <c r="D159" s="344" t="s">
        <v>411</v>
      </c>
      <c r="E159" s="314" t="s">
        <v>1786</v>
      </c>
      <c r="F159" s="314"/>
      <c r="G159" s="314" t="s">
        <v>1786</v>
      </c>
      <c r="H159" s="20"/>
      <c r="Z159" s="276" t="str">
        <v>INVOKE_ASYNC</v>
      </c>
      <c r="AA159" s="276" t="str" cm="1">
        <f t="array" ref="AA159">IF(Z159="","",_xll.U.RANGE_REF(Z159,TRUE))</f>
        <v>[REF]{{34856#2238067044352!R222C7}}</v>
      </c>
      <c r="AB159" s="276"/>
      <c r="AC159" s="276" t="str">
        <f t="shared" si="4"/>
        <v>INVOKE_ASYNC_PARAMS</v>
      </c>
      <c r="AD159" s="276" t="str" cm="1">
        <f t="array" ref="AD159">IF(AC159="","",_xll.U.RANGE_REF(AC159,TRUE))</f>
        <v>[REF]{{34856#2238067044352!R180C22:R248C31}}</v>
      </c>
      <c r="AE159" s="281"/>
      <c r="AF159" s="287" t="str">
        <v/>
      </c>
      <c r="AG159" s="276" t="str">
        <f t="shared" si="5"/>
        <v/>
      </c>
      <c r="AH159" s="276" t="str" cm="1">
        <f t="array" ref="AH159">IF(AG159="","",_xll.U.RANGE_REF(AG159,TRUE))</f>
        <v/>
      </c>
      <c r="AI159" s="288"/>
    </row>
    <row r="160" spans="1:35" x14ac:dyDescent="0.3">
      <c r="A160" s="18"/>
      <c r="B160" s="278" t="s">
        <v>3300</v>
      </c>
      <c r="C160" s="1" t="s">
        <v>3301</v>
      </c>
      <c r="D160" s="344" t="s">
        <v>411</v>
      </c>
      <c r="E160" s="314"/>
      <c r="F160" s="314" t="s">
        <v>1786</v>
      </c>
      <c r="G160" s="314" t="s">
        <v>1786</v>
      </c>
      <c r="H160" s="20"/>
      <c r="Z160" s="276" t="str">
        <v>INVOKE_AS_MACRO</v>
      </c>
      <c r="AA160" s="276" t="str" cm="1">
        <f t="array" ref="AA160">IF(Z160="","",_xll.U.RANGE_REF(Z160,TRUE))</f>
        <v>[REF]{{34856#2238067044352!R260C7}}</v>
      </c>
      <c r="AB160" s="276"/>
      <c r="AC160" s="276" t="str">
        <f t="shared" si="4"/>
        <v>INVOKE_AS_MACRO_PARAMS</v>
      </c>
      <c r="AD160" s="276" t="str" cm="1">
        <f t="array" ref="AD160">IF(AC160="","",_xll.U.RANGE_REF(AC160,TRUE))</f>
        <v>[REF]{{34856#2238067044352!R109C22:R177C31}}</v>
      </c>
      <c r="AE160" s="281"/>
      <c r="AF160" s="287" t="str">
        <v/>
      </c>
      <c r="AG160" s="276" t="str">
        <f t="shared" si="5"/>
        <v/>
      </c>
      <c r="AH160" s="276" t="str" cm="1">
        <f t="array" ref="AH160">IF(AG160="","",_xll.U.RANGE_REF(AG160,TRUE))</f>
        <v/>
      </c>
      <c r="AI160" s="288"/>
    </row>
    <row r="161" spans="1:35" x14ac:dyDescent="0.3">
      <c r="A161" s="18"/>
      <c r="B161" s="278" t="s">
        <v>3302</v>
      </c>
      <c r="C161" s="1" t="s">
        <v>2523</v>
      </c>
      <c r="D161" s="344" t="s">
        <v>411</v>
      </c>
      <c r="E161" s="314"/>
      <c r="F161" s="314" t="s">
        <v>1786</v>
      </c>
      <c r="G161" s="314" t="s">
        <v>1786</v>
      </c>
      <c r="H161" s="20"/>
      <c r="Z161" s="276" t="str">
        <v>DISTRIBUTE_FUNCTIONS</v>
      </c>
      <c r="AA161" s="276" t="str" cm="1">
        <f t="array" ref="AA161">IF(Z161="","",_xll.U.RANGE_REF(Z161,TRUE))</f>
        <v>[REF]{{34856#2238067044352!R355C2}}</v>
      </c>
      <c r="AB161" s="276"/>
      <c r="AC161" s="276" t="str">
        <f t="shared" si="4"/>
        <v>DISTRIBUTE_FUNCTIONS_PARAMS</v>
      </c>
      <c r="AD161" s="276" t="str" cm="1">
        <f t="array" ref="AD161">IF(AC161="","",_xll.U.RANGE_REF(AC161,TRUE))</f>
        <v>[REF]{{34856#2238067044352!R251C22:R280C31}}</v>
      </c>
      <c r="AE161" s="281"/>
      <c r="AF161" s="287" t="str">
        <v/>
      </c>
      <c r="AG161" s="276" t="str">
        <f t="shared" si="5"/>
        <v/>
      </c>
      <c r="AH161" s="276" t="str" cm="1">
        <f t="array" ref="AH161">IF(AG161="","",_xll.U.RANGE_REF(AG161,TRUE))</f>
        <v/>
      </c>
      <c r="AI161" s="288"/>
    </row>
    <row r="162" spans="1:35" x14ac:dyDescent="0.3">
      <c r="A162" s="18"/>
      <c r="B162" s="477" t="s">
        <v>1423</v>
      </c>
      <c r="C162" s="478"/>
      <c r="D162" s="478"/>
      <c r="E162" s="478"/>
      <c r="F162" s="478"/>
      <c r="G162" s="479"/>
      <c r="H162" s="20"/>
      <c r="Z162" s="276" t="str">
        <v/>
      </c>
      <c r="AA162" s="276" t="str" cm="1">
        <f t="array" ref="AA162">IF(Z162="","",_xll.U.RANGE_REF(Z162,TRUE))</f>
        <v/>
      </c>
      <c r="AB162" s="276"/>
      <c r="AC162" s="276" t="str">
        <f t="shared" si="4"/>
        <v/>
      </c>
      <c r="AD162" s="276" t="str" cm="1">
        <f t="array" ref="AD162">IF(AC162="","",_xll.U.RANGE_REF(AC162,TRUE))</f>
        <v/>
      </c>
      <c r="AE162" s="281"/>
      <c r="AF162" s="287" t="str">
        <v/>
      </c>
      <c r="AG162" s="276" t="str">
        <f t="shared" si="5"/>
        <v/>
      </c>
      <c r="AH162" s="276" t="str" cm="1">
        <f t="array" ref="AH162">IF(AG162="","",_xll.U.RANGE_REF(AG162,TRUE))</f>
        <v/>
      </c>
      <c r="AI162" s="288"/>
    </row>
    <row r="163" spans="1:35" x14ac:dyDescent="0.3">
      <c r="A163" s="18"/>
      <c r="B163" s="347" t="s">
        <v>3303</v>
      </c>
      <c r="C163" s="348" t="s">
        <v>49</v>
      </c>
      <c r="D163" s="347" t="s">
        <v>411</v>
      </c>
      <c r="E163" s="349" t="s">
        <v>71</v>
      </c>
      <c r="F163" s="349" t="s">
        <v>71</v>
      </c>
      <c r="G163" s="314" t="s">
        <v>71</v>
      </c>
      <c r="H163" s="20"/>
      <c r="Z163" s="276" t="str">
        <v>TOPIC</v>
      </c>
      <c r="AA163" s="276" t="str" cm="1">
        <f t="array" ref="AA163">IF(Z163="","",_xll.U.RANGE_REF(Z163,TRUE))</f>
        <v>[REF]{{34856#2238067047056!R57C3}}</v>
      </c>
      <c r="AB163" s="276"/>
      <c r="AC163" s="276" t="str">
        <f t="shared" si="4"/>
        <v>TOPIC_PARAMS</v>
      </c>
      <c r="AD163" s="276" t="str" cm="1">
        <f t="array" ref="AD163">IF(AC163="","",_xll.U.RANGE_REF(AC163,TRUE))</f>
        <v>[REF]{{34856#2238067047056!R34C17:R48C26}}</v>
      </c>
      <c r="AE163" s="281"/>
      <c r="AF163" s="287" t="str">
        <v/>
      </c>
      <c r="AG163" s="276" t="str">
        <f t="shared" si="5"/>
        <v/>
      </c>
      <c r="AH163" s="276" t="str" cm="1">
        <f t="array" ref="AH163">IF(AG163="","",_xll.U.RANGE_REF(AG163,TRUE))</f>
        <v/>
      </c>
      <c r="AI163" s="288"/>
    </row>
    <row r="164" spans="1:35" x14ac:dyDescent="0.3">
      <c r="A164" s="18"/>
      <c r="B164" s="278" t="s">
        <v>3304</v>
      </c>
      <c r="C164" s="1" t="s">
        <v>3818</v>
      </c>
      <c r="D164" s="278" t="s">
        <v>411</v>
      </c>
      <c r="E164" s="314" t="s">
        <v>71</v>
      </c>
      <c r="F164" s="314" t="s">
        <v>71</v>
      </c>
      <c r="G164" s="314" t="s">
        <v>71</v>
      </c>
      <c r="H164" s="20"/>
      <c r="Z164" s="276" t="str">
        <v>PUB_SNAPSHOT</v>
      </c>
      <c r="AA164" s="276" t="str" cm="1">
        <f t="array" ref="AA164">IF(Z164="","",_xll.U.RANGE_REF(Z164,TRUE))</f>
        <v>[REF]{{34856#2238120306000!R190C6}}</v>
      </c>
      <c r="AB164" s="276"/>
      <c r="AC164" s="276" t="str">
        <f t="shared" si="4"/>
        <v>PUB_SNAPSHOT_PARAMS</v>
      </c>
      <c r="AD164" s="276" t="str" cm="1">
        <f t="array" ref="AD164">IF(AC164="","",_xll.U.RANGE_REF(AC164,TRUE))</f>
        <v>[REF]{{34856#2238120306000!R103C17:R117C26}}</v>
      </c>
      <c r="AE164" s="281"/>
      <c r="AF164" s="287" t="str">
        <v/>
      </c>
      <c r="AG164" s="276" t="str">
        <f t="shared" si="5"/>
        <v/>
      </c>
      <c r="AH164" s="276" t="str" cm="1">
        <f t="array" ref="AH164">IF(AG164="","",_xll.U.RANGE_REF(AG164,TRUE))</f>
        <v/>
      </c>
      <c r="AI164" s="288"/>
    </row>
    <row r="165" spans="1:35" x14ac:dyDescent="0.3">
      <c r="A165" s="18"/>
      <c r="B165" s="278" t="s">
        <v>3305</v>
      </c>
      <c r="C165" s="1" t="s">
        <v>1003</v>
      </c>
      <c r="D165" s="278" t="s">
        <v>411</v>
      </c>
      <c r="E165" s="314" t="s">
        <v>1786</v>
      </c>
      <c r="F165" s="314"/>
      <c r="G165" s="314" t="s">
        <v>1786</v>
      </c>
      <c r="H165" s="20"/>
      <c r="Z165" s="276" t="str">
        <v>REFRESH</v>
      </c>
      <c r="AA165" s="276" t="str" cm="1">
        <f t="array" ref="AA165">IF(Z165="","",_xll.U.RANGE_REF(Z165,TRUE))</f>
        <v>[REF]{{34856#2238118159472!R56C3}}</v>
      </c>
      <c r="AB165" s="276"/>
      <c r="AC165" s="276" t="str">
        <f t="shared" si="4"/>
        <v>REFRESH_PARAMS</v>
      </c>
      <c r="AD165" s="276" t="str" cm="1">
        <f t="array" ref="AD165">IF(AC165="","",_xll.U.RANGE_REF(AC165,TRUE))</f>
        <v>[REF]{{34856#2238118159472!R72C17:R92C26}}</v>
      </c>
      <c r="AE165" s="281"/>
      <c r="AF165" s="287" t="str">
        <v/>
      </c>
      <c r="AG165" s="276" t="str">
        <f t="shared" si="5"/>
        <v/>
      </c>
      <c r="AH165" s="276" t="str" cm="1">
        <f t="array" ref="AH165">IF(AG165="","",_xll.U.RANGE_REF(AG165,TRUE))</f>
        <v/>
      </c>
      <c r="AI165" s="288"/>
    </row>
    <row r="166" spans="1:35" x14ac:dyDescent="0.3">
      <c r="A166" s="18"/>
      <c r="B166" s="344" t="s">
        <v>3151</v>
      </c>
      <c r="C166" s="345" t="s">
        <v>295</v>
      </c>
      <c r="D166" s="344" t="s">
        <v>411</v>
      </c>
      <c r="E166" s="346" t="s">
        <v>71</v>
      </c>
      <c r="F166" s="346" t="s">
        <v>71</v>
      </c>
      <c r="G166" s="314" t="s">
        <v>71</v>
      </c>
      <c r="H166" s="20"/>
      <c r="Z166" s="276" t="str">
        <v>PAGE_NAMES</v>
      </c>
      <c r="AA166" s="276" t="str" cm="1">
        <f t="array" ref="AA166">IF(Z166="","",_xll.U.RANGE_REF(Z166,TRUE))</f>
        <v>[REF]{{34856#2238120306000!R35C6}}</v>
      </c>
      <c r="AB166" s="276"/>
      <c r="AC166" s="276" t="str">
        <f t="shared" si="4"/>
        <v>PAGE_NAMES_PARAMS</v>
      </c>
      <c r="AD166" s="276" t="str" cm="1">
        <f t="array" ref="AD166">IF(AC166="","",_xll.U.RANGE_REF(AC166,TRUE))</f>
        <v>[REF]{{34856#2238120306000!R29C17:R40C26}}</v>
      </c>
      <c r="AE166" s="281"/>
      <c r="AF166" s="287" t="str">
        <v/>
      </c>
      <c r="AG166" s="276" t="str">
        <f t="shared" si="5"/>
        <v/>
      </c>
      <c r="AH166" s="276" t="str" cm="1">
        <f t="array" ref="AH166">IF(AG166="","",_xll.U.RANGE_REF(AG166,TRUE))</f>
        <v/>
      </c>
      <c r="AI166" s="288"/>
    </row>
    <row r="167" spans="1:35" x14ac:dyDescent="0.3">
      <c r="A167" s="18"/>
      <c r="B167" s="278" t="s">
        <v>3148</v>
      </c>
      <c r="C167" s="1" t="s">
        <v>3819</v>
      </c>
      <c r="D167" s="278" t="s">
        <v>411</v>
      </c>
      <c r="E167" s="314" t="s">
        <v>1786</v>
      </c>
      <c r="F167" s="314" t="s">
        <v>1786</v>
      </c>
      <c r="G167" s="314" t="s">
        <v>71</v>
      </c>
      <c r="H167" s="20"/>
      <c r="Z167" s="276" t="str">
        <v>GET_LIVE</v>
      </c>
      <c r="AA167" s="276" t="str" cm="1">
        <f t="array" ref="AA167">IF(Z167="","",_xll.U.RANGE_REF(Z167,TRUE))</f>
        <v>[REF]{{34856#2238118159472!R34C2:R36C3}}</v>
      </c>
      <c r="AB167" s="276"/>
      <c r="AC167" s="276" t="str">
        <f t="shared" si="4"/>
        <v>GET_LIVE_PARAMS</v>
      </c>
      <c r="AD167" s="276" t="str" cm="1">
        <f t="array" ref="AD167">IF(AC167="","",_xll.U.RANGE_REF(AC167,TRUE))</f>
        <v>[REF]{{34856#2238118159472!R49C17:R69C26}}</v>
      </c>
      <c r="AE167" s="281"/>
      <c r="AF167" s="287" t="str">
        <v/>
      </c>
      <c r="AG167" s="276" t="str">
        <f t="shared" si="5"/>
        <v/>
      </c>
      <c r="AH167" s="276" t="str" cm="1">
        <f t="array" ref="AH167">IF(AG167="","",_xll.U.RANGE_REF(AG167,TRUE))</f>
        <v/>
      </c>
      <c r="AI167" s="288"/>
    </row>
    <row r="168" spans="1:35" x14ac:dyDescent="0.3">
      <c r="A168" s="18"/>
      <c r="B168" s="278" t="s">
        <v>3306</v>
      </c>
      <c r="C168" s="1" t="s">
        <v>816</v>
      </c>
      <c r="D168" s="278" t="s">
        <v>411</v>
      </c>
      <c r="E168" s="314" t="s">
        <v>71</v>
      </c>
      <c r="F168" s="314" t="s">
        <v>71</v>
      </c>
      <c r="G168" s="314" t="s">
        <v>71</v>
      </c>
      <c r="H168" s="20"/>
      <c r="Z168" s="276" t="str">
        <v>DELETE_REPORT</v>
      </c>
      <c r="AA168" s="276" t="str" cm="1">
        <f t="array" ref="AA168">IF(Z168="","",_xll.U.RANGE_REF(Z168,TRUE))</f>
        <v>[REF]{{34856#2238120306000!R213C2}}</v>
      </c>
      <c r="AB168" s="276"/>
      <c r="AC168" s="276" t="str">
        <f t="shared" si="4"/>
        <v>DELETE_REPORT_PARAMS</v>
      </c>
      <c r="AD168" s="276" t="str" cm="1">
        <f t="array" ref="AD168">IF(AC168="","",_xll.U.RANGE_REF(AC168,TRUE))</f>
        <v>[REF]{{34856#2238120306000!R137C17:R145C26}}</v>
      </c>
      <c r="AE168" s="281"/>
      <c r="AF168" s="287" t="str">
        <v/>
      </c>
      <c r="AG168" s="276" t="str">
        <f t="shared" si="5"/>
        <v/>
      </c>
      <c r="AH168" s="276" t="str" cm="1">
        <f t="array" ref="AH168">IF(AG168="","",_xll.U.RANGE_REF(AG168,TRUE))</f>
        <v/>
      </c>
      <c r="AI168" s="288"/>
    </row>
    <row r="169" spans="1:35" x14ac:dyDescent="0.3">
      <c r="A169" s="18"/>
      <c r="B169" s="278" t="s">
        <v>3307</v>
      </c>
      <c r="C169" s="1" t="s">
        <v>1011</v>
      </c>
      <c r="D169" s="278" t="s">
        <v>411</v>
      </c>
      <c r="E169" s="314" t="s">
        <v>1786</v>
      </c>
      <c r="F169" s="314" t="s">
        <v>71</v>
      </c>
      <c r="G169" s="314" t="s">
        <v>71</v>
      </c>
      <c r="H169" s="20"/>
      <c r="Z169" s="276" t="str">
        <v>MAX_PRECISION</v>
      </c>
      <c r="AA169" s="276" t="str" cm="1">
        <f t="array" ref="AA169">IF(Z169="","",_xll.U.RANGE_REF(Z169,TRUE))</f>
        <v>[REF]{{34856#2238120306000!R231C2:R231C3}}</v>
      </c>
      <c r="AB169" s="276"/>
      <c r="AC169" s="276" t="str">
        <f t="shared" si="4"/>
        <v>MAX_PRECISION_PARAMS</v>
      </c>
      <c r="AD169" s="276" t="str" cm="1">
        <f t="array" ref="AD169">IF(AC169="","",_xll.U.RANGE_REF(AC169,TRUE))</f>
        <v>[REF]{{34856#2238120306000!R148C17:R162C26}}</v>
      </c>
      <c r="AE169" s="281"/>
      <c r="AF169" s="287" t="str">
        <v/>
      </c>
      <c r="AG169" s="276" t="str">
        <f t="shared" si="5"/>
        <v/>
      </c>
      <c r="AH169" s="276" t="str" cm="1">
        <f t="array" ref="AH169">IF(AG169="","",_xll.U.RANGE_REF(AG169,TRUE))</f>
        <v/>
      </c>
      <c r="AI169" s="288"/>
    </row>
    <row r="170" spans="1:35" x14ac:dyDescent="0.3">
      <c r="A170" s="18"/>
      <c r="B170" s="278" t="s">
        <v>3308</v>
      </c>
      <c r="C170" s="1" t="s">
        <v>3309</v>
      </c>
      <c r="D170" s="278" t="s">
        <v>411</v>
      </c>
      <c r="E170" s="314" t="s">
        <v>71</v>
      </c>
      <c r="F170" s="314" t="s">
        <v>71</v>
      </c>
      <c r="G170" s="314" t="s">
        <v>71</v>
      </c>
      <c r="H170" s="20"/>
      <c r="Z170" s="276" t="str">
        <v>PUB_AND_PASTE</v>
      </c>
      <c r="AA170" s="276" t="str" cm="1">
        <f t="array" ref="AA170">IF(Z170="","",_xll.U.RANGE_REF(Z170,TRUE))</f>
        <v>[REF]{{34856#2238120306000!R140C3}}</v>
      </c>
      <c r="AB170" s="276"/>
      <c r="AC170" s="276" t="str">
        <f t="shared" si="4"/>
        <v>PUB_AND_PASTE_PARAMS</v>
      </c>
      <c r="AD170" s="276" t="str" cm="1">
        <f t="array" ref="AD170">IF(AC170="","",_xll.U.RANGE_REF(AC170,TRUE))</f>
        <v>[REF]{{34856#2238120306000!R57C17:R68C26}}</v>
      </c>
      <c r="AE170" s="281"/>
      <c r="AF170" s="287" t="str">
        <v/>
      </c>
      <c r="AG170" s="276" t="str">
        <f t="shared" si="5"/>
        <v/>
      </c>
      <c r="AH170" s="276" t="str" cm="1">
        <f t="array" ref="AH170">IF(AG170="","",_xll.U.RANGE_REF(AG170,TRUE))</f>
        <v/>
      </c>
      <c r="AI170" s="288"/>
    </row>
    <row r="171" spans="1:35" x14ac:dyDescent="0.3">
      <c r="A171" s="18"/>
      <c r="B171" s="278" t="s">
        <v>3310</v>
      </c>
      <c r="C171" s="1" t="s">
        <v>3311</v>
      </c>
      <c r="D171" s="278" t="s">
        <v>411</v>
      </c>
      <c r="E171" s="314" t="s">
        <v>71</v>
      </c>
      <c r="F171" s="314"/>
      <c r="G171" s="314" t="s">
        <v>1786</v>
      </c>
      <c r="H171" s="20"/>
      <c r="Z171" s="276" t="str">
        <v>ALLOW_PUBLISH</v>
      </c>
      <c r="AA171" s="276" t="str" cm="1">
        <f t="array" ref="AA171">IF(Z171="","",_xll.U.RANGE_REF(Z171,TRUE))</f>
        <v>[REF]{{34856#2238120306000!R171C3}}</v>
      </c>
      <c r="AB171" s="276"/>
      <c r="AC171" s="276" t="str">
        <f t="shared" si="4"/>
        <v>ALLOW_PUBLISH_PARAMS</v>
      </c>
      <c r="AD171" s="276" t="str" cm="1">
        <f t="array" ref="AD171">IF(AC171="","",_xll.U.RANGE_REF(AC171,TRUE))</f>
        <v>[REF]{{34856#2238120306000!R120C17:R134C26}}</v>
      </c>
      <c r="AE171" s="281"/>
      <c r="AF171" s="287" t="str">
        <v/>
      </c>
      <c r="AG171" s="276" t="str">
        <f t="shared" si="5"/>
        <v/>
      </c>
      <c r="AH171" s="276" t="str" cm="1">
        <f t="array" ref="AH171">IF(AG171="","",_xll.U.RANGE_REF(AG171,TRUE))</f>
        <v/>
      </c>
      <c r="AI171" s="288"/>
    </row>
    <row r="172" spans="1:35" x14ac:dyDescent="0.3">
      <c r="A172" s="18"/>
      <c r="B172" s="278" t="s">
        <v>3312</v>
      </c>
      <c r="C172" s="1" t="s">
        <v>1413</v>
      </c>
      <c r="D172" s="278" t="s">
        <v>411</v>
      </c>
      <c r="E172" s="314" t="s">
        <v>71</v>
      </c>
      <c r="F172" s="314" t="s">
        <v>71</v>
      </c>
      <c r="G172" s="314" t="s">
        <v>71</v>
      </c>
      <c r="H172" s="20"/>
      <c r="Z172" s="276" t="str">
        <v>TOPICS_REPORT</v>
      </c>
      <c r="AA172" s="276" t="str" cm="1">
        <f t="array" ref="AA172">IF(Z172="","",_xll.U.RANGE_REF(Z172,TRUE))</f>
        <v>[REF]{{34856#2238118159472!R155C2:R182C6}}</v>
      </c>
      <c r="AB172" s="276"/>
      <c r="AC172" s="276" t="str">
        <f t="shared" si="4"/>
        <v>TOPICS_REPORT_PARAMS</v>
      </c>
      <c r="AD172" s="276" t="str" cm="1">
        <f t="array" ref="AD172">IF(AC172="","",_xll.U.RANGE_REF(AC172,TRUE))</f>
        <v>[REF]{{34856#2238118159472!R121C17:R126C26}}</v>
      </c>
      <c r="AE172" s="281"/>
      <c r="AF172" s="287" t="str">
        <v/>
      </c>
      <c r="AG172" s="276" t="str">
        <f t="shared" si="5"/>
        <v/>
      </c>
      <c r="AH172" s="276" t="str" cm="1">
        <f t="array" ref="AH172">IF(AG172="","",_xll.U.RANGE_REF(AG172,TRUE))</f>
        <v/>
      </c>
      <c r="AI172" s="288"/>
    </row>
    <row r="173" spans="1:35" x14ac:dyDescent="0.3">
      <c r="A173" s="18"/>
      <c r="B173" s="344" t="s">
        <v>3313</v>
      </c>
      <c r="C173" s="345" t="s">
        <v>2273</v>
      </c>
      <c r="D173" s="344" t="s">
        <v>411</v>
      </c>
      <c r="E173" s="346" t="s">
        <v>1786</v>
      </c>
      <c r="F173" s="346" t="s">
        <v>71</v>
      </c>
      <c r="G173" s="314" t="s">
        <v>1786</v>
      </c>
      <c r="H173" s="20"/>
      <c r="Z173" s="276" t="str">
        <v>PUB_THROTTLE_MILLIS</v>
      </c>
      <c r="AA173" s="276" t="str" cm="1">
        <f t="array" ref="AA173">IF(Z173="","",_xll.U.RANGE_REF(Z173,TRUE))</f>
        <v>[REF]{{34856#2238120306000!R497C2}}</v>
      </c>
      <c r="AB173" s="276"/>
      <c r="AC173" s="276" t="str">
        <f t="shared" si="4"/>
        <v>PUB_THROTTLE_MILLIS_PARAMS</v>
      </c>
      <c r="AD173" s="276" t="str" cm="1">
        <f t="array" ref="AD173">IF(AC173="","",_xll.U.RANGE_REF(AC173,TRUE))</f>
        <v>[REF]{{34856#2238120306000!R350C17:R361C26}}</v>
      </c>
      <c r="AE173" s="281"/>
      <c r="AF173" s="287" t="str">
        <v/>
      </c>
      <c r="AG173" s="276" t="str">
        <f t="shared" si="5"/>
        <v/>
      </c>
      <c r="AH173" s="276" t="str" cm="1">
        <f t="array" ref="AH173">IF(AG173="","",_xll.U.RANGE_REF(AG173,TRUE))</f>
        <v/>
      </c>
      <c r="AI173" s="288"/>
    </row>
    <row r="174" spans="1:35" x14ac:dyDescent="0.3">
      <c r="A174" s="18"/>
      <c r="B174" s="344" t="s">
        <v>3314</v>
      </c>
      <c r="C174" s="345" t="s">
        <v>2056</v>
      </c>
      <c r="D174" s="344" t="s">
        <v>411</v>
      </c>
      <c r="E174" s="346" t="s">
        <v>1786</v>
      </c>
      <c r="F174" s="346" t="s">
        <v>71</v>
      </c>
      <c r="G174" s="314" t="s">
        <v>71</v>
      </c>
      <c r="H174" s="20"/>
      <c r="Z174" s="276" t="str">
        <v>DISABLE</v>
      </c>
      <c r="AA174" s="276" t="str" cm="1">
        <f t="array" ref="AA174">IF(Z174="","",_xll.U.RANGE_REF(Z174,TRUE))</f>
        <v>[REF]{{34856#2238120306000!R507C2}}</v>
      </c>
      <c r="AB174" s="276"/>
      <c r="AC174" s="276" t="str">
        <f t="shared" si="4"/>
        <v>DISABLE_PARAMS</v>
      </c>
      <c r="AD174" s="276" t="str" cm="1">
        <f t="array" ref="AD174">IF(AC174="","",_xll.U.RANGE_REF(AC174,TRUE))</f>
        <v>[REF]{{34856#2238120306000!R339C17:R347C26}}</v>
      </c>
      <c r="AE174" s="281"/>
      <c r="AF174" s="287" t="str">
        <v/>
      </c>
      <c r="AG174" s="276" t="str">
        <f t="shared" si="5"/>
        <v/>
      </c>
      <c r="AH174" s="276" t="str" cm="1">
        <f t="array" ref="AH174">IF(AG174="","",_xll.U.RANGE_REF(AG174,TRUE))</f>
        <v/>
      </c>
      <c r="AI174" s="288"/>
    </row>
    <row r="175" spans="1:35" x14ac:dyDescent="0.3">
      <c r="A175" s="18"/>
      <c r="B175" s="477" t="s">
        <v>1422</v>
      </c>
      <c r="C175" s="478"/>
      <c r="D175" s="478"/>
      <c r="E175" s="478"/>
      <c r="F175" s="478"/>
      <c r="G175" s="479"/>
      <c r="H175" s="20"/>
      <c r="Z175" s="276" t="str">
        <v/>
      </c>
      <c r="AA175" s="276" t="str" cm="1">
        <f t="array" ref="AA175">IF(Z175="","",_xll.U.RANGE_REF(Z175,TRUE))</f>
        <v/>
      </c>
      <c r="AB175" s="276"/>
      <c r="AC175" s="276" t="str">
        <f t="shared" si="4"/>
        <v/>
      </c>
      <c r="AD175" s="276" t="str" cm="1">
        <f t="array" ref="AD175">IF(AC175="","",_xll.U.RANGE_REF(AC175,TRUE))</f>
        <v/>
      </c>
      <c r="AE175" s="281"/>
      <c r="AF175" s="287" t="str">
        <v/>
      </c>
      <c r="AG175" s="276" t="str">
        <f t="shared" si="5"/>
        <v/>
      </c>
      <c r="AH175" s="276" t="str" cm="1">
        <f t="array" ref="AH175">IF(AG175="","",_xll.U.RANGE_REF(AG175,TRUE))</f>
        <v/>
      </c>
      <c r="AI175" s="288"/>
    </row>
    <row r="176" spans="1:35" x14ac:dyDescent="0.3">
      <c r="A176" s="18"/>
      <c r="B176" s="347" t="s">
        <v>3315</v>
      </c>
      <c r="C176" s="348" t="s">
        <v>3820</v>
      </c>
      <c r="D176" s="347" t="s">
        <v>411</v>
      </c>
      <c r="E176" s="349" t="s">
        <v>71</v>
      </c>
      <c r="F176" s="349" t="s">
        <v>71</v>
      </c>
      <c r="G176" s="314" t="s">
        <v>71</v>
      </c>
      <c r="H176" s="20"/>
      <c r="Z176" s="276" t="str">
        <v>HELP</v>
      </c>
      <c r="AA176" s="276" t="str" cm="1">
        <f t="array" ref="AA176">IF(Z176="","",_xll.U.RANGE_REF(Z176,TRUE))</f>
        <v>[REF]{{34856#2238067033536!R81C2:R83C3}}</v>
      </c>
      <c r="AB176" s="276"/>
      <c r="AC176" s="276" t="str">
        <f t="shared" si="4"/>
        <v>HELP_PARAMS</v>
      </c>
      <c r="AD176" s="276" t="str" cm="1">
        <f t="array" ref="AD176">IF(AC176="","",_xll.U.RANGE_REF(AC176,TRUE))</f>
        <v>[REF]{{34856#2238067033536!R161C11:R166C20}}</v>
      </c>
      <c r="AE176" s="281"/>
      <c r="AF176" s="287" t="str">
        <v/>
      </c>
      <c r="AG176" s="276" t="str">
        <f t="shared" si="5"/>
        <v/>
      </c>
      <c r="AH176" s="276" t="str" cm="1">
        <f t="array" ref="AH176">IF(AG176="","",_xll.U.RANGE_REF(AG176,TRUE))</f>
        <v/>
      </c>
      <c r="AI176" s="288"/>
    </row>
    <row r="177" spans="1:35" x14ac:dyDescent="0.3">
      <c r="A177" s="18"/>
      <c r="B177" s="278" t="s">
        <v>3316</v>
      </c>
      <c r="C177" s="1" t="s">
        <v>97</v>
      </c>
      <c r="D177" s="278" t="s">
        <v>411</v>
      </c>
      <c r="E177" s="314" t="s">
        <v>1786</v>
      </c>
      <c r="F177" s="314" t="s">
        <v>71</v>
      </c>
      <c r="G177" s="314" t="s">
        <v>71</v>
      </c>
      <c r="H177" s="20"/>
      <c r="Z177" s="276" t="str">
        <v>USERNAME</v>
      </c>
      <c r="AA177" s="276" t="str" cm="1">
        <f t="array" ref="AA177">IF(Z177="","",_xll.U.RANGE_REF(Z177,TRUE))</f>
        <v>[REF]{{34856#2238067033536!R4C3}}</v>
      </c>
      <c r="AB177" s="276"/>
      <c r="AC177" s="276" t="str">
        <f t="shared" si="4"/>
        <v>USERNAME_PARAMS</v>
      </c>
      <c r="AD177" s="276" t="str" cm="1">
        <f t="array" ref="AD177">IF(AC177="","",_xll.U.RANGE_REF(AC177,TRUE))</f>
        <v>[REF]{{34856#2238067033536!R3C11:R11C20}}</v>
      </c>
      <c r="AE177" s="281"/>
      <c r="AF177" s="287" t="str">
        <v/>
      </c>
      <c r="AG177" s="276" t="str">
        <f t="shared" si="5"/>
        <v/>
      </c>
      <c r="AH177" s="276" t="str" cm="1">
        <f t="array" ref="AH177">IF(AG177="","",_xll.U.RANGE_REF(AG177,TRUE))</f>
        <v/>
      </c>
      <c r="AI177" s="288"/>
    </row>
    <row r="178" spans="1:35" x14ac:dyDescent="0.3">
      <c r="A178" s="18"/>
      <c r="B178" s="278" t="s">
        <v>3634</v>
      </c>
      <c r="C178" s="1" t="s">
        <v>3141</v>
      </c>
      <c r="D178" s="278" t="s">
        <v>411</v>
      </c>
      <c r="E178" s="314" t="s">
        <v>1786</v>
      </c>
      <c r="F178" s="314" t="s">
        <v>71</v>
      </c>
      <c r="G178" s="314" t="s">
        <v>71</v>
      </c>
      <c r="H178" s="20"/>
      <c r="Z178" s="276" t="str">
        <v>MACHINE_NAME</v>
      </c>
      <c r="AA178" s="276" t="str" cm="1">
        <f t="array" ref="AA178">IF(Z178="","",_xll.U.RANGE_REF(Z178,TRUE))</f>
        <v>[REF]{{34856#2238067033536!R6C3}}</v>
      </c>
      <c r="AB178" s="276"/>
      <c r="AC178" s="276" t="str">
        <f t="shared" si="4"/>
        <v>MACHINE_NAME_PARAMS</v>
      </c>
      <c r="AD178" s="276" t="str" cm="1">
        <f t="array" ref="AD178">IF(AC178="","",_xll.U.RANGE_REF(AC178,TRUE))</f>
        <v>[REF]{{34856#2238067033536!R14C11:R22C20}}</v>
      </c>
      <c r="AE178" s="281"/>
      <c r="AF178" s="287" t="str">
        <v/>
      </c>
      <c r="AG178" s="276" t="str">
        <f t="shared" si="5"/>
        <v/>
      </c>
      <c r="AH178" s="276" t="str" cm="1">
        <f t="array" ref="AH178">IF(AG178="","",_xll.U.RANGE_REF(AG178,TRUE))</f>
        <v/>
      </c>
      <c r="AI178" s="288"/>
    </row>
    <row r="179" spans="1:35" x14ac:dyDescent="0.3">
      <c r="A179" s="18"/>
      <c r="B179" s="278" t="s">
        <v>3317</v>
      </c>
      <c r="C179" s="1" t="s">
        <v>3821</v>
      </c>
      <c r="D179" s="278" t="s">
        <v>411</v>
      </c>
      <c r="E179" s="314" t="s">
        <v>1786</v>
      </c>
      <c r="F179" s="314" t="s">
        <v>71</v>
      </c>
      <c r="G179" s="314" t="s">
        <v>71</v>
      </c>
      <c r="H179" s="20"/>
      <c r="Z179" s="276" t="str">
        <v>ENTITY</v>
      </c>
      <c r="AA179" s="276" t="str" cm="1">
        <f t="array" ref="AA179">IF(Z179="","",_xll.U.RANGE_REF(Z179,TRUE))</f>
        <v>[REF]{{34856#2238067033536!R8C3}}</v>
      </c>
      <c r="AB179" s="276"/>
      <c r="AC179" s="276" t="str">
        <f t="shared" si="4"/>
        <v>ENTITY_PARAMS</v>
      </c>
      <c r="AD179" s="276" t="str" cm="1">
        <f t="array" ref="AD179">IF(AC179="","",_xll.U.RANGE_REF(AC179,TRUE))</f>
        <v>[REF]{{34856#2238067033536!R25C11:R30C20}}</v>
      </c>
      <c r="AE179" s="281"/>
      <c r="AF179" s="287" t="str">
        <v/>
      </c>
      <c r="AG179" s="276" t="str">
        <f t="shared" si="5"/>
        <v/>
      </c>
      <c r="AH179" s="276" t="str" cm="1">
        <f t="array" ref="AH179">IF(AG179="","",_xll.U.RANGE_REF(AG179,TRUE))</f>
        <v/>
      </c>
      <c r="AI179" s="288"/>
    </row>
    <row r="180" spans="1:35" x14ac:dyDescent="0.3">
      <c r="A180" s="18"/>
      <c r="B180" s="278" t="s">
        <v>3318</v>
      </c>
      <c r="C180" s="1" t="s">
        <v>3822</v>
      </c>
      <c r="D180" s="278" t="s">
        <v>411</v>
      </c>
      <c r="E180" s="314" t="s">
        <v>1786</v>
      </c>
      <c r="F180" s="314" t="s">
        <v>71</v>
      </c>
      <c r="G180" s="314" t="s">
        <v>71</v>
      </c>
      <c r="H180" s="20"/>
      <c r="Z180" s="276" t="str">
        <v>SERVER</v>
      </c>
      <c r="AA180" s="276" t="str" cm="1">
        <f t="array" ref="AA180">IF(Z180="","",_xll.U.RANGE_REF(Z180,TRUE))</f>
        <v>[REF]{{34856#2238067033536!R10C3}}</v>
      </c>
      <c r="AB180" s="276"/>
      <c r="AC180" s="276" t="str">
        <f t="shared" si="4"/>
        <v>SERVER_PARAMS</v>
      </c>
      <c r="AD180" s="276" t="str" cm="1">
        <f t="array" ref="AD180">IF(AC180="","",_xll.U.RANGE_REF(AC180,TRUE))</f>
        <v>[REF]{{34856#2238067033536!R33C11:R41C20}}</v>
      </c>
      <c r="AE180" s="281"/>
      <c r="AF180" s="287" t="str">
        <v/>
      </c>
      <c r="AG180" s="276" t="str">
        <f t="shared" si="5"/>
        <v/>
      </c>
      <c r="AH180" s="276" t="str" cm="1">
        <f t="array" ref="AH180">IF(AG180="","",_xll.U.RANGE_REF(AG180,TRUE))</f>
        <v/>
      </c>
      <c r="AI180" s="288"/>
    </row>
    <row r="181" spans="1:35" x14ac:dyDescent="0.3">
      <c r="A181" s="18"/>
      <c r="B181" s="278" t="s">
        <v>3319</v>
      </c>
      <c r="C181" s="1" t="s">
        <v>962</v>
      </c>
      <c r="D181" s="278" t="s">
        <v>411</v>
      </c>
      <c r="E181" s="314" t="s">
        <v>1786</v>
      </c>
      <c r="F181" s="314" t="s">
        <v>71</v>
      </c>
      <c r="G181" s="314" t="s">
        <v>71</v>
      </c>
      <c r="H181" s="20"/>
      <c r="Z181" s="276" t="str">
        <v>CONNECTED_TO_SERVER</v>
      </c>
      <c r="AA181" s="276" t="str" cm="1">
        <f t="array" ref="AA181">IF(Z181="","",_xll.U.RANGE_REF(Z181,TRUE))</f>
        <v>[REF]{{34856#2238067033536!R19C3}}</v>
      </c>
      <c r="AB181" s="276"/>
      <c r="AC181" s="276" t="str">
        <f t="shared" si="4"/>
        <v>CONNECTED_TO_SERVER_PARAMS</v>
      </c>
      <c r="AD181" s="276" t="str" cm="1">
        <f t="array" ref="AD181">IF(AC181="","",_xll.U.RANGE_REF(AC181,TRUE))</f>
        <v>[REF]{{34856#2238067033536!R58C11:R66C20}}</v>
      </c>
      <c r="AE181" s="281"/>
      <c r="AF181" s="287" t="str">
        <v/>
      </c>
      <c r="AG181" s="276" t="str">
        <f t="shared" si="5"/>
        <v/>
      </c>
      <c r="AH181" s="276" t="str" cm="1">
        <f t="array" ref="AH181">IF(AG181="","",_xll.U.RANGE_REF(AG181,TRUE))</f>
        <v/>
      </c>
      <c r="AI181" s="288"/>
    </row>
    <row r="182" spans="1:35" x14ac:dyDescent="0.3">
      <c r="A182" s="18"/>
      <c r="B182" s="278" t="s">
        <v>3320</v>
      </c>
      <c r="C182" s="1" t="s">
        <v>3823</v>
      </c>
      <c r="D182" s="278" t="s">
        <v>411</v>
      </c>
      <c r="E182" s="314" t="s">
        <v>1786</v>
      </c>
      <c r="F182" s="314" t="s">
        <v>71</v>
      </c>
      <c r="G182" s="314" t="s">
        <v>71</v>
      </c>
      <c r="H182" s="20"/>
      <c r="Z182" s="276" t="str">
        <v>CONFIG_DIR</v>
      </c>
      <c r="AA182" s="276" t="str" cm="1">
        <f t="array" ref="AA182">IF(Z182="","",_xll.U.RANGE_REF(Z182,TRUE))</f>
        <v>[REF]{{34856#2238067033536!R38C3}}</v>
      </c>
      <c r="AB182" s="276"/>
      <c r="AC182" s="276" t="str">
        <f t="shared" si="4"/>
        <v>CONFIG_DIR_PARAMS</v>
      </c>
      <c r="AD182" s="276" t="str" cm="1">
        <f t="array" ref="AD182">IF(AC182="","",_xll.U.RANGE_REF(AC182,TRUE))</f>
        <v>[REF]{{34856#2238067033536!R92C11:R97C20}}</v>
      </c>
      <c r="AE182" s="281"/>
      <c r="AF182" s="287" t="str">
        <v/>
      </c>
      <c r="AG182" s="276" t="str">
        <f t="shared" si="5"/>
        <v/>
      </c>
      <c r="AH182" s="276" t="str" cm="1">
        <f t="array" ref="AH182">IF(AG182="","",_xll.U.RANGE_REF(AG182,TRUE))</f>
        <v/>
      </c>
      <c r="AI182" s="288"/>
    </row>
    <row r="183" spans="1:35" x14ac:dyDescent="0.3">
      <c r="A183" s="18"/>
      <c r="B183" s="278" t="s">
        <v>3321</v>
      </c>
      <c r="C183" s="1" t="s">
        <v>3824</v>
      </c>
      <c r="D183" s="278" t="s">
        <v>411</v>
      </c>
      <c r="E183" s="314" t="s">
        <v>1786</v>
      </c>
      <c r="F183" s="314" t="s">
        <v>71</v>
      </c>
      <c r="G183" s="314" t="s">
        <v>71</v>
      </c>
      <c r="H183" s="20"/>
      <c r="Z183" s="276" t="str">
        <v>VERSION</v>
      </c>
      <c r="AA183" s="276" t="str" cm="1">
        <f t="array" ref="AA183">IF(Z183="","",_xll.U.RANGE_REF(Z183,TRUE))</f>
        <v>[REF]{{34856#2238067033536!R40C3}}</v>
      </c>
      <c r="AB183" s="276"/>
      <c r="AC183" s="276" t="str">
        <f t="shared" si="4"/>
        <v>VERSION_PARAMS</v>
      </c>
      <c r="AD183" s="276" t="str" cm="1">
        <f t="array" ref="AD183">IF(AC183="","",_xll.U.RANGE_REF(AC183,TRUE))</f>
        <v>[REF]{{34856#2238067033536!R100C11:R111C20}}</v>
      </c>
      <c r="AE183" s="281"/>
      <c r="AF183" s="287" t="str">
        <v/>
      </c>
      <c r="AG183" s="276" t="str">
        <f t="shared" si="5"/>
        <v/>
      </c>
      <c r="AH183" s="276" t="str" cm="1">
        <f t="array" ref="AH183">IF(AG183="","",_xll.U.RANGE_REF(AG183,TRUE))</f>
        <v/>
      </c>
      <c r="AI183" s="288"/>
    </row>
    <row r="184" spans="1:35" x14ac:dyDescent="0.3">
      <c r="A184" s="18"/>
      <c r="B184" s="278" t="s">
        <v>3322</v>
      </c>
      <c r="C184" s="1" t="s">
        <v>2000</v>
      </c>
      <c r="D184" s="278" t="s">
        <v>411</v>
      </c>
      <c r="E184" s="314" t="s">
        <v>1786</v>
      </c>
      <c r="F184" s="314" t="s">
        <v>1786</v>
      </c>
      <c r="G184" s="314" t="s">
        <v>1786</v>
      </c>
      <c r="H184" s="20"/>
      <c r="Z184" s="276" t="str">
        <v>ADDINS</v>
      </c>
      <c r="AA184" s="276" t="str" cm="1">
        <f t="array" ref="AA184">IF(Z184="","",_xll.U.RANGE_REF(Z184,TRUE))</f>
        <v>[REF]{{34856#2238067033536!R47C3}}</v>
      </c>
      <c r="AB184" s="276"/>
      <c r="AC184" s="276" t="str">
        <f t="shared" si="4"/>
        <v>ADDINS_PARAMS</v>
      </c>
      <c r="AD184" s="276" t="str" cm="1">
        <f t="array" ref="AD184">IF(AC184="","",_xll.U.RANGE_REF(AC184,TRUE))</f>
        <v>[REF]{{34856#2238067033536!R114C11:R128C20}}</v>
      </c>
      <c r="AE184" s="281"/>
      <c r="AF184" s="287" t="str">
        <v/>
      </c>
      <c r="AG184" s="276" t="str">
        <f t="shared" si="5"/>
        <v/>
      </c>
      <c r="AH184" s="276" t="str" cm="1">
        <f t="array" ref="AH184">IF(AG184="","",_xll.U.RANGE_REF(AG184,TRUE))</f>
        <v/>
      </c>
      <c r="AI184" s="288"/>
    </row>
    <row r="185" spans="1:35" x14ac:dyDescent="0.3">
      <c r="A185" s="18"/>
      <c r="B185" s="278" t="s">
        <v>3323</v>
      </c>
      <c r="C185" s="1" t="s">
        <v>314</v>
      </c>
      <c r="D185" s="278" t="s">
        <v>411</v>
      </c>
      <c r="E185" s="314" t="s">
        <v>1786</v>
      </c>
      <c r="F185" s="314" t="s">
        <v>71</v>
      </c>
      <c r="G185" s="314" t="s">
        <v>71</v>
      </c>
      <c r="H185" s="20"/>
      <c r="Z185" s="276" t="str">
        <v>PROCESS_ID</v>
      </c>
      <c r="AA185" s="276" t="str" cm="1">
        <f t="array" ref="AA185">IF(Z185="","",_xll.U.RANGE_REF(Z185,TRUE))</f>
        <v>[REF]{{34856#2238067033536!R68C3}}</v>
      </c>
      <c r="AB185" s="276"/>
      <c r="AC185" s="276" t="str">
        <f t="shared" si="4"/>
        <v>PROCESS_ID_PARAMS</v>
      </c>
      <c r="AD185" s="276" t="str" cm="1">
        <f t="array" ref="AD185">IF(AC185="","",_xll.U.RANGE_REF(AC185,TRUE))</f>
        <v>[REF]{{34856#2238067033536!R131C11:R136C20}}</v>
      </c>
      <c r="AE185" s="281"/>
      <c r="AF185" s="287" t="str">
        <v/>
      </c>
      <c r="AG185" s="276" t="str">
        <f t="shared" si="5"/>
        <v/>
      </c>
      <c r="AH185" s="276" t="str" cm="1">
        <f t="array" ref="AH185">IF(AG185="","",_xll.U.RANGE_REF(AG185,TRUE))</f>
        <v/>
      </c>
      <c r="AI185" s="288"/>
    </row>
    <row r="186" spans="1:35" x14ac:dyDescent="0.3">
      <c r="A186" s="18"/>
      <c r="B186" s="278" t="s">
        <v>3324</v>
      </c>
      <c r="C186" s="1" t="s">
        <v>2305</v>
      </c>
      <c r="D186" s="278" t="s">
        <v>411</v>
      </c>
      <c r="E186" s="314" t="s">
        <v>1786</v>
      </c>
      <c r="F186" s="314" t="s">
        <v>71</v>
      </c>
      <c r="G186" s="314" t="s">
        <v>71</v>
      </c>
      <c r="H186" s="20"/>
      <c r="Z186" s="276" t="str">
        <v>DEEP_LOGGING</v>
      </c>
      <c r="AA186" s="276" t="str" cm="1">
        <f t="array" ref="AA186">IF(Z186="","",_xll.U.RANGE_REF(Z186,TRUE))</f>
        <v>[REF]{{34856#2238067033536!R75C3}}</v>
      </c>
      <c r="AB186" s="276"/>
      <c r="AC186" s="276" t="str">
        <f t="shared" si="4"/>
        <v>DEEP_LOGGING_PARAMS</v>
      </c>
      <c r="AD186" s="276" t="str" cm="1">
        <f t="array" ref="AD186">IF(AC186="","",_xll.U.RANGE_REF(AC186,TRUE))</f>
        <v>[REF]{{34856#2238067033536!R150C11:R158C20}}</v>
      </c>
      <c r="AE186" s="281"/>
      <c r="AF186" s="287" t="str">
        <v/>
      </c>
      <c r="AG186" s="276" t="str">
        <f t="shared" si="5"/>
        <v/>
      </c>
      <c r="AH186" s="276" t="str" cm="1">
        <f t="array" ref="AH186">IF(AG186="","",_xll.U.RANGE_REF(AG186,TRUE))</f>
        <v/>
      </c>
      <c r="AI186" s="288"/>
    </row>
    <row r="187" spans="1:35" x14ac:dyDescent="0.3">
      <c r="A187" s="18"/>
      <c r="B187" s="278" t="s">
        <v>3325</v>
      </c>
      <c r="C187" s="1" t="s">
        <v>2272</v>
      </c>
      <c r="D187" s="278" t="s">
        <v>411</v>
      </c>
      <c r="E187" s="314" t="s">
        <v>1786</v>
      </c>
      <c r="F187" s="314" t="s">
        <v>1786</v>
      </c>
      <c r="G187" s="314" t="s">
        <v>1786</v>
      </c>
      <c r="H187" s="20"/>
      <c r="Z187" s="276" t="str">
        <v>RTD_THROTTLE_MILLIS</v>
      </c>
      <c r="AA187" s="276" t="str" cm="1">
        <f t="array" ref="AA187">IF(Z187="","",_xll.U.RANGE_REF(Z187,TRUE))</f>
        <v>[REF]{{34856#2238067033536!R88C2}}</v>
      </c>
      <c r="AB187" s="276"/>
      <c r="AC187" s="276" t="str">
        <f t="shared" si="4"/>
        <v>RTD_THROTTLE_MILLIS_PARAMS</v>
      </c>
      <c r="AD187" s="276" t="str" cm="1">
        <f t="array" ref="AD187">IF(AC187="","",_xll.U.RANGE_REF(AC187,TRUE))</f>
        <v>[REF]{{34856#2238067033536!R169C11:R183C20}}</v>
      </c>
      <c r="AE187" s="281"/>
      <c r="AF187" s="462" t="str">
        <v/>
      </c>
      <c r="AG187" s="276" t="str">
        <f t="shared" si="5"/>
        <v/>
      </c>
      <c r="AH187" s="276" t="str" cm="1">
        <f t="array" ref="AH187">IF(AG187="","",_xll.U.RANGE_REF(AG187,TRUE))</f>
        <v/>
      </c>
      <c r="AI187" s="463"/>
    </row>
    <row r="188" spans="1:35" x14ac:dyDescent="0.3">
      <c r="A188" s="18"/>
      <c r="B188" s="278" t="s">
        <v>3326</v>
      </c>
      <c r="C188" s="1" t="s">
        <v>1625</v>
      </c>
      <c r="D188" s="278" t="s">
        <v>411</v>
      </c>
      <c r="E188" s="314" t="s">
        <v>71</v>
      </c>
      <c r="F188" s="314" t="s">
        <v>71</v>
      </c>
      <c r="G188" s="314" t="s">
        <v>1786</v>
      </c>
      <c r="H188" s="20"/>
      <c r="Z188" s="276" t="str">
        <v>GET_PROCESSES</v>
      </c>
      <c r="AA188" s="276" t="str" cm="1">
        <f t="array" ref="AA188">IF(Z188="","",_xll.U.RANGE_REF(Z188,TRUE))</f>
        <v>[REF]{{34856#2238067033536!R119C2}}</v>
      </c>
      <c r="AB188" s="276"/>
      <c r="AC188" s="276" t="str">
        <f t="shared" si="4"/>
        <v>GET_PROCESSES_PARAMS</v>
      </c>
      <c r="AD188" s="276" t="str" cm="1">
        <f t="array" ref="AD188">IF(AC188="","",_xll.U.RANGE_REF(AC188,TRUE))</f>
        <v>[REF]{{34856#2238067033536!R203C11:R208C20}}</v>
      </c>
      <c r="AE188" s="281"/>
      <c r="AF188" s="287" t="str">
        <v/>
      </c>
      <c r="AG188" s="276" t="str">
        <f t="shared" si="5"/>
        <v/>
      </c>
      <c r="AH188" s="276" t="str" cm="1">
        <f t="array" ref="AH188">IF(AG188="","",_xll.U.RANGE_REF(AG188,TRUE))</f>
        <v/>
      </c>
      <c r="AI188" s="288"/>
    </row>
    <row r="189" spans="1:35" x14ac:dyDescent="0.3">
      <c r="A189" s="18"/>
      <c r="B189" s="278" t="s">
        <v>3327</v>
      </c>
      <c r="C189" s="1" t="s">
        <v>3825</v>
      </c>
      <c r="D189" s="278" t="s">
        <v>411</v>
      </c>
      <c r="E189" s="314" t="s">
        <v>71</v>
      </c>
      <c r="F189" s="314" t="s">
        <v>71</v>
      </c>
      <c r="G189" s="314" t="s">
        <v>1786</v>
      </c>
      <c r="H189" s="20"/>
      <c r="Z189" s="276" t="str">
        <v>LOG</v>
      </c>
      <c r="AA189" s="276" t="str" cm="1">
        <f t="array" ref="AA189">IF(Z189="","",_xll.U.RANGE_REF(Z189,TRUE))</f>
        <v>[REF]{{34856#2238067033536!R113C2}}</v>
      </c>
      <c r="AB189" s="276"/>
      <c r="AC189" s="276" t="str">
        <f t="shared" si="4"/>
        <v>LOG_PARAMS</v>
      </c>
      <c r="AD189" s="276" t="str" cm="1">
        <f t="array" ref="AD189">IF(AC189="","",_xll.U.RANGE_REF(AC189,TRUE))</f>
        <v>[REF]{{34856#2238067033536!R186C11:R200C20}}</v>
      </c>
      <c r="AE189" s="281"/>
      <c r="AF189" s="287" t="str">
        <v/>
      </c>
      <c r="AG189" s="276" t="str">
        <f t="shared" si="5"/>
        <v/>
      </c>
      <c r="AH189" s="276" t="str" cm="1">
        <f t="array" ref="AH189">IF(AG189="","",_xll.U.RANGE_REF(AG189,TRUE))</f>
        <v/>
      </c>
      <c r="AI189" s="288"/>
    </row>
    <row r="190" spans="1:35" ht="15" thickBot="1" x14ac:dyDescent="0.35">
      <c r="A190" s="22"/>
      <c r="B190" s="23"/>
      <c r="C190" s="23"/>
      <c r="D190" s="23"/>
      <c r="E190" s="23"/>
      <c r="F190" s="23"/>
      <c r="G190" s="23"/>
      <c r="H190" s="24"/>
      <c r="Z190" s="276" t="str">
        <v/>
      </c>
      <c r="AA190" s="276" t="str" cm="1">
        <f t="array" ref="AA190">IF(Z190="","",_xll.U.RANGE_REF(Z190,TRUE))</f>
        <v/>
      </c>
      <c r="AB190" s="276"/>
      <c r="AC190" s="276" t="str">
        <f t="shared" si="4"/>
        <v/>
      </c>
      <c r="AD190" s="276" t="str" cm="1">
        <f t="array" ref="AD190">IF(AC190="","",_xll.U.RANGE_REF(AC190,TRUE))</f>
        <v/>
      </c>
      <c r="AE190" s="281"/>
      <c r="AF190" s="462" t="str">
        <v/>
      </c>
      <c r="AG190" s="276" t="str">
        <f t="shared" si="5"/>
        <v/>
      </c>
      <c r="AH190" s="276" t="str" cm="1">
        <f t="array" ref="AH190">IF(AG190="","",_xll.U.RANGE_REF(AG190,TRUE))</f>
        <v/>
      </c>
      <c r="AI190" s="463"/>
    </row>
    <row r="191" spans="1:35" x14ac:dyDescent="0.3">
      <c r="Z191" s="276" t="str">
        <v/>
      </c>
      <c r="AA191" s="276" t="str" cm="1">
        <f t="array" ref="AA191">IF(Z191="","",_xll.U.RANGE_REF(Z191,TRUE))</f>
        <v/>
      </c>
      <c r="AB191" s="276"/>
      <c r="AC191" s="276" t="str">
        <f t="shared" si="4"/>
        <v/>
      </c>
      <c r="AD191" s="276" t="str" cm="1">
        <f t="array" ref="AD191">IF(AC191="","",_xll.U.RANGE_REF(AC191,TRUE))</f>
        <v/>
      </c>
      <c r="AE191" s="281"/>
      <c r="AF191" s="462" t="str">
        <v/>
      </c>
      <c r="AG191" s="276" t="str">
        <f t="shared" si="5"/>
        <v/>
      </c>
      <c r="AH191" s="276" t="str" cm="1">
        <f t="array" ref="AH191">IF(AG191="","",_xll.U.RANGE_REF(AG191,TRUE))</f>
        <v/>
      </c>
      <c r="AI191" s="463"/>
    </row>
    <row r="192" spans="1:35" x14ac:dyDescent="0.3">
      <c r="Z192" s="276" t="str">
        <v/>
      </c>
      <c r="AA192" s="276" t="str" cm="1">
        <f t="array" ref="AA192">IF(Z192="","",_xll.U.RANGE_REF(Z192,TRUE))</f>
        <v/>
      </c>
      <c r="AB192" s="276"/>
      <c r="AC192" s="276" t="str">
        <f t="shared" si="4"/>
        <v/>
      </c>
      <c r="AD192" s="276" t="str" cm="1">
        <f t="array" ref="AD192">IF(AC192="","",_xll.U.RANGE_REF(AC192,TRUE))</f>
        <v/>
      </c>
      <c r="AE192" s="281"/>
      <c r="AF192" s="287" t="str">
        <v/>
      </c>
      <c r="AG192" s="276" t="str">
        <f t="shared" si="5"/>
        <v/>
      </c>
      <c r="AH192" s="276" t="str" cm="1">
        <f t="array" ref="AH192">IF(AG192="","",_xll.U.RANGE_REF(AG192,TRUE))</f>
        <v/>
      </c>
      <c r="AI192" s="288"/>
    </row>
    <row r="193" spans="26:35" ht="15" thickBot="1" x14ac:dyDescent="0.35">
      <c r="Z193" s="276" t="str">
        <v/>
      </c>
      <c r="AA193" s="276" t="str" cm="1">
        <f t="array" ref="AA193">IF(Z193="","",_xll.U.RANGE_REF(Z193,TRUE))</f>
        <v/>
      </c>
      <c r="AB193" s="276"/>
      <c r="AC193" s="276" t="str">
        <f t="shared" si="4"/>
        <v/>
      </c>
      <c r="AD193" s="276" t="str" cm="1">
        <f t="array" ref="AD193">IF(AC193="","",_xll.U.RANGE_REF(AC193,TRUE))</f>
        <v/>
      </c>
      <c r="AE193" s="281"/>
      <c r="AF193" s="289" t="str">
        <v/>
      </c>
      <c r="AG193" s="340" t="str">
        <f t="shared" si="5"/>
        <v/>
      </c>
      <c r="AH193" s="340" t="str" cm="1">
        <f t="array" ref="AH193">IF(AG193="","",_xll.U.RANGE_REF(AG193,TRUE))</f>
        <v/>
      </c>
      <c r="AI193" s="290"/>
    </row>
  </sheetData>
  <mergeCells count="18">
    <mergeCell ref="B175:G175"/>
    <mergeCell ref="B3:G3"/>
    <mergeCell ref="B9:G9"/>
    <mergeCell ref="B22:G22"/>
    <mergeCell ref="B30:G30"/>
    <mergeCell ref="B92:G92"/>
    <mergeCell ref="B108:G108"/>
    <mergeCell ref="B134:G134"/>
    <mergeCell ref="B139:G139"/>
    <mergeCell ref="B144:G144"/>
    <mergeCell ref="B150:G150"/>
    <mergeCell ref="B162:G162"/>
    <mergeCell ref="B156:G156"/>
    <mergeCell ref="Z2:AI2"/>
    <mergeCell ref="B46:G46"/>
    <mergeCell ref="B61:G61"/>
    <mergeCell ref="B74:G74"/>
    <mergeCell ref="B82:G82"/>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N279"/>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19.5546875" customWidth="1"/>
    <col min="4" max="4" width="8" customWidth="1"/>
    <col min="5" max="5" width="9.5546875" customWidth="1"/>
    <col min="6" max="6" width="11.21875" customWidth="1"/>
    <col min="7" max="7" width="12.77734375" customWidth="1"/>
    <col min="8" max="8" width="9.77734375" customWidth="1"/>
    <col min="9" max="9" width="13.21875" customWidth="1"/>
    <col min="10" max="10" width="11.44140625" customWidth="1"/>
    <col min="11" max="11" width="9.44140625" customWidth="1"/>
    <col min="12" max="12" width="17.77734375" customWidth="1"/>
    <col min="13" max="13" width="18.21875" customWidth="1"/>
    <col min="14" max="14" width="10.5546875" customWidth="1"/>
    <col min="15" max="15" width="10.77734375" customWidth="1"/>
    <col min="16" max="16" width="11.21875" customWidth="1"/>
    <col min="17" max="17" width="12.77734375" customWidth="1"/>
    <col min="18" max="18" width="8.77734375" customWidth="1"/>
    <col min="19" max="19" width="13" customWidth="1"/>
    <col min="20" max="20" width="16.5546875" customWidth="1"/>
    <col min="22" max="23" width="16.77734375" customWidth="1"/>
    <col min="24" max="25" width="12.77734375" customWidth="1"/>
    <col min="26" max="26" width="10.5546875" customWidth="1"/>
    <col min="29" max="29" width="12.77734375" customWidth="1"/>
    <col min="33" max="39" width="13.77734375" customWidth="1"/>
  </cols>
  <sheetData>
    <row r="1" spans="1:40" ht="34.5" customHeight="1" thickBot="1" x14ac:dyDescent="0.35">
      <c r="A1" s="292" t="s">
        <v>1580</v>
      </c>
      <c r="B1" s="473" t="e" vm="1">
        <v>#VALUE!</v>
      </c>
      <c r="C1" s="8" t="s">
        <v>196</v>
      </c>
      <c r="D1" s="27"/>
      <c r="E1" s="26"/>
      <c r="F1" s="26"/>
      <c r="G1" s="26"/>
      <c r="H1" s="26"/>
      <c r="I1" s="26"/>
      <c r="J1" s="26"/>
      <c r="K1" s="26"/>
      <c r="L1" s="16"/>
      <c r="M1" s="16"/>
      <c r="N1" s="16"/>
      <c r="O1" s="16"/>
      <c r="P1" s="16"/>
      <c r="Q1" s="16"/>
      <c r="R1" s="16"/>
      <c r="S1" s="16"/>
      <c r="T1" s="16"/>
      <c r="U1" s="16"/>
      <c r="V1" s="16"/>
      <c r="W1" s="16"/>
      <c r="X1" s="16"/>
      <c r="Y1" s="16"/>
      <c r="Z1" s="16"/>
      <c r="AA1" s="16"/>
      <c r="AB1" s="16"/>
      <c r="AC1" s="19"/>
    </row>
    <row r="2" spans="1:40" ht="15" customHeight="1" x14ac:dyDescent="0.3">
      <c r="A2" s="18"/>
      <c r="B2" s="25"/>
      <c r="C2" s="25"/>
      <c r="D2" s="21"/>
      <c r="E2" s="21"/>
      <c r="F2" s="21"/>
      <c r="G2" s="21"/>
      <c r="H2" s="21"/>
      <c r="I2" s="21"/>
      <c r="J2" s="21"/>
      <c r="K2" s="21"/>
      <c r="L2" s="21"/>
      <c r="M2" s="21"/>
      <c r="N2" s="21"/>
      <c r="O2" s="21"/>
      <c r="P2" s="21"/>
      <c r="Q2" s="21"/>
      <c r="R2" s="21"/>
      <c r="S2" s="21"/>
      <c r="T2" s="21"/>
      <c r="U2" s="21"/>
      <c r="V2" s="21"/>
      <c r="W2" s="21"/>
      <c r="X2" s="21"/>
      <c r="Y2" s="21"/>
      <c r="Z2" s="21"/>
      <c r="AA2" s="21"/>
      <c r="AB2" s="21"/>
      <c r="AC2" s="20"/>
    </row>
    <row r="3" spans="1:40" ht="15" customHeight="1" x14ac:dyDescent="0.3">
      <c r="A3" s="490" t="s">
        <v>215</v>
      </c>
      <c r="B3" s="491"/>
      <c r="C3" s="491"/>
      <c r="D3" s="491"/>
      <c r="E3" s="491"/>
      <c r="F3" s="491"/>
      <c r="G3" s="491"/>
      <c r="H3" s="491"/>
      <c r="I3" s="491"/>
      <c r="J3" s="491"/>
      <c r="K3" s="491"/>
      <c r="L3" s="491"/>
      <c r="M3" s="491"/>
      <c r="N3" s="491"/>
      <c r="O3" s="491"/>
      <c r="P3" s="491"/>
      <c r="Q3" s="491"/>
      <c r="R3" s="491"/>
      <c r="S3" s="491"/>
      <c r="T3" s="491"/>
      <c r="U3" s="491"/>
      <c r="V3" s="491"/>
      <c r="W3" s="491"/>
      <c r="X3" s="491"/>
      <c r="Y3" s="491"/>
      <c r="Z3" s="491"/>
      <c r="AA3" s="491"/>
      <c r="AB3" s="21"/>
      <c r="AC3" s="20"/>
      <c r="AE3" s="486" t="s">
        <v>3403</v>
      </c>
      <c r="AF3" s="486"/>
      <c r="AG3" s="486"/>
      <c r="AH3" s="486"/>
      <c r="AI3" s="486"/>
      <c r="AJ3" s="486"/>
      <c r="AK3" s="486"/>
      <c r="AL3" s="486"/>
      <c r="AM3" s="486"/>
      <c r="AN3" s="486"/>
    </row>
    <row r="4" spans="1:40" ht="15" customHeight="1" x14ac:dyDescent="0.3">
      <c r="A4" s="18"/>
      <c r="B4" s="21"/>
      <c r="C4" s="21"/>
      <c r="D4" s="26"/>
      <c r="E4" s="26"/>
      <c r="F4" s="26"/>
      <c r="G4" s="26"/>
      <c r="H4" s="26"/>
      <c r="I4" s="26"/>
      <c r="J4" s="26"/>
      <c r="K4" s="26"/>
      <c r="L4" s="21"/>
      <c r="M4" s="21"/>
      <c r="N4" s="21"/>
      <c r="O4" s="21"/>
      <c r="P4" s="21"/>
      <c r="Q4" s="21"/>
      <c r="R4" s="21"/>
      <c r="S4" s="21"/>
      <c r="T4" s="21"/>
      <c r="U4" s="21"/>
      <c r="V4" s="21"/>
      <c r="W4" s="21"/>
      <c r="X4" s="21"/>
      <c r="Y4" s="21"/>
      <c r="Z4" s="21"/>
      <c r="AA4" s="21"/>
      <c r="AB4" s="21"/>
      <c r="AC4" s="20"/>
      <c r="AE4" s="487" t="s">
        <v>333</v>
      </c>
      <c r="AF4" s="487"/>
      <c r="AG4" s="487" t="s">
        <v>472</v>
      </c>
      <c r="AH4" s="487"/>
      <c r="AI4" s="487"/>
      <c r="AJ4" s="487"/>
      <c r="AK4" s="487"/>
      <c r="AL4" s="487"/>
      <c r="AM4" s="487"/>
      <c r="AN4" s="487"/>
    </row>
    <row r="5" spans="1:40" ht="15" customHeight="1" x14ac:dyDescent="0.3">
      <c r="A5" s="18"/>
      <c r="B5" s="21"/>
      <c r="C5" s="21"/>
      <c r="D5" s="26"/>
      <c r="E5" s="26"/>
      <c r="F5" s="26"/>
      <c r="G5" s="26"/>
      <c r="H5" s="26"/>
      <c r="I5" s="26"/>
      <c r="J5" s="26"/>
      <c r="K5" s="26"/>
      <c r="L5" s="21"/>
      <c r="M5" s="21"/>
      <c r="N5" s="21"/>
      <c r="O5" s="21"/>
      <c r="P5" s="21"/>
      <c r="Q5" s="21"/>
      <c r="R5" s="21"/>
      <c r="S5" s="21"/>
      <c r="T5" s="21"/>
      <c r="U5" s="21"/>
      <c r="V5" s="21"/>
      <c r="W5" s="21"/>
      <c r="X5" s="21"/>
      <c r="Y5" s="21"/>
      <c r="Z5" s="21"/>
      <c r="AA5" s="21"/>
      <c r="AB5" s="21"/>
      <c r="AC5" s="20"/>
      <c r="AE5" s="487"/>
      <c r="AF5" s="487"/>
      <c r="AG5" s="487"/>
      <c r="AH5" s="487"/>
      <c r="AI5" s="487"/>
      <c r="AJ5" s="487"/>
      <c r="AK5" s="487"/>
      <c r="AL5" s="487"/>
      <c r="AM5" s="487"/>
      <c r="AN5" s="487"/>
    </row>
    <row r="6" spans="1:40" ht="15" customHeight="1" x14ac:dyDescent="0.3">
      <c r="A6" s="18"/>
      <c r="B6" s="492" t="s">
        <v>65</v>
      </c>
      <c r="C6" s="529"/>
      <c r="D6" s="529"/>
      <c r="E6" s="529"/>
      <c r="F6" s="529"/>
      <c r="G6" s="529"/>
      <c r="H6" s="529"/>
      <c r="I6" s="493"/>
      <c r="J6" s="26"/>
      <c r="K6" s="26"/>
      <c r="L6" s="492" t="s">
        <v>3404</v>
      </c>
      <c r="M6" s="529"/>
      <c r="N6" s="529"/>
      <c r="O6" s="529"/>
      <c r="P6" s="529"/>
      <c r="Q6" s="529"/>
      <c r="R6" s="529"/>
      <c r="S6" s="493"/>
      <c r="T6" s="21"/>
      <c r="U6" s="21"/>
      <c r="V6" s="475" t="s">
        <v>197</v>
      </c>
      <c r="W6" s="475"/>
      <c r="X6" s="21"/>
      <c r="Y6" s="21"/>
      <c r="AA6" s="21"/>
      <c r="AB6" s="21"/>
      <c r="AC6" s="20"/>
      <c r="AE6" s="487"/>
      <c r="AF6" s="487"/>
      <c r="AG6" s="487"/>
      <c r="AH6" s="487"/>
      <c r="AI6" s="487"/>
      <c r="AJ6" s="487"/>
      <c r="AK6" s="487"/>
      <c r="AL6" s="487"/>
      <c r="AM6" s="487"/>
      <c r="AN6" s="487"/>
    </row>
    <row r="7" spans="1:40" x14ac:dyDescent="0.3">
      <c r="A7" s="18"/>
      <c r="B7" s="59" t="s">
        <v>2</v>
      </c>
      <c r="C7" s="60" t="s">
        <v>101</v>
      </c>
      <c r="D7" s="60" t="s">
        <v>111</v>
      </c>
      <c r="E7" s="60" t="s">
        <v>62</v>
      </c>
      <c r="F7" s="60" t="s">
        <v>103</v>
      </c>
      <c r="G7" s="60" t="s">
        <v>104</v>
      </c>
      <c r="H7" s="60" t="s">
        <v>105</v>
      </c>
      <c r="I7" s="60" t="s">
        <v>102</v>
      </c>
      <c r="J7" s="21"/>
      <c r="K7" s="21"/>
      <c r="L7" s="3" t="str">
        <f t="array" ref="L7:S20">_xll.U.VSORT(B7:I20,V8:W12)</f>
        <v>Symbol</v>
      </c>
      <c r="M7" s="3" t="str">
        <v>Broker</v>
      </c>
      <c r="N7" s="3" t="str">
        <v>Side</v>
      </c>
      <c r="O7" s="3" t="str">
        <v>Quantity</v>
      </c>
      <c r="P7" s="3" t="str">
        <v>Trade Price</v>
      </c>
      <c r="Q7" s="3" t="str">
        <v>Current Price</v>
      </c>
      <c r="R7" s="3" t="str">
        <v>P&amp;L</v>
      </c>
      <c r="S7" s="3" t="str">
        <v>Current Delta</v>
      </c>
      <c r="T7" s="21"/>
      <c r="U7" s="21"/>
      <c r="V7" s="9" t="s">
        <v>126</v>
      </c>
      <c r="W7" s="9" t="s">
        <v>198</v>
      </c>
      <c r="X7" s="21"/>
      <c r="Y7" s="21"/>
      <c r="Z7" s="21"/>
      <c r="AA7" s="21"/>
      <c r="AB7" s="21"/>
      <c r="AC7" s="20"/>
      <c r="AE7" s="483" t="s">
        <v>323</v>
      </c>
      <c r="AF7" s="483"/>
      <c r="AG7" s="483" t="s">
        <v>1</v>
      </c>
      <c r="AH7" s="483"/>
      <c r="AI7" s="483"/>
      <c r="AJ7" s="483"/>
      <c r="AK7" s="483"/>
      <c r="AL7" s="483"/>
      <c r="AM7" s="483"/>
      <c r="AN7" s="85" t="s">
        <v>324</v>
      </c>
    </row>
    <row r="8" spans="1:40" ht="15" customHeight="1" x14ac:dyDescent="0.3">
      <c r="A8" s="18"/>
      <c r="B8" s="42" t="s">
        <v>112</v>
      </c>
      <c r="C8" s="42" t="s">
        <v>199</v>
      </c>
      <c r="D8" s="42" t="str">
        <f t="shared" ref="D8:D20" si="0">IF(E8&gt;0,"B","S")</f>
        <v>B</v>
      </c>
      <c r="E8" s="44">
        <v>100</v>
      </c>
      <c r="F8" s="61">
        <v>4.3</v>
      </c>
      <c r="G8" s="61">
        <v>4.3099999999999996</v>
      </c>
      <c r="H8" s="65">
        <f t="shared" ref="H8:H20" si="1">(G8-F8)*E8*IF(ISERROR(FIND(" ",B8)),1,100)</f>
        <v>99.999999999997868</v>
      </c>
      <c r="I8" s="44">
        <v>-3215</v>
      </c>
      <c r="J8" s="21"/>
      <c r="K8" s="21"/>
      <c r="L8" s="30" t="str">
        <v>AAPL</v>
      </c>
      <c r="M8" s="30" t="str">
        <v>Bob</v>
      </c>
      <c r="N8" s="30" t="str">
        <v>B</v>
      </c>
      <c r="O8" s="36">
        <v>300</v>
      </c>
      <c r="P8" s="35">
        <v>142.02000000000001</v>
      </c>
      <c r="Q8" s="35">
        <v>141.97</v>
      </c>
      <c r="R8" s="66">
        <v>-15.000000000003411</v>
      </c>
      <c r="S8" s="36">
        <v>300</v>
      </c>
      <c r="T8" s="21"/>
      <c r="U8" s="21"/>
      <c r="V8" s="79" t="s">
        <v>2</v>
      </c>
      <c r="W8" s="79">
        <v>1</v>
      </c>
      <c r="X8" s="21"/>
      <c r="Y8" s="21"/>
      <c r="Z8" s="21"/>
      <c r="AA8" s="21"/>
      <c r="AB8" s="21"/>
      <c r="AC8" s="20"/>
      <c r="AE8" s="487" t="s">
        <v>443</v>
      </c>
      <c r="AF8" s="487"/>
      <c r="AG8" s="487" t="s">
        <v>2965</v>
      </c>
      <c r="AH8" s="487"/>
      <c r="AI8" s="487"/>
      <c r="AJ8" s="487"/>
      <c r="AK8" s="487"/>
      <c r="AL8" s="487"/>
      <c r="AM8" s="487"/>
      <c r="AN8" s="509" t="s">
        <v>325</v>
      </c>
    </row>
    <row r="9" spans="1:40" x14ac:dyDescent="0.3">
      <c r="A9" s="18"/>
      <c r="B9" s="42" t="s">
        <v>108</v>
      </c>
      <c r="C9" s="42" t="s">
        <v>199</v>
      </c>
      <c r="D9" s="42" t="str">
        <f t="shared" si="0"/>
        <v>B</v>
      </c>
      <c r="E9" s="44">
        <v>50</v>
      </c>
      <c r="F9" s="61">
        <v>2.65</v>
      </c>
      <c r="G9" s="61">
        <v>2.6</v>
      </c>
      <c r="H9" s="65">
        <f t="shared" si="1"/>
        <v>-249.99999999999912</v>
      </c>
      <c r="I9" s="44">
        <v>2879</v>
      </c>
      <c r="J9" s="21"/>
      <c r="K9" s="21"/>
      <c r="L9" s="30" t="str">
        <v>AAPL</v>
      </c>
      <c r="M9" s="30" t="str">
        <v>Sally</v>
      </c>
      <c r="N9" s="30" t="str">
        <v>B</v>
      </c>
      <c r="O9" s="36">
        <v>100</v>
      </c>
      <c r="P9" s="35">
        <v>142.02000000000001</v>
      </c>
      <c r="Q9" s="35">
        <v>141.97</v>
      </c>
      <c r="R9" s="66">
        <v>-5.0000000000011369</v>
      </c>
      <c r="S9" s="36">
        <v>100</v>
      </c>
      <c r="T9" s="21"/>
      <c r="U9" s="21"/>
      <c r="V9" s="79" t="s">
        <v>101</v>
      </c>
      <c r="W9" s="79">
        <v>1</v>
      </c>
      <c r="X9" s="21"/>
      <c r="Y9" s="21"/>
      <c r="Z9" s="21"/>
      <c r="AA9" s="21"/>
      <c r="AB9" s="21"/>
      <c r="AC9" s="20"/>
      <c r="AE9" s="487"/>
      <c r="AF9" s="487"/>
      <c r="AG9" s="487"/>
      <c r="AH9" s="487"/>
      <c r="AI9" s="487"/>
      <c r="AJ9" s="487"/>
      <c r="AK9" s="487"/>
      <c r="AL9" s="487"/>
      <c r="AM9" s="487"/>
      <c r="AN9" s="509"/>
    </row>
    <row r="10" spans="1:40" x14ac:dyDescent="0.3">
      <c r="A10" s="18"/>
      <c r="B10" s="42" t="s">
        <v>107</v>
      </c>
      <c r="C10" s="42" t="s">
        <v>200</v>
      </c>
      <c r="D10" s="42" t="str">
        <f t="shared" si="0"/>
        <v>S</v>
      </c>
      <c r="E10" s="44">
        <v>-3000</v>
      </c>
      <c r="F10" s="61">
        <v>159.49</v>
      </c>
      <c r="G10" s="61">
        <v>159.37</v>
      </c>
      <c r="H10" s="65">
        <f t="shared" si="1"/>
        <v>360.00000000001364</v>
      </c>
      <c r="I10" s="44">
        <v>-3000</v>
      </c>
      <c r="J10" s="21"/>
      <c r="K10" s="21"/>
      <c r="L10" s="30" t="str">
        <v>AAPL</v>
      </c>
      <c r="M10" s="30" t="str">
        <v>Tom</v>
      </c>
      <c r="N10" s="30" t="str">
        <v>B</v>
      </c>
      <c r="O10" s="36">
        <v>1500</v>
      </c>
      <c r="P10" s="35">
        <v>141.97999999999999</v>
      </c>
      <c r="Q10" s="35">
        <v>141.97</v>
      </c>
      <c r="R10" s="66">
        <v>-14.999999999986358</v>
      </c>
      <c r="S10" s="36">
        <v>600</v>
      </c>
      <c r="T10" s="21"/>
      <c r="U10" s="21"/>
      <c r="V10" s="79" t="s">
        <v>62</v>
      </c>
      <c r="W10" s="79">
        <v>-2</v>
      </c>
      <c r="X10" s="21"/>
      <c r="Y10" s="21"/>
      <c r="Z10" s="21"/>
      <c r="AA10" s="21"/>
      <c r="AB10" s="21"/>
      <c r="AC10" s="20"/>
      <c r="AE10" s="487"/>
      <c r="AF10" s="487"/>
      <c r="AG10" s="487"/>
      <c r="AH10" s="487"/>
      <c r="AI10" s="487"/>
      <c r="AJ10" s="487"/>
      <c r="AK10" s="487"/>
      <c r="AL10" s="487"/>
      <c r="AM10" s="487"/>
      <c r="AN10" s="509"/>
    </row>
    <row r="11" spans="1:40" ht="15" customHeight="1" x14ac:dyDescent="0.3">
      <c r="A11" s="18"/>
      <c r="B11" s="42"/>
      <c r="C11" s="42"/>
      <c r="D11" s="42"/>
      <c r="E11" s="44"/>
      <c r="F11" s="61"/>
      <c r="G11" s="61"/>
      <c r="H11" s="65"/>
      <c r="I11" s="44"/>
      <c r="J11" s="21"/>
      <c r="K11" s="21"/>
      <c r="L11" s="30" t="str">
        <v>AAPL</v>
      </c>
      <c r="M11" s="30" t="str">
        <v>Tom</v>
      </c>
      <c r="N11" s="30" t="str">
        <v>B</v>
      </c>
      <c r="O11" s="36">
        <v>700</v>
      </c>
      <c r="P11" s="35">
        <v>142.02000000000001</v>
      </c>
      <c r="Q11" s="35">
        <v>141.97</v>
      </c>
      <c r="R11" s="66">
        <v>-35.000000000007958</v>
      </c>
      <c r="S11" s="36">
        <v>1500</v>
      </c>
      <c r="T11" s="21"/>
      <c r="U11" s="21"/>
      <c r="V11" s="79"/>
      <c r="W11" s="79"/>
      <c r="X11" s="21"/>
      <c r="Y11" s="21"/>
      <c r="Z11" s="21"/>
      <c r="AA11" s="21"/>
      <c r="AB11" s="21"/>
      <c r="AC11" s="20"/>
      <c r="AE11" s="484" t="s">
        <v>473</v>
      </c>
      <c r="AF11" s="484"/>
      <c r="AG11" s="484" t="s">
        <v>1731</v>
      </c>
      <c r="AH11" s="484"/>
      <c r="AI11" s="484"/>
      <c r="AJ11" s="484"/>
      <c r="AK11" s="484"/>
      <c r="AL11" s="484"/>
      <c r="AM11" s="484"/>
      <c r="AN11" s="485" t="s">
        <v>326</v>
      </c>
    </row>
    <row r="12" spans="1:40" x14ac:dyDescent="0.3">
      <c r="A12" s="18"/>
      <c r="B12" s="42" t="s">
        <v>106</v>
      </c>
      <c r="C12" s="42" t="s">
        <v>161</v>
      </c>
      <c r="D12" s="42" t="str">
        <f t="shared" si="0"/>
        <v>B</v>
      </c>
      <c r="E12" s="44">
        <v>700</v>
      </c>
      <c r="F12" s="61">
        <v>142.02000000000001</v>
      </c>
      <c r="G12" s="61">
        <v>141.97</v>
      </c>
      <c r="H12" s="65">
        <f t="shared" si="1"/>
        <v>-35.000000000007958</v>
      </c>
      <c r="I12" s="44">
        <v>1500</v>
      </c>
      <c r="J12" s="21"/>
      <c r="K12" s="21"/>
      <c r="L12" s="30" t="str">
        <v>AAPL Jun17 140P</v>
      </c>
      <c r="M12" s="30" t="str">
        <v>Bob</v>
      </c>
      <c r="N12" s="30" t="str">
        <v>B</v>
      </c>
      <c r="O12" s="36">
        <v>100</v>
      </c>
      <c r="P12" s="35">
        <v>4.3</v>
      </c>
      <c r="Q12" s="35">
        <v>4.3099999999999996</v>
      </c>
      <c r="R12" s="66">
        <v>99.999999999997868</v>
      </c>
      <c r="S12" s="36">
        <v>-3215</v>
      </c>
      <c r="T12" s="21"/>
      <c r="U12" s="21"/>
      <c r="V12" s="79"/>
      <c r="W12" s="79"/>
      <c r="X12" s="21"/>
      <c r="Y12" s="21"/>
      <c r="Z12" s="21"/>
      <c r="AA12" s="21"/>
      <c r="AB12" s="21"/>
      <c r="AC12" s="20"/>
      <c r="AE12" s="484"/>
      <c r="AF12" s="484"/>
      <c r="AG12" s="484"/>
      <c r="AH12" s="484"/>
      <c r="AI12" s="484"/>
      <c r="AJ12" s="484"/>
      <c r="AK12" s="484"/>
      <c r="AL12" s="484"/>
      <c r="AM12" s="484"/>
      <c r="AN12" s="485"/>
    </row>
    <row r="13" spans="1:40" x14ac:dyDescent="0.3">
      <c r="A13" s="18"/>
      <c r="B13" s="42" t="s">
        <v>106</v>
      </c>
      <c r="C13" s="42" t="s">
        <v>200</v>
      </c>
      <c r="D13" s="42" t="str">
        <f t="shared" si="0"/>
        <v>B</v>
      </c>
      <c r="E13" s="44">
        <v>100</v>
      </c>
      <c r="F13" s="61">
        <v>142.02000000000001</v>
      </c>
      <c r="G13" s="61">
        <v>141.97</v>
      </c>
      <c r="H13" s="65">
        <f t="shared" si="1"/>
        <v>-5.0000000000011369</v>
      </c>
      <c r="I13" s="44">
        <v>100</v>
      </c>
      <c r="J13" s="21"/>
      <c r="K13" s="21"/>
      <c r="L13" s="30" t="str">
        <v>IBM</v>
      </c>
      <c r="M13" s="30" t="str">
        <v>Bob</v>
      </c>
      <c r="N13" s="30" t="str">
        <v>B</v>
      </c>
      <c r="O13" s="36">
        <v>100</v>
      </c>
      <c r="P13" s="35">
        <v>159.4</v>
      </c>
      <c r="Q13" s="35">
        <v>159.37</v>
      </c>
      <c r="R13" s="66">
        <v>-3.0000000000001137</v>
      </c>
      <c r="S13" s="36">
        <v>100</v>
      </c>
      <c r="T13" s="21"/>
      <c r="U13" s="21"/>
      <c r="V13" s="21"/>
      <c r="W13" s="21"/>
      <c r="X13" s="21"/>
      <c r="Y13" s="21"/>
      <c r="Z13" s="21"/>
      <c r="AA13" s="21"/>
      <c r="AB13" s="21"/>
      <c r="AC13" s="20"/>
      <c r="AE13" s="484"/>
      <c r="AF13" s="484"/>
      <c r="AG13" s="484"/>
      <c r="AH13" s="484"/>
      <c r="AI13" s="484"/>
      <c r="AJ13" s="484"/>
      <c r="AK13" s="484"/>
      <c r="AL13" s="484"/>
      <c r="AM13" s="484"/>
      <c r="AN13" s="485"/>
    </row>
    <row r="14" spans="1:40" ht="15" customHeight="1" x14ac:dyDescent="0.3">
      <c r="A14" s="18"/>
      <c r="B14" s="42" t="s">
        <v>106</v>
      </c>
      <c r="C14" s="42" t="s">
        <v>199</v>
      </c>
      <c r="D14" s="42" t="str">
        <f t="shared" si="0"/>
        <v>B</v>
      </c>
      <c r="E14" s="44">
        <v>300</v>
      </c>
      <c r="F14" s="61">
        <v>142.02000000000001</v>
      </c>
      <c r="G14" s="61">
        <v>141.97</v>
      </c>
      <c r="H14" s="65">
        <f t="shared" si="1"/>
        <v>-15.000000000003411</v>
      </c>
      <c r="I14" s="44">
        <v>300</v>
      </c>
      <c r="J14" s="21"/>
      <c r="K14" s="21"/>
      <c r="L14" s="30" t="str">
        <v>IBM</v>
      </c>
      <c r="M14" s="30" t="str">
        <v>Sally</v>
      </c>
      <c r="N14" s="30" t="str">
        <v>S</v>
      </c>
      <c r="O14" s="36">
        <v>-3000</v>
      </c>
      <c r="P14" s="35">
        <v>159.49</v>
      </c>
      <c r="Q14" s="35">
        <v>159.37</v>
      </c>
      <c r="R14" s="66">
        <v>360.00000000001364</v>
      </c>
      <c r="S14" s="36">
        <v>-3000</v>
      </c>
      <c r="T14" s="21"/>
      <c r="U14" s="21"/>
      <c r="V14" s="21"/>
      <c r="W14" s="21"/>
      <c r="X14" s="21"/>
      <c r="Y14" s="21"/>
      <c r="Z14" s="21"/>
      <c r="AA14" s="21"/>
      <c r="AB14" s="21"/>
      <c r="AC14" s="20"/>
      <c r="AE14" s="484" t="s">
        <v>474</v>
      </c>
      <c r="AF14" s="484"/>
      <c r="AG14" s="484" t="s">
        <v>476</v>
      </c>
      <c r="AH14" s="484"/>
      <c r="AI14" s="484"/>
      <c r="AJ14" s="484"/>
      <c r="AK14" s="484"/>
      <c r="AL14" s="484"/>
      <c r="AM14" s="484"/>
      <c r="AN14" s="485" t="s">
        <v>326</v>
      </c>
    </row>
    <row r="15" spans="1:40" x14ac:dyDescent="0.3">
      <c r="A15" s="18"/>
      <c r="B15" s="42" t="s">
        <v>107</v>
      </c>
      <c r="C15" s="42" t="s">
        <v>200</v>
      </c>
      <c r="D15" s="42" t="str">
        <f t="shared" si="0"/>
        <v>B</v>
      </c>
      <c r="E15" s="44">
        <v>100</v>
      </c>
      <c r="F15" s="61">
        <v>159.4</v>
      </c>
      <c r="G15" s="61">
        <v>159.37</v>
      </c>
      <c r="H15" s="65">
        <f t="shared" si="1"/>
        <v>-3.0000000000001137</v>
      </c>
      <c r="I15" s="44">
        <v>100</v>
      </c>
      <c r="J15" s="21"/>
      <c r="K15" s="21"/>
      <c r="L15" s="30" t="str">
        <v>IBM</v>
      </c>
      <c r="M15" s="30" t="str">
        <v>Sally</v>
      </c>
      <c r="N15" s="30" t="str">
        <v>B</v>
      </c>
      <c r="O15" s="36">
        <v>100</v>
      </c>
      <c r="P15" s="35">
        <v>159.4</v>
      </c>
      <c r="Q15" s="35">
        <v>159.37</v>
      </c>
      <c r="R15" s="66">
        <v>-3.0000000000001137</v>
      </c>
      <c r="S15" s="36">
        <v>100</v>
      </c>
      <c r="T15" s="21"/>
      <c r="U15" s="21"/>
      <c r="V15" s="21"/>
      <c r="W15" s="21"/>
      <c r="X15" s="21"/>
      <c r="Y15" s="21"/>
      <c r="Z15" s="21"/>
      <c r="AA15" s="21"/>
      <c r="AB15" s="21"/>
      <c r="AC15" s="20"/>
      <c r="AE15" s="484"/>
      <c r="AF15" s="484"/>
      <c r="AG15" s="484"/>
      <c r="AH15" s="484"/>
      <c r="AI15" s="484"/>
      <c r="AJ15" s="484"/>
      <c r="AK15" s="484"/>
      <c r="AL15" s="484"/>
      <c r="AM15" s="484"/>
      <c r="AN15" s="485"/>
    </row>
    <row r="16" spans="1:40" x14ac:dyDescent="0.3">
      <c r="A16" s="18"/>
      <c r="B16" s="42" t="e">
        <f t="shared" ref="B16:I16" si="2">1/0</f>
        <v>#DIV/0!</v>
      </c>
      <c r="C16" s="42" t="e">
        <f t="shared" si="2"/>
        <v>#DIV/0!</v>
      </c>
      <c r="D16" s="42" t="e">
        <f t="shared" si="2"/>
        <v>#DIV/0!</v>
      </c>
      <c r="E16" s="42" t="e">
        <f t="shared" si="2"/>
        <v>#DIV/0!</v>
      </c>
      <c r="F16" s="42" t="e">
        <f t="shared" si="2"/>
        <v>#DIV/0!</v>
      </c>
      <c r="G16" s="42" t="e">
        <f t="shared" si="2"/>
        <v>#DIV/0!</v>
      </c>
      <c r="H16" s="42" t="e">
        <f t="shared" si="2"/>
        <v>#DIV/0!</v>
      </c>
      <c r="I16" s="42" t="e">
        <f t="shared" si="2"/>
        <v>#DIV/0!</v>
      </c>
      <c r="J16" s="21"/>
      <c r="K16" s="21"/>
      <c r="L16" s="30" t="str">
        <v>IBM Jun17 160C</v>
      </c>
      <c r="M16" s="30" t="str">
        <v>Bob</v>
      </c>
      <c r="N16" s="30" t="str">
        <v>B</v>
      </c>
      <c r="O16" s="36">
        <v>50</v>
      </c>
      <c r="P16" s="35">
        <v>2.65</v>
      </c>
      <c r="Q16" s="35">
        <v>2.6</v>
      </c>
      <c r="R16" s="66">
        <v>-249.99999999999912</v>
      </c>
      <c r="S16" s="36">
        <v>2879</v>
      </c>
      <c r="T16" s="21"/>
      <c r="U16" s="21"/>
      <c r="V16" s="21"/>
      <c r="W16" s="21"/>
      <c r="X16" s="21"/>
      <c r="Y16" s="21"/>
      <c r="Z16" s="21"/>
      <c r="AA16" s="21"/>
      <c r="AB16" s="21"/>
      <c r="AC16" s="20"/>
      <c r="AE16" s="484"/>
      <c r="AF16" s="484"/>
      <c r="AG16" s="484"/>
      <c r="AH16" s="484"/>
      <c r="AI16" s="484"/>
      <c r="AJ16" s="484"/>
      <c r="AK16" s="484"/>
      <c r="AL16" s="484"/>
      <c r="AM16" s="484"/>
      <c r="AN16" s="485"/>
    </row>
    <row r="17" spans="1:40" ht="15" customHeight="1" x14ac:dyDescent="0.3">
      <c r="A17" s="18"/>
      <c r="B17" s="42" t="s">
        <v>107</v>
      </c>
      <c r="C17" s="42" t="s">
        <v>199</v>
      </c>
      <c r="D17" s="42" t="str">
        <f t="shared" si="0"/>
        <v>B</v>
      </c>
      <c r="E17" s="44">
        <v>100</v>
      </c>
      <c r="F17" s="61">
        <v>159.4</v>
      </c>
      <c r="G17" s="61">
        <v>159.37</v>
      </c>
      <c r="H17" s="65">
        <f t="shared" si="1"/>
        <v>-3.0000000000001137</v>
      </c>
      <c r="I17" s="44">
        <v>100</v>
      </c>
      <c r="J17" s="21"/>
      <c r="K17" s="21"/>
      <c r="L17" s="30" t="str">
        <v>IBM Jun17 160C</v>
      </c>
      <c r="M17" s="30" t="str">
        <v>Bob</v>
      </c>
      <c r="N17" s="30" t="str">
        <v>S</v>
      </c>
      <c r="O17" s="36">
        <v>-40</v>
      </c>
      <c r="P17" s="35">
        <v>2.61</v>
      </c>
      <c r="Q17" s="35">
        <v>2.6</v>
      </c>
      <c r="R17" s="66">
        <v>39.999999999999147</v>
      </c>
      <c r="S17" s="36">
        <v>-2303.1999999999998</v>
      </c>
      <c r="T17" s="21"/>
      <c r="U17" s="21"/>
      <c r="V17" s="21"/>
      <c r="W17" s="21"/>
      <c r="X17" s="21"/>
      <c r="Y17" s="21"/>
      <c r="Z17" s="21"/>
      <c r="AA17" s="21"/>
      <c r="AB17" s="21"/>
      <c r="AC17" s="20"/>
      <c r="AE17" s="484" t="s">
        <v>474</v>
      </c>
      <c r="AF17" s="484"/>
      <c r="AG17" s="484" t="s">
        <v>476</v>
      </c>
      <c r="AH17" s="484"/>
      <c r="AI17" s="484"/>
      <c r="AJ17" s="484"/>
      <c r="AK17" s="484"/>
      <c r="AL17" s="484"/>
      <c r="AM17" s="484"/>
      <c r="AN17" s="485" t="s">
        <v>326</v>
      </c>
    </row>
    <row r="18" spans="1:40" x14ac:dyDescent="0.3">
      <c r="A18" s="18"/>
      <c r="B18" s="42" t="s">
        <v>108</v>
      </c>
      <c r="C18" s="42" t="s">
        <v>199</v>
      </c>
      <c r="D18" s="42" t="str">
        <f t="shared" si="0"/>
        <v>S</v>
      </c>
      <c r="E18" s="44">
        <v>-10</v>
      </c>
      <c r="F18" s="61">
        <v>2.62</v>
      </c>
      <c r="G18" s="61">
        <v>2.6</v>
      </c>
      <c r="H18" s="65">
        <f t="shared" si="1"/>
        <v>20.000000000000018</v>
      </c>
      <c r="I18" s="44">
        <v>-575.79999999999995</v>
      </c>
      <c r="J18" s="21"/>
      <c r="K18" s="21"/>
      <c r="L18" s="30" t="str">
        <v>IBM Jun17 160C</v>
      </c>
      <c r="M18" s="30" t="str">
        <v>Bob</v>
      </c>
      <c r="N18" s="30" t="str">
        <v>S</v>
      </c>
      <c r="O18" s="36">
        <v>-10</v>
      </c>
      <c r="P18" s="35">
        <v>2.62</v>
      </c>
      <c r="Q18" s="35">
        <v>2.6</v>
      </c>
      <c r="R18" s="66">
        <v>20.000000000000018</v>
      </c>
      <c r="S18" s="36">
        <v>-575.79999999999995</v>
      </c>
      <c r="T18" s="21"/>
      <c r="U18" s="21"/>
      <c r="V18" s="21"/>
      <c r="W18" s="21"/>
      <c r="X18" s="21"/>
      <c r="Y18" s="21"/>
      <c r="Z18" s="21"/>
      <c r="AA18" s="21"/>
      <c r="AB18" s="21"/>
      <c r="AC18" s="20"/>
      <c r="AE18" s="484"/>
      <c r="AF18" s="484"/>
      <c r="AG18" s="484"/>
      <c r="AH18" s="484"/>
      <c r="AI18" s="484"/>
      <c r="AJ18" s="484"/>
      <c r="AK18" s="484"/>
      <c r="AL18" s="484"/>
      <c r="AM18" s="484"/>
      <c r="AN18" s="485"/>
    </row>
    <row r="19" spans="1:40" x14ac:dyDescent="0.3">
      <c r="A19" s="18"/>
      <c r="B19" s="42" t="s">
        <v>106</v>
      </c>
      <c r="C19" s="42" t="s">
        <v>161</v>
      </c>
      <c r="D19" s="42" t="str">
        <f t="shared" si="0"/>
        <v>B</v>
      </c>
      <c r="E19" s="44">
        <v>1500</v>
      </c>
      <c r="F19" s="61">
        <v>141.97999999999999</v>
      </c>
      <c r="G19" s="61">
        <v>141.97</v>
      </c>
      <c r="H19" s="65">
        <f t="shared" si="1"/>
        <v>-14.999999999986358</v>
      </c>
      <c r="I19" s="44">
        <v>600</v>
      </c>
      <c r="J19" s="21"/>
      <c r="K19" s="21"/>
      <c r="L19" s="30" t="str">
        <v/>
      </c>
      <c r="M19" s="30" t="str">
        <v/>
      </c>
      <c r="N19" s="30" t="str">
        <v/>
      </c>
      <c r="O19" s="36" t="str">
        <v/>
      </c>
      <c r="P19" s="35" t="str">
        <v/>
      </c>
      <c r="Q19" s="35" t="str">
        <v/>
      </c>
      <c r="R19" s="66" t="str">
        <v/>
      </c>
      <c r="S19" s="36" t="str">
        <v/>
      </c>
      <c r="T19" s="21"/>
      <c r="U19" s="21"/>
      <c r="V19" s="21"/>
      <c r="W19" s="21"/>
      <c r="X19" s="21"/>
      <c r="Y19" s="21"/>
      <c r="Z19" s="21"/>
      <c r="AA19" s="21"/>
      <c r="AB19" s="21"/>
      <c r="AC19" s="20"/>
      <c r="AE19" s="484"/>
      <c r="AF19" s="484"/>
      <c r="AG19" s="484"/>
      <c r="AH19" s="484"/>
      <c r="AI19" s="484"/>
      <c r="AJ19" s="484"/>
      <c r="AK19" s="484"/>
      <c r="AL19" s="484"/>
      <c r="AM19" s="484"/>
      <c r="AN19" s="485"/>
    </row>
    <row r="20" spans="1:40" ht="15" customHeight="1" x14ac:dyDescent="0.3">
      <c r="A20" s="18"/>
      <c r="B20" s="42" t="s">
        <v>108</v>
      </c>
      <c r="C20" s="42" t="s">
        <v>199</v>
      </c>
      <c r="D20" s="42" t="str">
        <f t="shared" si="0"/>
        <v>S</v>
      </c>
      <c r="E20" s="44">
        <v>-40</v>
      </c>
      <c r="F20" s="61">
        <v>2.61</v>
      </c>
      <c r="G20" s="61">
        <v>2.6</v>
      </c>
      <c r="H20" s="65">
        <f t="shared" si="1"/>
        <v>39.999999999999147</v>
      </c>
      <c r="I20" s="44">
        <v>-2303.1999999999998</v>
      </c>
      <c r="J20" s="21"/>
      <c r="K20" s="21"/>
      <c r="L20" s="30" t="e">
        <v>#DIV/0!</v>
      </c>
      <c r="M20" s="30" t="e">
        <v>#DIV/0!</v>
      </c>
      <c r="N20" s="30" t="e">
        <v>#DIV/0!</v>
      </c>
      <c r="O20" s="36" t="e">
        <v>#DIV/0!</v>
      </c>
      <c r="P20" s="35" t="e">
        <v>#DIV/0!</v>
      </c>
      <c r="Q20" s="35" t="e">
        <v>#DIV/0!</v>
      </c>
      <c r="R20" s="66" t="e">
        <v>#DIV/0!</v>
      </c>
      <c r="S20" s="36" t="e">
        <v>#DIV/0!</v>
      </c>
      <c r="T20" s="21"/>
      <c r="U20" s="21"/>
      <c r="V20" s="21"/>
      <c r="W20" s="21"/>
      <c r="X20" s="21"/>
      <c r="Y20" s="21"/>
      <c r="Z20" s="21"/>
      <c r="AA20" s="21"/>
      <c r="AB20" s="21"/>
      <c r="AC20" s="20"/>
      <c r="AE20" s="484" t="s">
        <v>474</v>
      </c>
      <c r="AF20" s="484"/>
      <c r="AG20" s="484" t="s">
        <v>476</v>
      </c>
      <c r="AH20" s="484"/>
      <c r="AI20" s="484"/>
      <c r="AJ20" s="484"/>
      <c r="AK20" s="484"/>
      <c r="AL20" s="484"/>
      <c r="AM20" s="484"/>
      <c r="AN20" s="485" t="s">
        <v>326</v>
      </c>
    </row>
    <row r="21" spans="1:40" x14ac:dyDescent="0.3">
      <c r="A21" s="18"/>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0"/>
      <c r="AE21" s="484"/>
      <c r="AF21" s="484"/>
      <c r="AG21" s="484"/>
      <c r="AH21" s="484"/>
      <c r="AI21" s="484"/>
      <c r="AJ21" s="484"/>
      <c r="AK21" s="484"/>
      <c r="AL21" s="484"/>
      <c r="AM21" s="484"/>
      <c r="AN21" s="485"/>
    </row>
    <row r="22" spans="1:40" x14ac:dyDescent="0.3">
      <c r="A22" s="18"/>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0"/>
      <c r="AE22" s="484"/>
      <c r="AF22" s="484"/>
      <c r="AG22" s="484"/>
      <c r="AH22" s="484"/>
      <c r="AI22" s="484"/>
      <c r="AJ22" s="484"/>
      <c r="AK22" s="484"/>
      <c r="AL22" s="484"/>
      <c r="AM22" s="484"/>
      <c r="AN22" s="485"/>
    </row>
    <row r="23" spans="1:40" ht="15" customHeight="1" x14ac:dyDescent="0.3">
      <c r="A23" s="18"/>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0"/>
      <c r="AE23" s="126" t="s">
        <v>328</v>
      </c>
    </row>
    <row r="24" spans="1:40" x14ac:dyDescent="0.3">
      <c r="A24" s="18"/>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0"/>
    </row>
    <row r="25" spans="1:40" x14ac:dyDescent="0.3">
      <c r="A25" s="18"/>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0"/>
    </row>
    <row r="26" spans="1:40" ht="15" customHeight="1" x14ac:dyDescent="0.3">
      <c r="A26" s="18"/>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0"/>
    </row>
    <row r="27" spans="1:40" ht="15" customHeight="1" x14ac:dyDescent="0.3">
      <c r="A27" s="18"/>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0"/>
    </row>
    <row r="28" spans="1:40" x14ac:dyDescent="0.3">
      <c r="A28" s="18"/>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0"/>
    </row>
    <row r="29" spans="1:40" x14ac:dyDescent="0.3">
      <c r="A29" s="18"/>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0"/>
    </row>
    <row r="30" spans="1:40" x14ac:dyDescent="0.3">
      <c r="A30" s="18"/>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0"/>
    </row>
    <row r="31" spans="1:40" ht="15" customHeight="1" x14ac:dyDescent="0.3">
      <c r="A31" s="18"/>
      <c r="B31" s="21"/>
      <c r="C31" s="21"/>
      <c r="D31" s="21"/>
      <c r="E31" s="21"/>
      <c r="F31" s="21"/>
      <c r="G31" s="21"/>
      <c r="H31" s="21"/>
      <c r="I31" s="21"/>
      <c r="J31" s="21"/>
      <c r="K31" s="21"/>
      <c r="L31" s="67"/>
      <c r="M31" s="67"/>
      <c r="N31" s="67"/>
      <c r="O31" s="67"/>
      <c r="P31" s="67"/>
      <c r="Q31" s="67"/>
      <c r="R31" s="67"/>
      <c r="S31" s="67"/>
      <c r="T31" s="67"/>
      <c r="U31" s="67"/>
      <c r="V31" s="67"/>
      <c r="W31" s="67"/>
      <c r="X31" s="67"/>
      <c r="Y31" s="67"/>
      <c r="Z31" s="67"/>
      <c r="AA31" s="67"/>
      <c r="AB31" s="21"/>
      <c r="AC31" s="20"/>
    </row>
    <row r="32" spans="1:40" x14ac:dyDescent="0.3">
      <c r="A32" s="18"/>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0"/>
    </row>
    <row r="33" spans="1:29" x14ac:dyDescent="0.3">
      <c r="A33" s="18"/>
      <c r="B33" s="21"/>
      <c r="C33" s="21"/>
      <c r="D33" s="21"/>
      <c r="E33" s="21"/>
      <c r="F33" s="21"/>
      <c r="G33" s="21"/>
      <c r="H33" s="21"/>
      <c r="I33" s="21"/>
      <c r="J33" s="21"/>
      <c r="K33" s="21"/>
      <c r="L33" s="492" t="s">
        <v>3404</v>
      </c>
      <c r="M33" s="529"/>
      <c r="N33" s="529"/>
      <c r="O33" s="529"/>
      <c r="P33" s="529"/>
      <c r="Q33" s="529"/>
      <c r="R33" s="529"/>
      <c r="S33" s="493"/>
      <c r="T33" s="21"/>
      <c r="U33" s="21"/>
      <c r="V33" s="475" t="s">
        <v>197</v>
      </c>
      <c r="W33" s="475"/>
      <c r="X33" s="475"/>
      <c r="Y33" s="21"/>
      <c r="Z33" s="21"/>
      <c r="AA33" s="21"/>
      <c r="AB33" s="21"/>
      <c r="AC33" s="20"/>
    </row>
    <row r="34" spans="1:29" x14ac:dyDescent="0.3">
      <c r="A34" s="18"/>
      <c r="B34" s="21"/>
      <c r="C34" s="21"/>
      <c r="D34" s="21"/>
      <c r="E34" s="21"/>
      <c r="F34" s="21"/>
      <c r="G34" s="21"/>
      <c r="H34" s="21"/>
      <c r="I34" s="21"/>
      <c r="J34" s="21"/>
      <c r="K34" s="21"/>
      <c r="L34" s="3" t="str">
        <f t="array" ref="L34:S47">_xll.U.VSORT(B7:I20,V35:X39)</f>
        <v>Symbol</v>
      </c>
      <c r="M34" s="3" t="str">
        <v>Broker</v>
      </c>
      <c r="N34" s="3" t="str">
        <v>Side</v>
      </c>
      <c r="O34" s="3" t="str">
        <v>Quantity</v>
      </c>
      <c r="P34" s="3" t="str">
        <v>Trade Price</v>
      </c>
      <c r="Q34" s="3" t="str">
        <v>Current Price</v>
      </c>
      <c r="R34" s="3" t="str">
        <v>P&amp;L</v>
      </c>
      <c r="S34" s="3" t="str">
        <v>Current Delta</v>
      </c>
      <c r="T34" s="21"/>
      <c r="U34" s="21"/>
      <c r="V34" s="9" t="s">
        <v>126</v>
      </c>
      <c r="W34" s="9" t="s">
        <v>198</v>
      </c>
      <c r="X34" s="9" t="s">
        <v>201</v>
      </c>
      <c r="Y34" s="21"/>
      <c r="Z34" s="21"/>
      <c r="AA34" s="21"/>
      <c r="AB34" s="21"/>
      <c r="AC34" s="20"/>
    </row>
    <row r="35" spans="1:29" x14ac:dyDescent="0.3">
      <c r="A35" s="18"/>
      <c r="B35" s="21"/>
      <c r="C35" s="21"/>
      <c r="D35" s="21"/>
      <c r="E35" s="21"/>
      <c r="F35" s="21"/>
      <c r="G35" s="21"/>
      <c r="H35" s="21"/>
      <c r="I35" s="21"/>
      <c r="J35" s="21"/>
      <c r="K35" s="21"/>
      <c r="L35" s="30" t="str">
        <v/>
      </c>
      <c r="M35" s="30" t="str">
        <v/>
      </c>
      <c r="N35" s="30" t="str">
        <v/>
      </c>
      <c r="O35" s="36" t="str">
        <v/>
      </c>
      <c r="P35" s="35" t="str">
        <v/>
      </c>
      <c r="Q35" s="35" t="str">
        <v/>
      </c>
      <c r="R35" s="66" t="str">
        <v/>
      </c>
      <c r="S35" s="36" t="str">
        <v/>
      </c>
      <c r="T35" s="21"/>
      <c r="U35" s="21"/>
      <c r="V35" s="79">
        <v>1</v>
      </c>
      <c r="W35" s="79">
        <v>1</v>
      </c>
      <c r="X35" s="79" t="b">
        <v>1</v>
      </c>
      <c r="Y35" s="21"/>
      <c r="Z35" s="21"/>
      <c r="AA35" s="21"/>
      <c r="AB35" s="21"/>
      <c r="AC35" s="20"/>
    </row>
    <row r="36" spans="1:29" x14ac:dyDescent="0.3">
      <c r="A36" s="18"/>
      <c r="B36" s="21"/>
      <c r="C36" s="21"/>
      <c r="D36" s="21"/>
      <c r="E36" s="21"/>
      <c r="F36" s="21"/>
      <c r="G36" s="21"/>
      <c r="H36" s="21"/>
      <c r="I36" s="21"/>
      <c r="J36" s="21"/>
      <c r="K36" s="21"/>
      <c r="L36" s="30" t="str">
        <v>AAPL</v>
      </c>
      <c r="M36" s="30" t="str">
        <v>Tom</v>
      </c>
      <c r="N36" s="30" t="str">
        <v>B</v>
      </c>
      <c r="O36" s="36">
        <v>1500</v>
      </c>
      <c r="P36" s="35">
        <v>141.97999999999999</v>
      </c>
      <c r="Q36" s="35">
        <v>141.97</v>
      </c>
      <c r="R36" s="66">
        <v>-14.999999999986358</v>
      </c>
      <c r="S36" s="36">
        <v>600</v>
      </c>
      <c r="T36" s="21"/>
      <c r="U36" s="21"/>
      <c r="V36" s="79" t="s">
        <v>101</v>
      </c>
      <c r="W36" s="79" t="str">
        <f>"tom, bob,sally"</f>
        <v>tom, bob,sally</v>
      </c>
      <c r="X36" s="79"/>
      <c r="Y36" s="21"/>
      <c r="Z36" s="21"/>
      <c r="AA36" s="21"/>
      <c r="AB36" s="21"/>
      <c r="AC36" s="20"/>
    </row>
    <row r="37" spans="1:29" x14ac:dyDescent="0.3">
      <c r="A37" s="18"/>
      <c r="B37" s="21"/>
      <c r="C37" s="21"/>
      <c r="D37" s="21"/>
      <c r="E37" s="21"/>
      <c r="F37" s="21"/>
      <c r="G37" s="21"/>
      <c r="H37" s="21"/>
      <c r="I37" s="21"/>
      <c r="J37" s="21"/>
      <c r="K37" s="21"/>
      <c r="L37" s="30" t="str">
        <v>AAPL</v>
      </c>
      <c r="M37" s="30" t="str">
        <v>Tom</v>
      </c>
      <c r="N37" s="30" t="str">
        <v>B</v>
      </c>
      <c r="O37" s="36">
        <v>700</v>
      </c>
      <c r="P37" s="35">
        <v>142.02000000000001</v>
      </c>
      <c r="Q37" s="35">
        <v>141.97</v>
      </c>
      <c r="R37" s="66">
        <v>-35.000000000007958</v>
      </c>
      <c r="S37" s="36">
        <v>1500</v>
      </c>
      <c r="T37" s="21"/>
      <c r="U37" s="21"/>
      <c r="V37" s="79">
        <v>4</v>
      </c>
      <c r="W37" s="79">
        <v>-2</v>
      </c>
      <c r="X37" s="79"/>
      <c r="Y37" s="21"/>
      <c r="Z37" s="21"/>
      <c r="AA37" s="21"/>
      <c r="AB37" s="21"/>
      <c r="AC37" s="20"/>
    </row>
    <row r="38" spans="1:29" x14ac:dyDescent="0.3">
      <c r="A38" s="18"/>
      <c r="B38" s="21"/>
      <c r="C38" s="21"/>
      <c r="D38" s="21"/>
      <c r="E38" s="21"/>
      <c r="F38" s="21"/>
      <c r="G38" s="21"/>
      <c r="H38" s="21"/>
      <c r="I38" s="21"/>
      <c r="J38" s="21"/>
      <c r="K38" s="21"/>
      <c r="L38" s="30" t="str">
        <v>AAPL</v>
      </c>
      <c r="M38" s="30" t="str">
        <v>Bob</v>
      </c>
      <c r="N38" s="30" t="str">
        <v>B</v>
      </c>
      <c r="O38" s="36">
        <v>300</v>
      </c>
      <c r="P38" s="35">
        <v>142.02000000000001</v>
      </c>
      <c r="Q38" s="35">
        <v>141.97</v>
      </c>
      <c r="R38" s="66">
        <v>-15.000000000003411</v>
      </c>
      <c r="S38" s="36">
        <v>300</v>
      </c>
      <c r="T38" s="21"/>
      <c r="U38" s="21"/>
      <c r="V38" s="79"/>
      <c r="W38" s="79"/>
      <c r="X38" s="79"/>
      <c r="Y38" s="21"/>
      <c r="Z38" s="21"/>
      <c r="AA38" s="21"/>
      <c r="AB38" s="21"/>
      <c r="AC38" s="20"/>
    </row>
    <row r="39" spans="1:29" x14ac:dyDescent="0.3">
      <c r="A39" s="18"/>
      <c r="B39" s="21"/>
      <c r="C39" s="21"/>
      <c r="D39" s="21"/>
      <c r="E39" s="21"/>
      <c r="F39" s="21"/>
      <c r="G39" s="21"/>
      <c r="H39" s="21"/>
      <c r="I39" s="21"/>
      <c r="J39" s="21"/>
      <c r="K39" s="21"/>
      <c r="L39" s="30" t="str">
        <v>AAPL</v>
      </c>
      <c r="M39" s="30" t="str">
        <v>Sally</v>
      </c>
      <c r="N39" s="30" t="str">
        <v>B</v>
      </c>
      <c r="O39" s="36">
        <v>100</v>
      </c>
      <c r="P39" s="35">
        <v>142.02000000000001</v>
      </c>
      <c r="Q39" s="35">
        <v>141.97</v>
      </c>
      <c r="R39" s="66">
        <v>-5.0000000000011369</v>
      </c>
      <c r="S39" s="36">
        <v>100</v>
      </c>
      <c r="T39" s="21"/>
      <c r="U39" s="21"/>
      <c r="V39" s="79"/>
      <c r="W39" s="79"/>
      <c r="X39" s="79"/>
      <c r="Y39" s="21"/>
      <c r="Z39" s="21"/>
      <c r="AA39" s="21"/>
      <c r="AB39" s="21"/>
      <c r="AC39" s="20"/>
    </row>
    <row r="40" spans="1:29" x14ac:dyDescent="0.3">
      <c r="A40" s="18"/>
      <c r="B40" s="21"/>
      <c r="C40" s="21"/>
      <c r="D40" s="21"/>
      <c r="E40" s="21"/>
      <c r="F40" s="21"/>
      <c r="G40" s="21"/>
      <c r="H40" s="21"/>
      <c r="I40" s="21"/>
      <c r="J40" s="21"/>
      <c r="K40" s="21"/>
      <c r="L40" s="30" t="str">
        <v>AAPL Jun17 140P</v>
      </c>
      <c r="M40" s="30" t="str">
        <v>Bob</v>
      </c>
      <c r="N40" s="30" t="str">
        <v>B</v>
      </c>
      <c r="O40" s="36">
        <v>100</v>
      </c>
      <c r="P40" s="35">
        <v>4.3</v>
      </c>
      <c r="Q40" s="35">
        <v>4.3099999999999996</v>
      </c>
      <c r="R40" s="66">
        <v>99.999999999997868</v>
      </c>
      <c r="S40" s="36">
        <v>-3215</v>
      </c>
      <c r="T40" s="21"/>
      <c r="U40" s="21"/>
      <c r="V40" s="21"/>
      <c r="W40" s="21"/>
      <c r="X40" s="21"/>
      <c r="Y40" s="21"/>
      <c r="Z40" s="21"/>
      <c r="AA40" s="21"/>
      <c r="AB40" s="21"/>
      <c r="AC40" s="20"/>
    </row>
    <row r="41" spans="1:29" x14ac:dyDescent="0.3">
      <c r="A41" s="18"/>
      <c r="B41" s="21"/>
      <c r="C41" s="21"/>
      <c r="D41" s="21"/>
      <c r="E41" s="21"/>
      <c r="F41" s="21"/>
      <c r="G41" s="21"/>
      <c r="H41" s="21"/>
      <c r="I41" s="21"/>
      <c r="J41" s="21"/>
      <c r="K41" s="21"/>
      <c r="L41" s="30" t="str">
        <v>IBM</v>
      </c>
      <c r="M41" s="30" t="str">
        <v>Bob</v>
      </c>
      <c r="N41" s="30" t="str">
        <v>B</v>
      </c>
      <c r="O41" s="36">
        <v>100</v>
      </c>
      <c r="P41" s="35">
        <v>159.4</v>
      </c>
      <c r="Q41" s="35">
        <v>159.37</v>
      </c>
      <c r="R41" s="66">
        <v>-3.0000000000001137</v>
      </c>
      <c r="S41" s="36">
        <v>100</v>
      </c>
      <c r="T41" s="21"/>
      <c r="U41" s="21"/>
      <c r="V41" s="21"/>
      <c r="W41" s="21"/>
      <c r="X41" s="21"/>
      <c r="Y41" s="21"/>
      <c r="Z41" s="21"/>
      <c r="AA41" s="21"/>
      <c r="AB41" s="21"/>
      <c r="AC41" s="20"/>
    </row>
    <row r="42" spans="1:29" x14ac:dyDescent="0.3">
      <c r="A42" s="18"/>
      <c r="B42" s="21"/>
      <c r="C42" s="21"/>
      <c r="D42" s="21"/>
      <c r="E42" s="21"/>
      <c r="F42" s="21"/>
      <c r="G42" s="21"/>
      <c r="H42" s="21"/>
      <c r="I42" s="21"/>
      <c r="J42" s="21"/>
      <c r="K42" s="21"/>
      <c r="L42" s="30" t="str">
        <v>IBM</v>
      </c>
      <c r="M42" s="30" t="str">
        <v>Sally</v>
      </c>
      <c r="N42" s="30" t="str">
        <v>S</v>
      </c>
      <c r="O42" s="36">
        <v>-3000</v>
      </c>
      <c r="P42" s="35">
        <v>159.49</v>
      </c>
      <c r="Q42" s="35">
        <v>159.37</v>
      </c>
      <c r="R42" s="66">
        <v>360.00000000001364</v>
      </c>
      <c r="S42" s="36">
        <v>-3000</v>
      </c>
      <c r="T42" s="21"/>
      <c r="U42" s="21"/>
      <c r="V42" s="21"/>
      <c r="W42" s="21"/>
      <c r="X42" s="21"/>
      <c r="Y42" s="21"/>
      <c r="Z42" s="21"/>
      <c r="AA42" s="21"/>
      <c r="AB42" s="21"/>
      <c r="AC42" s="20"/>
    </row>
    <row r="43" spans="1:29" x14ac:dyDescent="0.3">
      <c r="A43" s="18"/>
      <c r="B43" s="21"/>
      <c r="C43" s="21"/>
      <c r="D43" s="21"/>
      <c r="E43" s="21"/>
      <c r="F43" s="21"/>
      <c r="G43" s="21"/>
      <c r="H43" s="21"/>
      <c r="I43" s="21"/>
      <c r="J43" s="21"/>
      <c r="K43" s="21"/>
      <c r="L43" s="30" t="str">
        <v>IBM</v>
      </c>
      <c r="M43" s="30" t="str">
        <v>Sally</v>
      </c>
      <c r="N43" s="30" t="str">
        <v>B</v>
      </c>
      <c r="O43" s="36">
        <v>100</v>
      </c>
      <c r="P43" s="35">
        <v>159.4</v>
      </c>
      <c r="Q43" s="35">
        <v>159.37</v>
      </c>
      <c r="R43" s="66">
        <v>-3.0000000000001137</v>
      </c>
      <c r="S43" s="36">
        <v>100</v>
      </c>
      <c r="T43" s="21"/>
      <c r="U43" s="21"/>
      <c r="V43" s="21"/>
      <c r="W43" s="21"/>
      <c r="X43" s="21"/>
      <c r="Y43" s="21"/>
      <c r="Z43" s="21"/>
      <c r="AA43" s="21"/>
      <c r="AB43" s="21"/>
      <c r="AC43" s="20"/>
    </row>
    <row r="44" spans="1:29" x14ac:dyDescent="0.3">
      <c r="A44" s="18"/>
      <c r="B44" s="21"/>
      <c r="C44" s="21"/>
      <c r="D44" s="21"/>
      <c r="E44" s="21"/>
      <c r="F44" s="21"/>
      <c r="G44" s="21"/>
      <c r="H44" s="21"/>
      <c r="I44" s="21"/>
      <c r="J44" s="21"/>
      <c r="K44" s="21"/>
      <c r="L44" s="30" t="str">
        <v>IBM Jun17 160C</v>
      </c>
      <c r="M44" s="30" t="str">
        <v>Bob</v>
      </c>
      <c r="N44" s="30" t="str">
        <v>B</v>
      </c>
      <c r="O44" s="36">
        <v>50</v>
      </c>
      <c r="P44" s="35">
        <v>2.65</v>
      </c>
      <c r="Q44" s="35">
        <v>2.6</v>
      </c>
      <c r="R44" s="66">
        <v>-249.99999999999912</v>
      </c>
      <c r="S44" s="36">
        <v>2879</v>
      </c>
      <c r="T44" s="21"/>
      <c r="U44" s="21"/>
      <c r="V44" s="21"/>
      <c r="W44" s="21"/>
      <c r="X44" s="21"/>
      <c r="Y44" s="21"/>
      <c r="Z44" s="21"/>
      <c r="AA44" s="21"/>
      <c r="AB44" s="21"/>
      <c r="AC44" s="20"/>
    </row>
    <row r="45" spans="1:29" x14ac:dyDescent="0.3">
      <c r="A45" s="18"/>
      <c r="B45" s="21"/>
      <c r="C45" s="21"/>
      <c r="D45" s="21"/>
      <c r="E45" s="21"/>
      <c r="F45" s="21"/>
      <c r="G45" s="21"/>
      <c r="H45" s="21"/>
      <c r="I45" s="21"/>
      <c r="J45" s="21"/>
      <c r="K45" s="21"/>
      <c r="L45" s="30" t="str">
        <v>IBM Jun17 160C</v>
      </c>
      <c r="M45" s="30" t="str">
        <v>Bob</v>
      </c>
      <c r="N45" s="30" t="str">
        <v>S</v>
      </c>
      <c r="O45" s="36">
        <v>-40</v>
      </c>
      <c r="P45" s="35">
        <v>2.61</v>
      </c>
      <c r="Q45" s="35">
        <v>2.6</v>
      </c>
      <c r="R45" s="66">
        <v>39.999999999999147</v>
      </c>
      <c r="S45" s="36">
        <v>-2303.1999999999998</v>
      </c>
      <c r="T45" s="21"/>
      <c r="U45" s="21"/>
      <c r="V45" s="21"/>
      <c r="W45" s="21"/>
      <c r="X45" s="21"/>
      <c r="Y45" s="21"/>
      <c r="Z45" s="21"/>
      <c r="AA45" s="21"/>
      <c r="AB45" s="21"/>
      <c r="AC45" s="20"/>
    </row>
    <row r="46" spans="1:29" x14ac:dyDescent="0.3">
      <c r="A46" s="18"/>
      <c r="B46" s="21"/>
      <c r="C46" s="21"/>
      <c r="D46" s="21"/>
      <c r="E46" s="21"/>
      <c r="F46" s="21"/>
      <c r="G46" s="21"/>
      <c r="H46" s="21"/>
      <c r="I46" s="21"/>
      <c r="J46" s="21"/>
      <c r="K46" s="21"/>
      <c r="L46" s="30" t="str">
        <v>IBM Jun17 160C</v>
      </c>
      <c r="M46" s="30" t="str">
        <v>Bob</v>
      </c>
      <c r="N46" s="30" t="str">
        <v>S</v>
      </c>
      <c r="O46" s="36">
        <v>-10</v>
      </c>
      <c r="P46" s="35">
        <v>2.62</v>
      </c>
      <c r="Q46" s="35">
        <v>2.6</v>
      </c>
      <c r="R46" s="66">
        <v>20.000000000000018</v>
      </c>
      <c r="S46" s="36">
        <v>-575.79999999999995</v>
      </c>
      <c r="T46" s="21"/>
      <c r="U46" s="21"/>
      <c r="V46" s="21"/>
      <c r="W46" s="21"/>
      <c r="X46" s="21"/>
      <c r="Y46" s="21"/>
      <c r="Z46" s="21"/>
      <c r="AA46" s="21"/>
      <c r="AB46" s="21"/>
      <c r="AC46" s="20"/>
    </row>
    <row r="47" spans="1:29" x14ac:dyDescent="0.3">
      <c r="A47" s="18"/>
      <c r="B47" s="21"/>
      <c r="C47" s="21"/>
      <c r="D47" s="21"/>
      <c r="E47" s="21"/>
      <c r="F47" s="21"/>
      <c r="G47" s="21"/>
      <c r="H47" s="21"/>
      <c r="I47" s="21"/>
      <c r="J47" s="21"/>
      <c r="K47" s="21"/>
      <c r="L47" s="30" t="e">
        <v>#DIV/0!</v>
      </c>
      <c r="M47" s="30" t="e">
        <v>#DIV/0!</v>
      </c>
      <c r="N47" s="30" t="e">
        <v>#DIV/0!</v>
      </c>
      <c r="O47" s="36" t="e">
        <v>#DIV/0!</v>
      </c>
      <c r="P47" s="35" t="e">
        <v>#DIV/0!</v>
      </c>
      <c r="Q47" s="35" t="e">
        <v>#DIV/0!</v>
      </c>
      <c r="R47" s="66" t="e">
        <v>#DIV/0!</v>
      </c>
      <c r="S47" s="36" t="e">
        <v>#DIV/0!</v>
      </c>
      <c r="T47" s="21"/>
      <c r="U47" s="21"/>
      <c r="V47" s="21"/>
      <c r="W47" s="21"/>
      <c r="X47" s="21"/>
      <c r="Y47" s="21"/>
      <c r="Z47" s="21"/>
      <c r="AA47" s="21"/>
      <c r="AB47" s="21"/>
      <c r="AC47" s="20"/>
    </row>
    <row r="48" spans="1:29" x14ac:dyDescent="0.3">
      <c r="A48" s="18"/>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0"/>
    </row>
    <row r="49" spans="1:29" x14ac:dyDescent="0.3">
      <c r="A49" s="18"/>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0"/>
    </row>
    <row r="50" spans="1:29" x14ac:dyDescent="0.3">
      <c r="A50" s="18"/>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0"/>
    </row>
    <row r="51" spans="1:29" x14ac:dyDescent="0.3">
      <c r="A51" s="18"/>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0"/>
    </row>
    <row r="52" spans="1:29" x14ac:dyDescent="0.3">
      <c r="A52" s="18"/>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0"/>
    </row>
    <row r="53" spans="1:29" x14ac:dyDescent="0.3">
      <c r="A53" s="18"/>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0"/>
    </row>
    <row r="54" spans="1:29" x14ac:dyDescent="0.3">
      <c r="A54" s="18"/>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0"/>
    </row>
    <row r="55" spans="1:29" x14ac:dyDescent="0.3">
      <c r="A55" s="18"/>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0"/>
    </row>
    <row r="56" spans="1:29" x14ac:dyDescent="0.3">
      <c r="A56" s="18"/>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0"/>
    </row>
    <row r="57" spans="1:29" x14ac:dyDescent="0.3">
      <c r="A57" s="18"/>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0"/>
    </row>
    <row r="58" spans="1:29" x14ac:dyDescent="0.3">
      <c r="A58" s="18"/>
      <c r="B58" s="21"/>
      <c r="C58" s="21"/>
      <c r="D58" s="21"/>
      <c r="E58" s="21"/>
      <c r="F58" s="21"/>
      <c r="G58" s="21"/>
      <c r="H58" s="21"/>
      <c r="I58" s="21"/>
      <c r="J58" s="21"/>
      <c r="K58" s="21"/>
      <c r="L58" s="67"/>
      <c r="M58" s="67"/>
      <c r="N58" s="67"/>
      <c r="O58" s="67"/>
      <c r="P58" s="67"/>
      <c r="Q58" s="67"/>
      <c r="R58" s="67"/>
      <c r="S58" s="67"/>
      <c r="T58" s="67"/>
      <c r="U58" s="67"/>
      <c r="V58" s="67"/>
      <c r="W58" s="67"/>
      <c r="X58" s="67"/>
      <c r="Y58" s="67"/>
      <c r="Z58" s="67"/>
      <c r="AA58" s="67"/>
      <c r="AB58" s="21"/>
      <c r="AC58" s="20"/>
    </row>
    <row r="59" spans="1:29" x14ac:dyDescent="0.3">
      <c r="A59" s="18"/>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0"/>
    </row>
    <row r="60" spans="1:29" x14ac:dyDescent="0.3">
      <c r="A60" s="18"/>
      <c r="B60" s="21"/>
      <c r="C60" s="21"/>
      <c r="D60" s="21"/>
      <c r="E60" s="21"/>
      <c r="F60" s="21"/>
      <c r="G60" s="21"/>
      <c r="H60" s="21"/>
      <c r="I60" s="21"/>
      <c r="J60" s="21"/>
      <c r="K60" s="21"/>
      <c r="L60" s="492" t="s">
        <v>3404</v>
      </c>
      <c r="M60" s="529"/>
      <c r="N60" s="529"/>
      <c r="O60" s="529"/>
      <c r="P60" s="529"/>
      <c r="Q60" s="529"/>
      <c r="R60" s="529"/>
      <c r="S60" s="493"/>
      <c r="T60" s="21"/>
      <c r="U60" s="21"/>
      <c r="V60" s="475" t="s">
        <v>197</v>
      </c>
      <c r="W60" s="475"/>
      <c r="X60" s="21"/>
      <c r="Y60" s="21"/>
      <c r="Z60" s="21"/>
      <c r="AA60" s="21"/>
      <c r="AB60" s="21"/>
      <c r="AC60" s="20"/>
    </row>
    <row r="61" spans="1:29" x14ac:dyDescent="0.3">
      <c r="A61" s="18"/>
      <c r="B61" s="21"/>
      <c r="C61" s="21"/>
      <c r="D61" s="21"/>
      <c r="E61" s="21"/>
      <c r="F61" s="21"/>
      <c r="G61" s="21"/>
      <c r="H61" s="21"/>
      <c r="I61" s="21"/>
      <c r="J61" s="21"/>
      <c r="K61" s="21"/>
      <c r="L61" s="3" t="str">
        <f t="array" ref="L61:S74">_xll.U.VSORT(B7:I20,V62:W66,W69:W72)</f>
        <v>Symbol</v>
      </c>
      <c r="M61" s="3" t="str">
        <v>Broker</v>
      </c>
      <c r="N61" s="3" t="str">
        <v>Side</v>
      </c>
      <c r="O61" s="3" t="str">
        <v>Quantity</v>
      </c>
      <c r="P61" s="3" t="str">
        <v>Trade Price</v>
      </c>
      <c r="Q61" s="3" t="str">
        <v>Current Price</v>
      </c>
      <c r="R61" s="3" t="str">
        <v>P&amp;L</v>
      </c>
      <c r="S61" s="3" t="str">
        <v>Current Delta</v>
      </c>
      <c r="T61" s="21"/>
      <c r="U61" s="21"/>
      <c r="V61" s="9" t="s">
        <v>126</v>
      </c>
      <c r="W61" s="9" t="s">
        <v>198</v>
      </c>
      <c r="X61" s="21"/>
      <c r="Y61" s="21"/>
      <c r="Z61" s="21"/>
      <c r="AA61" s="21"/>
      <c r="AB61" s="21"/>
      <c r="AC61" s="20"/>
    </row>
    <row r="62" spans="1:29" x14ac:dyDescent="0.3">
      <c r="A62" s="18"/>
      <c r="B62" s="21"/>
      <c r="C62" s="21"/>
      <c r="D62" s="21"/>
      <c r="E62" s="21"/>
      <c r="F62" s="21"/>
      <c r="G62" s="21"/>
      <c r="H62" s="21"/>
      <c r="I62" s="21"/>
      <c r="J62" s="21"/>
      <c r="K62" s="21"/>
      <c r="L62" s="30" t="str">
        <v>IBM Jun17 160C</v>
      </c>
      <c r="M62" s="30" t="str">
        <v>Bob</v>
      </c>
      <c r="N62" s="30" t="str">
        <v>B</v>
      </c>
      <c r="O62" s="36">
        <v>50</v>
      </c>
      <c r="P62" s="35">
        <v>2.65</v>
      </c>
      <c r="Q62" s="35">
        <v>2.6</v>
      </c>
      <c r="R62" s="66">
        <v>-249.99999999999912</v>
      </c>
      <c r="S62" s="36">
        <v>2879</v>
      </c>
      <c r="T62" s="21"/>
      <c r="U62" s="21"/>
      <c r="V62" s="79" t="s">
        <v>101</v>
      </c>
      <c r="W62" s="79" t="s">
        <v>203</v>
      </c>
      <c r="X62" s="21"/>
      <c r="Y62" s="21"/>
      <c r="Z62" s="21"/>
      <c r="AA62" s="21"/>
      <c r="AB62" s="21"/>
      <c r="AC62" s="20"/>
    </row>
    <row r="63" spans="1:29" x14ac:dyDescent="0.3">
      <c r="A63" s="18"/>
      <c r="B63" s="21"/>
      <c r="C63" s="21"/>
      <c r="D63" s="21"/>
      <c r="E63" s="21"/>
      <c r="F63" s="21"/>
      <c r="G63" s="21"/>
      <c r="H63" s="21"/>
      <c r="I63" s="21"/>
      <c r="J63" s="21"/>
      <c r="K63" s="21"/>
      <c r="L63" s="30" t="str">
        <v>IBM Jun17 160C</v>
      </c>
      <c r="M63" s="30" t="str">
        <v>Bob</v>
      </c>
      <c r="N63" s="30" t="str">
        <v>S</v>
      </c>
      <c r="O63" s="36">
        <v>-10</v>
      </c>
      <c r="P63" s="35">
        <v>2.62</v>
      </c>
      <c r="Q63" s="35">
        <v>2.6</v>
      </c>
      <c r="R63" s="66">
        <v>20.000000000000018</v>
      </c>
      <c r="S63" s="36">
        <v>-575.79999999999995</v>
      </c>
      <c r="T63" s="21"/>
      <c r="U63" s="21"/>
      <c r="V63" s="79" t="s">
        <v>2</v>
      </c>
      <c r="W63" s="79" t="s">
        <v>1733</v>
      </c>
      <c r="X63" s="21"/>
      <c r="Y63" s="21"/>
      <c r="Z63" s="21"/>
      <c r="AA63" s="21"/>
      <c r="AB63" s="21"/>
      <c r="AC63" s="20"/>
    </row>
    <row r="64" spans="1:29" x14ac:dyDescent="0.3">
      <c r="A64" s="18"/>
      <c r="B64" s="21"/>
      <c r="C64" s="21"/>
      <c r="D64" s="21"/>
      <c r="E64" s="21"/>
      <c r="F64" s="21"/>
      <c r="G64" s="21"/>
      <c r="H64" s="21"/>
      <c r="I64" s="21"/>
      <c r="J64" s="21"/>
      <c r="K64" s="21"/>
      <c r="L64" s="30" t="str">
        <v>IBM Jun17 160C</v>
      </c>
      <c r="M64" s="30" t="str">
        <v>Bob</v>
      </c>
      <c r="N64" s="30" t="str">
        <v>S</v>
      </c>
      <c r="O64" s="36">
        <v>-40</v>
      </c>
      <c r="P64" s="35">
        <v>2.61</v>
      </c>
      <c r="Q64" s="35">
        <v>2.6</v>
      </c>
      <c r="R64" s="66">
        <v>39.999999999999147</v>
      </c>
      <c r="S64" s="36">
        <v>-2303.1999999999998</v>
      </c>
      <c r="T64" s="21"/>
      <c r="U64" s="21"/>
      <c r="V64" s="79"/>
      <c r="W64" s="79"/>
      <c r="X64" s="21"/>
      <c r="Y64" s="21"/>
      <c r="Z64" s="21"/>
      <c r="AA64" s="21"/>
      <c r="AB64" s="21"/>
      <c r="AC64" s="20"/>
    </row>
    <row r="65" spans="1:29" x14ac:dyDescent="0.3">
      <c r="A65" s="18"/>
      <c r="B65" s="21"/>
      <c r="C65" s="21"/>
      <c r="D65" s="21"/>
      <c r="E65" s="21"/>
      <c r="F65" s="21"/>
      <c r="G65" s="21"/>
      <c r="H65" s="21"/>
      <c r="I65" s="21"/>
      <c r="J65" s="21"/>
      <c r="K65" s="21"/>
      <c r="L65" s="30" t="str">
        <v>IBM</v>
      </c>
      <c r="M65" s="30" t="str">
        <v>Sally</v>
      </c>
      <c r="N65" s="30" t="str">
        <v>S</v>
      </c>
      <c r="O65" s="36">
        <v>-3000</v>
      </c>
      <c r="P65" s="35">
        <v>159.49</v>
      </c>
      <c r="Q65" s="35">
        <v>159.37</v>
      </c>
      <c r="R65" s="66">
        <v>360.00000000001364</v>
      </c>
      <c r="S65" s="36">
        <v>-3000</v>
      </c>
      <c r="T65" s="21"/>
      <c r="U65" s="21"/>
      <c r="V65" s="79"/>
      <c r="W65" s="79"/>
      <c r="X65" s="21"/>
      <c r="Y65" s="21"/>
      <c r="Z65" s="21"/>
      <c r="AA65" s="21"/>
      <c r="AB65" s="21"/>
      <c r="AC65" s="20"/>
    </row>
    <row r="66" spans="1:29" x14ac:dyDescent="0.3">
      <c r="A66" s="18"/>
      <c r="B66" s="21"/>
      <c r="C66" s="21"/>
      <c r="D66" s="21"/>
      <c r="E66" s="21"/>
      <c r="F66" s="21"/>
      <c r="G66" s="21"/>
      <c r="H66" s="21"/>
      <c r="I66" s="21"/>
      <c r="J66" s="21"/>
      <c r="K66" s="21"/>
      <c r="L66" s="30" t="str">
        <v>IBM</v>
      </c>
      <c r="M66" s="30" t="str">
        <v>Sally</v>
      </c>
      <c r="N66" s="30" t="str">
        <v>B</v>
      </c>
      <c r="O66" s="36">
        <v>100</v>
      </c>
      <c r="P66" s="35">
        <v>159.4</v>
      </c>
      <c r="Q66" s="35">
        <v>159.37</v>
      </c>
      <c r="R66" s="66">
        <v>-3.0000000000001137</v>
      </c>
      <c r="S66" s="36">
        <v>100</v>
      </c>
      <c r="T66" s="21"/>
      <c r="U66" s="21"/>
      <c r="V66" s="79"/>
      <c r="W66" s="79"/>
      <c r="X66" s="21"/>
      <c r="Y66" s="21"/>
      <c r="Z66" s="21"/>
      <c r="AA66" s="21"/>
      <c r="AB66" s="21"/>
      <c r="AC66" s="20"/>
    </row>
    <row r="67" spans="1:29" x14ac:dyDescent="0.3">
      <c r="A67" s="18"/>
      <c r="B67" s="21"/>
      <c r="C67" s="21"/>
      <c r="D67" s="21"/>
      <c r="E67" s="21"/>
      <c r="F67" s="21"/>
      <c r="G67" s="21"/>
      <c r="H67" s="21"/>
      <c r="I67" s="21"/>
      <c r="J67" s="21"/>
      <c r="K67" s="21"/>
      <c r="L67" s="30" t="str">
        <v>IBM</v>
      </c>
      <c r="M67" s="30" t="str">
        <v>Bob</v>
      </c>
      <c r="N67" s="30" t="str">
        <v>B</v>
      </c>
      <c r="O67" s="36">
        <v>100</v>
      </c>
      <c r="P67" s="35">
        <v>159.4</v>
      </c>
      <c r="Q67" s="35">
        <v>159.37</v>
      </c>
      <c r="R67" s="66">
        <v>-3.0000000000001137</v>
      </c>
      <c r="S67" s="36">
        <v>100</v>
      </c>
      <c r="T67" s="21"/>
      <c r="U67" s="21"/>
      <c r="V67" s="21"/>
      <c r="W67" s="21"/>
      <c r="X67" s="21"/>
      <c r="Y67" s="21"/>
      <c r="Z67" s="21"/>
      <c r="AA67" s="21"/>
      <c r="AB67" s="21"/>
      <c r="AC67" s="20"/>
    </row>
    <row r="68" spans="1:29" x14ac:dyDescent="0.3">
      <c r="A68" s="18"/>
      <c r="B68" s="21"/>
      <c r="C68" s="21"/>
      <c r="D68" s="21"/>
      <c r="E68" s="21"/>
      <c r="F68" s="21"/>
      <c r="G68" s="21"/>
      <c r="H68" s="21"/>
      <c r="I68" s="21"/>
      <c r="J68" s="21"/>
      <c r="K68" s="21"/>
      <c r="L68" s="30" t="str">
        <v>AAPL Jun17 140P</v>
      </c>
      <c r="M68" s="30" t="str">
        <v>Bob</v>
      </c>
      <c r="N68" s="30" t="str">
        <v>B</v>
      </c>
      <c r="O68" s="36">
        <v>100</v>
      </c>
      <c r="P68" s="35">
        <v>4.3</v>
      </c>
      <c r="Q68" s="35">
        <v>4.3099999999999996</v>
      </c>
      <c r="R68" s="66">
        <v>99.999999999997868</v>
      </c>
      <c r="S68" s="36">
        <v>-3215</v>
      </c>
      <c r="T68" s="21"/>
      <c r="U68" s="21"/>
      <c r="V68" s="21"/>
      <c r="W68" s="9" t="s">
        <v>202</v>
      </c>
      <c r="X68" s="21"/>
      <c r="Y68" s="21"/>
      <c r="Z68" s="21"/>
      <c r="AA68" s="21"/>
      <c r="AB68" s="21"/>
      <c r="AC68" s="20"/>
    </row>
    <row r="69" spans="1:29" x14ac:dyDescent="0.3">
      <c r="A69" s="18"/>
      <c r="B69" s="21"/>
      <c r="C69" s="21"/>
      <c r="D69" s="21"/>
      <c r="E69" s="21"/>
      <c r="F69" s="21"/>
      <c r="G69" s="21"/>
      <c r="H69" s="21"/>
      <c r="I69" s="21"/>
      <c r="J69" s="21"/>
      <c r="K69" s="21"/>
      <c r="L69" s="30" t="str">
        <v>AAPL</v>
      </c>
      <c r="M69" s="30" t="str">
        <v>Sally</v>
      </c>
      <c r="N69" s="30" t="str">
        <v>B</v>
      </c>
      <c r="O69" s="36">
        <v>100</v>
      </c>
      <c r="P69" s="35">
        <v>142.02000000000001</v>
      </c>
      <c r="Q69" s="35">
        <v>141.97</v>
      </c>
      <c r="R69" s="66">
        <v>-5.0000000000011369</v>
      </c>
      <c r="S69" s="36">
        <v>100</v>
      </c>
      <c r="T69" s="21"/>
      <c r="U69" s="21"/>
      <c r="V69" s="21"/>
      <c r="W69" s="79" t="s">
        <v>108</v>
      </c>
      <c r="X69" s="21"/>
      <c r="Y69" s="21"/>
      <c r="Z69" s="21"/>
      <c r="AA69" s="21"/>
      <c r="AB69" s="21"/>
      <c r="AC69" s="20"/>
    </row>
    <row r="70" spans="1:29" x14ac:dyDescent="0.3">
      <c r="A70" s="18"/>
      <c r="B70" s="21"/>
      <c r="C70" s="21"/>
      <c r="D70" s="21"/>
      <c r="E70" s="21"/>
      <c r="F70" s="21"/>
      <c r="G70" s="21"/>
      <c r="H70" s="21"/>
      <c r="I70" s="21"/>
      <c r="J70" s="21"/>
      <c r="K70" s="21"/>
      <c r="L70" s="30" t="str">
        <v>AAPL</v>
      </c>
      <c r="M70" s="30" t="str">
        <v>Bob</v>
      </c>
      <c r="N70" s="30" t="str">
        <v>B</v>
      </c>
      <c r="O70" s="36">
        <v>300</v>
      </c>
      <c r="P70" s="35">
        <v>142.02000000000001</v>
      </c>
      <c r="Q70" s="35">
        <v>141.97</v>
      </c>
      <c r="R70" s="66">
        <v>-15.000000000003411</v>
      </c>
      <c r="S70" s="36">
        <v>300</v>
      </c>
      <c r="T70" s="21"/>
      <c r="U70" s="21"/>
      <c r="V70" s="21"/>
      <c r="W70" s="79" t="s">
        <v>107</v>
      </c>
      <c r="X70" s="21"/>
      <c r="Y70" s="21"/>
      <c r="Z70" s="21"/>
      <c r="AA70" s="21"/>
      <c r="AB70" s="21"/>
      <c r="AC70" s="20"/>
    </row>
    <row r="71" spans="1:29" x14ac:dyDescent="0.3">
      <c r="A71" s="18"/>
      <c r="B71" s="21"/>
      <c r="C71" s="21"/>
      <c r="D71" s="21"/>
      <c r="E71" s="21"/>
      <c r="F71" s="21"/>
      <c r="G71" s="21"/>
      <c r="H71" s="21"/>
      <c r="I71" s="21"/>
      <c r="J71" s="21"/>
      <c r="K71" s="21"/>
      <c r="L71" s="30" t="str">
        <v/>
      </c>
      <c r="M71" s="30" t="str">
        <v/>
      </c>
      <c r="N71" s="30" t="str">
        <v/>
      </c>
      <c r="O71" s="36" t="str">
        <v/>
      </c>
      <c r="P71" s="35" t="str">
        <v/>
      </c>
      <c r="Q71" s="35" t="str">
        <v/>
      </c>
      <c r="R71" s="66" t="str">
        <v/>
      </c>
      <c r="S71" s="36" t="str">
        <v/>
      </c>
      <c r="T71" s="21"/>
      <c r="U71" s="21"/>
      <c r="V71" s="21"/>
      <c r="W71" s="79" t="s">
        <v>112</v>
      </c>
      <c r="X71" s="21"/>
      <c r="Y71" s="21"/>
      <c r="Z71" s="21"/>
      <c r="AA71" s="21"/>
      <c r="AB71" s="21"/>
      <c r="AC71" s="20"/>
    </row>
    <row r="72" spans="1:29" x14ac:dyDescent="0.3">
      <c r="A72" s="18"/>
      <c r="B72" s="21"/>
      <c r="C72" s="21"/>
      <c r="D72" s="21"/>
      <c r="E72" s="21"/>
      <c r="F72" s="21"/>
      <c r="G72" s="21"/>
      <c r="H72" s="21"/>
      <c r="I72" s="21"/>
      <c r="J72" s="21"/>
      <c r="K72" s="21"/>
      <c r="L72" s="30" t="e">
        <v>#DIV/0!</v>
      </c>
      <c r="M72" s="30" t="e">
        <v>#DIV/0!</v>
      </c>
      <c r="N72" s="30" t="e">
        <v>#DIV/0!</v>
      </c>
      <c r="O72" s="36" t="e">
        <v>#DIV/0!</v>
      </c>
      <c r="P72" s="35" t="e">
        <v>#DIV/0!</v>
      </c>
      <c r="Q72" s="35" t="e">
        <v>#DIV/0!</v>
      </c>
      <c r="R72" s="66" t="e">
        <v>#DIV/0!</v>
      </c>
      <c r="S72" s="36" t="e">
        <v>#DIV/0!</v>
      </c>
      <c r="T72" s="21"/>
      <c r="U72" s="21"/>
      <c r="V72" s="21"/>
      <c r="W72" s="79" t="s">
        <v>106</v>
      </c>
      <c r="X72" s="21"/>
      <c r="Y72" s="21"/>
      <c r="Z72" s="21"/>
      <c r="AA72" s="21"/>
      <c r="AB72" s="21"/>
      <c r="AC72" s="20"/>
    </row>
    <row r="73" spans="1:29" x14ac:dyDescent="0.3">
      <c r="A73" s="18"/>
      <c r="B73" s="21"/>
      <c r="C73" s="21"/>
      <c r="D73" s="21"/>
      <c r="E73" s="21"/>
      <c r="F73" s="21"/>
      <c r="G73" s="21"/>
      <c r="H73" s="21"/>
      <c r="I73" s="21"/>
      <c r="J73" s="21"/>
      <c r="K73" s="21"/>
      <c r="L73" s="30" t="str">
        <v>AAPL</v>
      </c>
      <c r="M73" s="30" t="str">
        <v>Tom</v>
      </c>
      <c r="N73" s="30" t="str">
        <v>B</v>
      </c>
      <c r="O73" s="36">
        <v>700</v>
      </c>
      <c r="P73" s="35">
        <v>142.02000000000001</v>
      </c>
      <c r="Q73" s="35">
        <v>141.97</v>
      </c>
      <c r="R73" s="66">
        <v>-35.000000000007958</v>
      </c>
      <c r="S73" s="36">
        <v>1500</v>
      </c>
      <c r="T73" s="21"/>
      <c r="U73" s="21"/>
      <c r="V73" s="21"/>
      <c r="W73" s="21"/>
      <c r="X73" s="21"/>
      <c r="Y73" s="21"/>
      <c r="Z73" s="21"/>
      <c r="AA73" s="21"/>
      <c r="AB73" s="21"/>
      <c r="AC73" s="20"/>
    </row>
    <row r="74" spans="1:29" x14ac:dyDescent="0.3">
      <c r="A74" s="18"/>
      <c r="B74" s="21"/>
      <c r="C74" s="21"/>
      <c r="D74" s="21"/>
      <c r="E74" s="21"/>
      <c r="F74" s="21"/>
      <c r="G74" s="21"/>
      <c r="H74" s="21"/>
      <c r="I74" s="21"/>
      <c r="J74" s="21"/>
      <c r="K74" s="21"/>
      <c r="L74" s="30" t="str">
        <v>AAPL</v>
      </c>
      <c r="M74" s="30" t="str">
        <v>Tom</v>
      </c>
      <c r="N74" s="30" t="str">
        <v>B</v>
      </c>
      <c r="O74" s="36">
        <v>1500</v>
      </c>
      <c r="P74" s="35">
        <v>141.97999999999999</v>
      </c>
      <c r="Q74" s="35">
        <v>141.97</v>
      </c>
      <c r="R74" s="66">
        <v>-14.999999999986358</v>
      </c>
      <c r="S74" s="36">
        <v>600</v>
      </c>
      <c r="T74" s="21"/>
      <c r="U74" s="21"/>
      <c r="V74" s="21"/>
      <c r="W74" s="21"/>
      <c r="X74" s="21"/>
      <c r="Y74" s="21"/>
      <c r="Z74" s="21"/>
      <c r="AA74" s="21"/>
      <c r="AB74" s="21"/>
      <c r="AC74" s="20"/>
    </row>
    <row r="75" spans="1:29" x14ac:dyDescent="0.3">
      <c r="A75" s="18"/>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0"/>
    </row>
    <row r="76" spans="1:29" x14ac:dyDescent="0.3">
      <c r="A76" s="18"/>
      <c r="B76" s="21"/>
      <c r="C76" s="21"/>
      <c r="D76" s="21"/>
      <c r="E76" s="21"/>
      <c r="F76" s="21"/>
      <c r="G76" s="21"/>
      <c r="H76" s="21"/>
      <c r="I76" s="21"/>
      <c r="J76" s="21"/>
      <c r="K76" s="21"/>
      <c r="L76" s="67"/>
      <c r="M76" s="67"/>
      <c r="N76" s="67"/>
      <c r="O76" s="67"/>
      <c r="P76" s="67"/>
      <c r="Q76" s="67"/>
      <c r="R76" s="67"/>
      <c r="S76" s="67"/>
      <c r="T76" s="67"/>
      <c r="U76" s="67"/>
      <c r="V76" s="67"/>
      <c r="W76" s="67"/>
      <c r="X76" s="67"/>
      <c r="Y76" s="67"/>
      <c r="Z76" s="67"/>
      <c r="AA76" s="67"/>
      <c r="AB76" s="21"/>
      <c r="AC76" s="20"/>
    </row>
    <row r="77" spans="1:29" x14ac:dyDescent="0.3">
      <c r="A77" s="18"/>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0"/>
    </row>
    <row r="78" spans="1:29" x14ac:dyDescent="0.3">
      <c r="A78" s="18"/>
      <c r="B78" s="21"/>
      <c r="C78" s="21"/>
      <c r="D78" s="21"/>
      <c r="E78" s="21"/>
      <c r="F78" s="21"/>
      <c r="G78" s="21"/>
      <c r="H78" s="21"/>
      <c r="I78" s="21"/>
      <c r="J78" s="21"/>
      <c r="K78" s="21"/>
      <c r="L78" s="492" t="s">
        <v>3404</v>
      </c>
      <c r="M78" s="529"/>
      <c r="N78" s="529"/>
      <c r="O78" s="529"/>
      <c r="P78" s="529"/>
      <c r="Q78" s="529"/>
      <c r="R78" s="529"/>
      <c r="S78" s="493"/>
      <c r="T78" s="21"/>
      <c r="U78" s="21"/>
      <c r="V78" s="475" t="s">
        <v>197</v>
      </c>
      <c r="W78" s="475"/>
      <c r="X78" s="21"/>
      <c r="Y78" s="21"/>
      <c r="Z78" s="21"/>
      <c r="AA78" s="21"/>
      <c r="AB78" s="21"/>
      <c r="AC78" s="20"/>
    </row>
    <row r="79" spans="1:29" x14ac:dyDescent="0.3">
      <c r="A79" s="18"/>
      <c r="B79" s="21"/>
      <c r="C79" s="21"/>
      <c r="D79" s="21"/>
      <c r="E79" s="21"/>
      <c r="F79" s="21"/>
      <c r="G79" s="21"/>
      <c r="H79" s="21"/>
      <c r="I79" s="21"/>
      <c r="J79" s="21"/>
      <c r="K79" s="21"/>
      <c r="L79" s="3" t="str">
        <f t="array" ref="L79:S92">_xll.U.VSORT(B7:I20,V80:W84,(V87:V90,W87:W90),V93:V96,W93:W96)</f>
        <v>Symbol</v>
      </c>
      <c r="M79" s="3" t="str">
        <v>Broker</v>
      </c>
      <c r="N79" s="3" t="str">
        <v>Side</v>
      </c>
      <c r="O79" s="3" t="str">
        <v>Quantity</v>
      </c>
      <c r="P79" s="3" t="str">
        <v>Trade Price</v>
      </c>
      <c r="Q79" s="3" t="str">
        <v>Current Price</v>
      </c>
      <c r="R79" s="3" t="str">
        <v>P&amp;L</v>
      </c>
      <c r="S79" s="3" t="str">
        <v>Current Delta</v>
      </c>
      <c r="T79" s="21"/>
      <c r="U79" s="21"/>
      <c r="V79" s="9" t="s">
        <v>126</v>
      </c>
      <c r="W79" s="9" t="s">
        <v>198</v>
      </c>
      <c r="X79" s="21"/>
      <c r="Y79" s="21"/>
      <c r="Z79" s="21"/>
      <c r="AA79" s="21"/>
      <c r="AB79" s="21"/>
      <c r="AC79" s="20"/>
    </row>
    <row r="80" spans="1:29" x14ac:dyDescent="0.3">
      <c r="A80" s="18"/>
      <c r="B80" s="21"/>
      <c r="C80" s="21"/>
      <c r="D80" s="21"/>
      <c r="E80" s="21"/>
      <c r="F80" s="21"/>
      <c r="G80" s="21"/>
      <c r="H80" s="21"/>
      <c r="I80" s="21"/>
      <c r="J80" s="21"/>
      <c r="K80" s="21"/>
      <c r="L80" s="30" t="str">
        <v>AAPL</v>
      </c>
      <c r="M80" s="30" t="str">
        <v>Tom</v>
      </c>
      <c r="N80" s="30" t="str">
        <v>B</v>
      </c>
      <c r="O80" s="36">
        <v>700</v>
      </c>
      <c r="P80" s="35">
        <v>142.02000000000001</v>
      </c>
      <c r="Q80" s="35">
        <v>141.97</v>
      </c>
      <c r="R80" s="66">
        <v>-35.000000000007958</v>
      </c>
      <c r="S80" s="36">
        <v>1500</v>
      </c>
      <c r="T80" s="21"/>
      <c r="U80" s="21"/>
      <c r="V80" s="79" t="s">
        <v>101</v>
      </c>
      <c r="W80" s="79">
        <v>0</v>
      </c>
      <c r="X80" s="21"/>
      <c r="Y80" s="21"/>
      <c r="Z80" s="21"/>
      <c r="AA80" s="21"/>
      <c r="AB80" s="21"/>
      <c r="AC80" s="20"/>
    </row>
    <row r="81" spans="1:29" x14ac:dyDescent="0.3">
      <c r="A81" s="18"/>
      <c r="B81" s="21"/>
      <c r="C81" s="21"/>
      <c r="D81" s="21"/>
      <c r="E81" s="21"/>
      <c r="F81" s="21"/>
      <c r="G81" s="21"/>
      <c r="H81" s="21"/>
      <c r="I81" s="21"/>
      <c r="J81" s="21"/>
      <c r="K81" s="21"/>
      <c r="L81" s="30" t="str">
        <v>AAPL</v>
      </c>
      <c r="M81" s="30" t="str">
        <v>Tom</v>
      </c>
      <c r="N81" s="30" t="str">
        <v>B</v>
      </c>
      <c r="O81" s="36">
        <v>1500</v>
      </c>
      <c r="P81" s="35">
        <v>141.97999999999999</v>
      </c>
      <c r="Q81" s="35">
        <v>141.97</v>
      </c>
      <c r="R81" s="66">
        <v>-14.999999999986358</v>
      </c>
      <c r="S81" s="36">
        <v>600</v>
      </c>
      <c r="T81" s="21"/>
      <c r="U81" s="21"/>
      <c r="V81" s="79" t="s">
        <v>2</v>
      </c>
      <c r="W81" s="79">
        <v>0</v>
      </c>
      <c r="X81" s="21"/>
      <c r="Y81" s="21"/>
      <c r="Z81" s="21"/>
      <c r="AA81" s="21"/>
      <c r="AB81" s="21"/>
      <c r="AC81" s="20"/>
    </row>
    <row r="82" spans="1:29" x14ac:dyDescent="0.3">
      <c r="A82" s="18"/>
      <c r="B82" s="21"/>
      <c r="C82" s="21"/>
      <c r="D82" s="21"/>
      <c r="E82" s="21"/>
      <c r="F82" s="21"/>
      <c r="G82" s="21"/>
      <c r="H82" s="21"/>
      <c r="I82" s="21"/>
      <c r="J82" s="21"/>
      <c r="K82" s="21"/>
      <c r="L82" s="30" t="str">
        <v>IBM</v>
      </c>
      <c r="M82" s="30" t="str">
        <v>Sally</v>
      </c>
      <c r="N82" s="30" t="str">
        <v>S</v>
      </c>
      <c r="O82" s="36">
        <v>-3000</v>
      </c>
      <c r="P82" s="35">
        <v>159.49</v>
      </c>
      <c r="Q82" s="35">
        <v>159.37</v>
      </c>
      <c r="R82" s="66">
        <v>360.00000000001364</v>
      </c>
      <c r="S82" s="36">
        <v>-3000</v>
      </c>
      <c r="T82" s="21"/>
      <c r="U82" s="21"/>
      <c r="V82" s="79" t="s">
        <v>111</v>
      </c>
      <c r="W82" s="79" t="s">
        <v>1733</v>
      </c>
      <c r="X82" s="21"/>
      <c r="Y82" s="21"/>
      <c r="Z82" s="21"/>
      <c r="AA82" s="21"/>
      <c r="AB82" s="21"/>
      <c r="AC82" s="20"/>
    </row>
    <row r="83" spans="1:29" x14ac:dyDescent="0.3">
      <c r="A83" s="18"/>
      <c r="B83" s="21"/>
      <c r="C83" s="21"/>
      <c r="D83" s="21"/>
      <c r="E83" s="21"/>
      <c r="F83" s="21"/>
      <c r="G83" s="21"/>
      <c r="H83" s="21"/>
      <c r="I83" s="21"/>
      <c r="J83" s="21"/>
      <c r="K83" s="21"/>
      <c r="L83" s="30" t="str">
        <v>IBM</v>
      </c>
      <c r="M83" s="30" t="str">
        <v>Sally</v>
      </c>
      <c r="N83" s="30" t="str">
        <v>B</v>
      </c>
      <c r="O83" s="36">
        <v>100</v>
      </c>
      <c r="P83" s="35">
        <v>159.4</v>
      </c>
      <c r="Q83" s="35">
        <v>159.37</v>
      </c>
      <c r="R83" s="66">
        <v>-3.0000000000001137</v>
      </c>
      <c r="S83" s="36">
        <v>100</v>
      </c>
      <c r="T83" s="21"/>
      <c r="U83" s="21"/>
      <c r="V83" s="79" t="s">
        <v>62</v>
      </c>
      <c r="W83" s="79" t="s">
        <v>1733</v>
      </c>
      <c r="X83" s="21"/>
      <c r="Y83" s="21"/>
      <c r="Z83" s="21"/>
      <c r="AA83" s="21"/>
      <c r="AB83" s="21"/>
      <c r="AC83" s="20"/>
    </row>
    <row r="84" spans="1:29" x14ac:dyDescent="0.3">
      <c r="A84" s="18"/>
      <c r="B84" s="21"/>
      <c r="C84" s="21"/>
      <c r="D84" s="21"/>
      <c r="E84" s="21"/>
      <c r="F84" s="21"/>
      <c r="G84" s="21"/>
      <c r="H84" s="21"/>
      <c r="I84" s="21"/>
      <c r="J84" s="21"/>
      <c r="K84" s="21"/>
      <c r="L84" s="30" t="str">
        <v>AAPL</v>
      </c>
      <c r="M84" s="30" t="str">
        <v>Sally</v>
      </c>
      <c r="N84" s="30" t="str">
        <v>B</v>
      </c>
      <c r="O84" s="36">
        <v>100</v>
      </c>
      <c r="P84" s="35">
        <v>142.02000000000001</v>
      </c>
      <c r="Q84" s="35">
        <v>141.97</v>
      </c>
      <c r="R84" s="66">
        <v>-5.0000000000011369</v>
      </c>
      <c r="S84" s="36">
        <v>100</v>
      </c>
      <c r="T84" s="21"/>
      <c r="U84" s="21"/>
      <c r="V84" s="79"/>
      <c r="W84" s="79"/>
      <c r="X84" s="21"/>
      <c r="Y84" s="21"/>
      <c r="Z84" s="21"/>
      <c r="AA84" s="21"/>
      <c r="AB84" s="21"/>
      <c r="AC84" s="20"/>
    </row>
    <row r="85" spans="1:29" x14ac:dyDescent="0.3">
      <c r="A85" s="18"/>
      <c r="B85" s="21"/>
      <c r="C85" s="21"/>
      <c r="D85" s="21"/>
      <c r="E85" s="21"/>
      <c r="F85" s="21"/>
      <c r="G85" s="21"/>
      <c r="H85" s="21"/>
      <c r="I85" s="21"/>
      <c r="J85" s="21"/>
      <c r="K85" s="21"/>
      <c r="L85" s="30" t="str">
        <v>IBM Jun17 160C</v>
      </c>
      <c r="M85" s="30" t="str">
        <v>Bob</v>
      </c>
      <c r="N85" s="30" t="str">
        <v>S</v>
      </c>
      <c r="O85" s="36">
        <v>-10</v>
      </c>
      <c r="P85" s="35">
        <v>2.62</v>
      </c>
      <c r="Q85" s="35">
        <v>2.6</v>
      </c>
      <c r="R85" s="66">
        <v>20.000000000000018</v>
      </c>
      <c r="S85" s="36">
        <v>-575.79999999999995</v>
      </c>
      <c r="T85" s="21"/>
      <c r="U85" s="21"/>
      <c r="V85" s="21"/>
      <c r="W85" s="21"/>
      <c r="X85" s="21"/>
      <c r="Y85" s="21"/>
      <c r="Z85" s="21"/>
      <c r="AA85" s="21"/>
      <c r="AB85" s="21"/>
      <c r="AC85" s="20"/>
    </row>
    <row r="86" spans="1:29" x14ac:dyDescent="0.3">
      <c r="A86" s="18"/>
      <c r="B86" s="21"/>
      <c r="C86" s="21"/>
      <c r="D86" s="21"/>
      <c r="E86" s="21"/>
      <c r="F86" s="21"/>
      <c r="G86" s="21"/>
      <c r="H86" s="21"/>
      <c r="I86" s="21"/>
      <c r="J86" s="21"/>
      <c r="K86" s="21"/>
      <c r="L86" s="30" t="str">
        <v>IBM Jun17 160C</v>
      </c>
      <c r="M86" s="30" t="str">
        <v>Bob</v>
      </c>
      <c r="N86" s="30" t="str">
        <v>S</v>
      </c>
      <c r="O86" s="36">
        <v>-40</v>
      </c>
      <c r="P86" s="35">
        <v>2.61</v>
      </c>
      <c r="Q86" s="35">
        <v>2.6</v>
      </c>
      <c r="R86" s="66">
        <v>39.999999999999147</v>
      </c>
      <c r="S86" s="36">
        <v>-2303.1999999999998</v>
      </c>
      <c r="T86" s="21"/>
      <c r="U86" s="21"/>
      <c r="V86" s="9" t="s">
        <v>204</v>
      </c>
      <c r="W86" s="9" t="s">
        <v>202</v>
      </c>
      <c r="X86" s="21"/>
      <c r="Y86" s="21"/>
      <c r="Z86" s="21"/>
      <c r="AA86" s="21"/>
      <c r="AB86" s="21"/>
      <c r="AC86" s="20"/>
    </row>
    <row r="87" spans="1:29" x14ac:dyDescent="0.3">
      <c r="A87" s="18"/>
      <c r="B87" s="21"/>
      <c r="C87" s="21"/>
      <c r="D87" s="21"/>
      <c r="E87" s="21"/>
      <c r="F87" s="21"/>
      <c r="G87" s="21"/>
      <c r="H87" s="21"/>
      <c r="I87" s="21"/>
      <c r="J87" s="21"/>
      <c r="K87" s="21"/>
      <c r="L87" s="30" t="str">
        <v>IBM Jun17 160C</v>
      </c>
      <c r="M87" s="30" t="str">
        <v>Bob</v>
      </c>
      <c r="N87" s="30" t="str">
        <v>B</v>
      </c>
      <c r="O87" s="36">
        <v>50</v>
      </c>
      <c r="P87" s="35">
        <v>2.65</v>
      </c>
      <c r="Q87" s="35">
        <v>2.6</v>
      </c>
      <c r="R87" s="66">
        <v>-249.99999999999912</v>
      </c>
      <c r="S87" s="36">
        <v>2879</v>
      </c>
      <c r="T87" s="21"/>
      <c r="U87" s="21"/>
      <c r="V87" s="79" t="s">
        <v>161</v>
      </c>
      <c r="W87" s="79" t="s">
        <v>210</v>
      </c>
      <c r="X87" s="21"/>
      <c r="Y87" s="21"/>
      <c r="Z87" s="21"/>
      <c r="AA87" s="21"/>
      <c r="AB87" s="21"/>
      <c r="AC87" s="20"/>
    </row>
    <row r="88" spans="1:29" x14ac:dyDescent="0.3">
      <c r="A88" s="18"/>
      <c r="B88" s="21"/>
      <c r="C88" s="21"/>
      <c r="D88" s="21"/>
      <c r="E88" s="21"/>
      <c r="F88" s="21"/>
      <c r="G88" s="21"/>
      <c r="H88" s="21"/>
      <c r="I88" s="21"/>
      <c r="J88" s="21"/>
      <c r="K88" s="21"/>
      <c r="L88" s="30" t="str">
        <v>IBM</v>
      </c>
      <c r="M88" s="30" t="str">
        <v>Bob</v>
      </c>
      <c r="N88" s="30" t="str">
        <v>B</v>
      </c>
      <c r="O88" s="36">
        <v>100</v>
      </c>
      <c r="P88" s="35">
        <v>159.4</v>
      </c>
      <c r="Q88" s="35">
        <v>159.37</v>
      </c>
      <c r="R88" s="66">
        <v>-3.0000000000001137</v>
      </c>
      <c r="S88" s="36">
        <v>100</v>
      </c>
      <c r="T88" s="21"/>
      <c r="U88" s="21"/>
      <c r="V88" s="79" t="s">
        <v>209</v>
      </c>
      <c r="W88" s="79" t="s">
        <v>208</v>
      </c>
      <c r="X88" s="21"/>
      <c r="Y88" s="21"/>
      <c r="Z88" s="21"/>
      <c r="AA88" s="21"/>
      <c r="AB88" s="21"/>
      <c r="AC88" s="20"/>
    </row>
    <row r="89" spans="1:29" x14ac:dyDescent="0.3">
      <c r="A89" s="18"/>
      <c r="B89" s="21"/>
      <c r="C89" s="21"/>
      <c r="D89" s="21"/>
      <c r="E89" s="21"/>
      <c r="F89" s="21"/>
      <c r="G89" s="21"/>
      <c r="H89" s="21"/>
      <c r="I89" s="21"/>
      <c r="J89" s="21"/>
      <c r="K89" s="21"/>
      <c r="L89" s="30" t="str">
        <v>AAPL Jun17 140P</v>
      </c>
      <c r="M89" s="30" t="str">
        <v>Bob</v>
      </c>
      <c r="N89" s="30" t="str">
        <v>B</v>
      </c>
      <c r="O89" s="36">
        <v>100</v>
      </c>
      <c r="P89" s="35">
        <v>4.3</v>
      </c>
      <c r="Q89" s="35">
        <v>4.3099999999999996</v>
      </c>
      <c r="R89" s="66">
        <v>99.999999999997868</v>
      </c>
      <c r="S89" s="36">
        <v>-3215</v>
      </c>
      <c r="T89" s="21"/>
      <c r="U89" s="21"/>
      <c r="V89" s="79" t="s">
        <v>199</v>
      </c>
      <c r="W89" s="79"/>
      <c r="X89" s="21"/>
      <c r="Y89" s="21"/>
      <c r="Z89" s="21"/>
      <c r="AA89" s="21"/>
      <c r="AB89" s="21"/>
      <c r="AC89" s="20"/>
    </row>
    <row r="90" spans="1:29" x14ac:dyDescent="0.3">
      <c r="A90" s="18"/>
      <c r="B90" s="21"/>
      <c r="C90" s="21"/>
      <c r="D90" s="21"/>
      <c r="E90" s="21"/>
      <c r="F90" s="21"/>
      <c r="G90" s="21"/>
      <c r="H90" s="21"/>
      <c r="I90" s="21"/>
      <c r="J90" s="21"/>
      <c r="K90" s="21"/>
      <c r="L90" s="30" t="str">
        <v>AAPL</v>
      </c>
      <c r="M90" s="30" t="str">
        <v>Bob</v>
      </c>
      <c r="N90" s="30" t="str">
        <v>B</v>
      </c>
      <c r="O90" s="36">
        <v>300</v>
      </c>
      <c r="P90" s="35">
        <v>142.02000000000001</v>
      </c>
      <c r="Q90" s="35">
        <v>141.97</v>
      </c>
      <c r="R90" s="66">
        <v>-15.000000000003411</v>
      </c>
      <c r="S90" s="36">
        <v>300</v>
      </c>
      <c r="T90" s="21"/>
      <c r="U90" s="21"/>
      <c r="V90" s="79"/>
      <c r="W90" s="79"/>
      <c r="X90" s="21"/>
      <c r="Y90" s="21"/>
      <c r="Z90" s="21"/>
      <c r="AA90" s="21"/>
      <c r="AB90" s="21"/>
      <c r="AC90" s="20"/>
    </row>
    <row r="91" spans="1:29" x14ac:dyDescent="0.3">
      <c r="A91" s="18"/>
      <c r="B91" s="21"/>
      <c r="C91" s="21"/>
      <c r="D91" s="21"/>
      <c r="E91" s="21"/>
      <c r="F91" s="21"/>
      <c r="G91" s="21"/>
      <c r="H91" s="21"/>
      <c r="I91" s="21"/>
      <c r="J91" s="21"/>
      <c r="K91" s="21"/>
      <c r="L91" s="30" t="str">
        <v/>
      </c>
      <c r="M91" s="30" t="str">
        <v/>
      </c>
      <c r="N91" s="30" t="str">
        <v/>
      </c>
      <c r="O91" s="36" t="str">
        <v/>
      </c>
      <c r="P91" s="35" t="str">
        <v/>
      </c>
      <c r="Q91" s="35" t="str">
        <v/>
      </c>
      <c r="R91" s="66" t="str">
        <v/>
      </c>
      <c r="S91" s="36" t="str">
        <v/>
      </c>
      <c r="T91" s="21"/>
      <c r="U91" s="21"/>
      <c r="V91" s="21"/>
      <c r="W91" s="21"/>
      <c r="X91" s="21"/>
      <c r="Y91" s="21"/>
      <c r="Z91" s="21"/>
      <c r="AA91" s="21"/>
      <c r="AB91" s="21"/>
      <c r="AC91" s="20"/>
    </row>
    <row r="92" spans="1:29" x14ac:dyDescent="0.3">
      <c r="A92" s="18"/>
      <c r="B92" s="21"/>
      <c r="C92" s="21"/>
      <c r="D92" s="21"/>
      <c r="E92" s="21"/>
      <c r="F92" s="21"/>
      <c r="G92" s="21"/>
      <c r="H92" s="21"/>
      <c r="I92" s="21"/>
      <c r="J92" s="21"/>
      <c r="K92" s="21"/>
      <c r="L92" s="30" t="e">
        <v>#DIV/0!</v>
      </c>
      <c r="M92" s="30" t="e">
        <v>#DIV/0!</v>
      </c>
      <c r="N92" s="30" t="e">
        <v>#DIV/0!</v>
      </c>
      <c r="O92" s="36" t="e">
        <v>#DIV/0!</v>
      </c>
      <c r="P92" s="35" t="e">
        <v>#DIV/0!</v>
      </c>
      <c r="Q92" s="35" t="e">
        <v>#DIV/0!</v>
      </c>
      <c r="R92" s="66" t="e">
        <v>#DIV/0!</v>
      </c>
      <c r="S92" s="36" t="e">
        <v>#DIV/0!</v>
      </c>
      <c r="T92" s="21"/>
      <c r="U92" s="21"/>
      <c r="V92" s="9" t="s">
        <v>205</v>
      </c>
      <c r="W92" s="9" t="s">
        <v>206</v>
      </c>
      <c r="X92" s="21"/>
      <c r="Y92" s="21"/>
      <c r="Z92" s="21"/>
      <c r="AA92" s="21"/>
      <c r="AB92" s="21"/>
      <c r="AC92" s="20"/>
    </row>
    <row r="93" spans="1:29" x14ac:dyDescent="0.3">
      <c r="A93" s="18"/>
      <c r="B93" s="21"/>
      <c r="C93" s="21"/>
      <c r="D93" s="21"/>
      <c r="E93" s="21"/>
      <c r="F93" s="21"/>
      <c r="G93" s="21"/>
      <c r="H93" s="21"/>
      <c r="I93" s="21"/>
      <c r="J93" s="21"/>
      <c r="K93" s="21"/>
      <c r="L93" s="21"/>
      <c r="M93" s="21"/>
      <c r="N93" s="21"/>
      <c r="O93" s="21"/>
      <c r="P93" s="21"/>
      <c r="Q93" s="21"/>
      <c r="R93" s="21"/>
      <c r="S93" s="21"/>
      <c r="T93" s="21"/>
      <c r="U93" s="21"/>
      <c r="V93" s="79" t="s">
        <v>127</v>
      </c>
      <c r="W93" s="79">
        <v>10</v>
      </c>
      <c r="X93" s="21"/>
      <c r="Y93" s="21"/>
      <c r="Z93" s="21"/>
      <c r="AA93" s="21"/>
      <c r="AB93" s="21"/>
      <c r="AC93" s="20"/>
    </row>
    <row r="94" spans="1:29" x14ac:dyDescent="0.3">
      <c r="A94" s="18"/>
      <c r="B94" s="21"/>
      <c r="C94" s="21"/>
      <c r="D94" s="21"/>
      <c r="E94" s="21"/>
      <c r="F94" s="21"/>
      <c r="G94" s="21"/>
      <c r="H94" s="21"/>
      <c r="I94" s="21"/>
      <c r="J94" s="21"/>
      <c r="K94" s="21"/>
      <c r="L94" s="21"/>
      <c r="M94" s="21"/>
      <c r="N94" s="21"/>
      <c r="O94" s="21"/>
      <c r="P94" s="21"/>
      <c r="Q94" s="21"/>
      <c r="R94" s="21"/>
      <c r="S94" s="21"/>
      <c r="T94" s="21"/>
      <c r="U94" s="21"/>
      <c r="V94" s="79" t="s">
        <v>207</v>
      </c>
      <c r="W94" s="79" t="s">
        <v>208</v>
      </c>
      <c r="X94" s="21"/>
      <c r="Y94" s="21"/>
      <c r="Z94" s="21"/>
      <c r="AA94" s="21"/>
      <c r="AB94" s="21"/>
      <c r="AC94" s="20"/>
    </row>
    <row r="95" spans="1:29" x14ac:dyDescent="0.3">
      <c r="A95" s="18"/>
      <c r="B95" s="21"/>
      <c r="C95" s="21"/>
      <c r="D95" s="21"/>
      <c r="E95" s="21"/>
      <c r="F95" s="21"/>
      <c r="G95" s="21"/>
      <c r="H95" s="21"/>
      <c r="I95" s="21"/>
      <c r="J95" s="21"/>
      <c r="K95" s="21"/>
      <c r="L95" s="21"/>
      <c r="M95" s="21"/>
      <c r="N95" s="21"/>
      <c r="O95" s="21"/>
      <c r="P95" s="21"/>
      <c r="Q95" s="21"/>
      <c r="R95" s="21"/>
      <c r="S95" s="21"/>
      <c r="T95" s="21"/>
      <c r="U95" s="21"/>
      <c r="V95" s="79"/>
      <c r="W95" s="79"/>
      <c r="X95" s="21"/>
      <c r="Y95" s="21"/>
      <c r="Z95" s="21"/>
      <c r="AA95" s="21"/>
      <c r="AB95" s="21"/>
      <c r="AC95" s="20"/>
    </row>
    <row r="96" spans="1:29" x14ac:dyDescent="0.3">
      <c r="A96" s="18"/>
      <c r="B96" s="21"/>
      <c r="C96" s="21"/>
      <c r="D96" s="21"/>
      <c r="E96" s="21"/>
      <c r="F96" s="21"/>
      <c r="G96" s="21"/>
      <c r="H96" s="21"/>
      <c r="I96" s="21"/>
      <c r="J96" s="21"/>
      <c r="K96" s="21"/>
      <c r="L96" s="21"/>
      <c r="M96" s="21"/>
      <c r="N96" s="21"/>
      <c r="O96" s="21"/>
      <c r="P96" s="21"/>
      <c r="Q96" s="21"/>
      <c r="R96" s="21"/>
      <c r="S96" s="21"/>
      <c r="T96" s="21"/>
      <c r="U96" s="21"/>
      <c r="V96" s="79"/>
      <c r="W96" s="79"/>
      <c r="X96" s="21"/>
      <c r="Y96" s="21"/>
      <c r="Z96" s="21"/>
      <c r="AA96" s="21"/>
      <c r="AB96" s="21"/>
      <c r="AC96" s="20"/>
    </row>
    <row r="97" spans="1:29" x14ac:dyDescent="0.3">
      <c r="A97" s="18"/>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0"/>
    </row>
    <row r="98" spans="1:29" x14ac:dyDescent="0.3">
      <c r="A98" s="18"/>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0"/>
    </row>
    <row r="99" spans="1:29" x14ac:dyDescent="0.3">
      <c r="A99" s="18"/>
      <c r="B99" s="21"/>
      <c r="C99" s="21"/>
      <c r="D99" s="21"/>
      <c r="E99" s="21"/>
      <c r="F99" s="21"/>
      <c r="G99" s="21"/>
      <c r="H99" s="21"/>
      <c r="I99" s="21"/>
      <c r="J99" s="21"/>
      <c r="K99" s="21"/>
      <c r="L99" s="67"/>
      <c r="M99" s="67"/>
      <c r="N99" s="67"/>
      <c r="O99" s="67"/>
      <c r="P99" s="67"/>
      <c r="Q99" s="67"/>
      <c r="R99" s="67"/>
      <c r="S99" s="67"/>
      <c r="T99" s="67"/>
      <c r="U99" s="67"/>
      <c r="V99" s="67"/>
      <c r="W99" s="67"/>
      <c r="X99" s="67"/>
      <c r="Y99" s="67"/>
      <c r="Z99" s="67"/>
      <c r="AA99" s="67"/>
      <c r="AB99" s="21"/>
      <c r="AC99" s="20"/>
    </row>
    <row r="100" spans="1:29" x14ac:dyDescent="0.3">
      <c r="A100" s="18"/>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0"/>
    </row>
    <row r="101" spans="1:29" x14ac:dyDescent="0.3">
      <c r="A101" s="18"/>
      <c r="B101" s="21"/>
      <c r="C101" s="21"/>
      <c r="D101" s="21"/>
      <c r="E101" s="21"/>
      <c r="F101" s="21"/>
      <c r="G101" s="21"/>
      <c r="H101" s="21"/>
      <c r="I101" s="21"/>
      <c r="J101" s="21"/>
      <c r="K101" s="21"/>
      <c r="L101" s="492" t="s">
        <v>3404</v>
      </c>
      <c r="M101" s="529"/>
      <c r="N101" s="529"/>
      <c r="O101" s="529"/>
      <c r="P101" s="529"/>
      <c r="Q101" s="529"/>
      <c r="R101" s="529"/>
      <c r="S101" s="493"/>
      <c r="T101" s="21"/>
      <c r="U101" s="21"/>
      <c r="V101" s="475" t="s">
        <v>197</v>
      </c>
      <c r="W101" s="475"/>
      <c r="X101" s="21"/>
      <c r="Y101" s="21"/>
      <c r="Z101" s="21"/>
      <c r="AA101" s="21"/>
      <c r="AB101" s="21"/>
      <c r="AC101" s="20"/>
    </row>
    <row r="102" spans="1:29" x14ac:dyDescent="0.3">
      <c r="A102" s="18"/>
      <c r="B102" s="21"/>
      <c r="C102" s="21"/>
      <c r="D102" s="21"/>
      <c r="E102" s="21"/>
      <c r="F102" s="21"/>
      <c r="G102" s="21"/>
      <c r="H102" s="21"/>
      <c r="I102" s="21"/>
      <c r="J102" s="21"/>
      <c r="K102" s="21"/>
      <c r="L102" s="3" t="str">
        <f t="array" ref="L102:S115">_xll.U.VSORT(B7:I20,V103:W104)</f>
        <v>Symbol</v>
      </c>
      <c r="M102" s="3" t="str">
        <v>Broker</v>
      </c>
      <c r="N102" s="3" t="str">
        <v>Side</v>
      </c>
      <c r="O102" s="3" t="str">
        <v>Quantity</v>
      </c>
      <c r="P102" s="3" t="str">
        <v>Trade Price</v>
      </c>
      <c r="Q102" s="3" t="str">
        <v>Current Price</v>
      </c>
      <c r="R102" s="3" t="str">
        <v>P&amp;L</v>
      </c>
      <c r="S102" s="3" t="str">
        <v>Current Delta</v>
      </c>
      <c r="T102" s="21"/>
      <c r="U102" s="21"/>
      <c r="V102" s="9" t="s">
        <v>126</v>
      </c>
      <c r="W102" s="9" t="s">
        <v>198</v>
      </c>
      <c r="X102" s="21"/>
      <c r="Y102" s="21"/>
      <c r="Z102" s="21"/>
      <c r="AA102" s="21"/>
      <c r="AB102" s="21"/>
      <c r="AC102" s="20"/>
    </row>
    <row r="103" spans="1:29" x14ac:dyDescent="0.3">
      <c r="A103" s="18"/>
      <c r="B103" s="21"/>
      <c r="C103" s="21"/>
      <c r="D103" s="21"/>
      <c r="E103" s="21"/>
      <c r="F103" s="21"/>
      <c r="G103" s="21"/>
      <c r="H103" s="21"/>
      <c r="I103" s="21"/>
      <c r="J103" s="21"/>
      <c r="K103" s="21"/>
      <c r="L103" s="30" t="str">
        <v>AAPL</v>
      </c>
      <c r="M103" s="30" t="str">
        <v>Tom</v>
      </c>
      <c r="N103" s="30" t="str">
        <v>B</v>
      </c>
      <c r="O103" s="36">
        <v>700</v>
      </c>
      <c r="P103" s="35">
        <v>142.02000000000001</v>
      </c>
      <c r="Q103" s="35">
        <v>141.97</v>
      </c>
      <c r="R103" s="66">
        <v>-35.000000000007958</v>
      </c>
      <c r="S103" s="36">
        <v>1500</v>
      </c>
      <c r="T103" s="21"/>
      <c r="U103" s="21"/>
      <c r="V103" s="79" t="s">
        <v>2</v>
      </c>
      <c r="W103" s="79" t="s">
        <v>2783</v>
      </c>
      <c r="X103" s="21"/>
      <c r="Y103" s="21"/>
      <c r="Z103" s="21"/>
      <c r="AA103" s="21"/>
      <c r="AB103" s="21"/>
      <c r="AC103" s="20"/>
    </row>
    <row r="104" spans="1:29" x14ac:dyDescent="0.3">
      <c r="A104" s="18"/>
      <c r="B104" s="21"/>
      <c r="C104" s="21"/>
      <c r="D104" s="21"/>
      <c r="E104" s="21"/>
      <c r="F104" s="21"/>
      <c r="G104" s="21"/>
      <c r="H104" s="21"/>
      <c r="I104" s="21"/>
      <c r="J104" s="21"/>
      <c r="K104" s="21"/>
      <c r="L104" s="30" t="str">
        <v>AAPL</v>
      </c>
      <c r="M104" s="30" t="str">
        <v>Sally</v>
      </c>
      <c r="N104" s="30" t="str">
        <v>B</v>
      </c>
      <c r="O104" s="36">
        <v>100</v>
      </c>
      <c r="P104" s="35">
        <v>142.02000000000001</v>
      </c>
      <c r="Q104" s="35">
        <v>141.97</v>
      </c>
      <c r="R104" s="66">
        <v>-5.0000000000011369</v>
      </c>
      <c r="S104" s="36">
        <v>100</v>
      </c>
      <c r="T104" s="21"/>
      <c r="U104" s="21"/>
      <c r="V104" s="79" t="s">
        <v>2</v>
      </c>
      <c r="W104" s="79">
        <v>1</v>
      </c>
      <c r="X104" s="21"/>
      <c r="Y104" s="21"/>
      <c r="Z104" s="21"/>
      <c r="AA104" s="21"/>
      <c r="AB104" s="21"/>
      <c r="AC104" s="20"/>
    </row>
    <row r="105" spans="1:29" x14ac:dyDescent="0.3">
      <c r="A105" s="18"/>
      <c r="B105" s="21"/>
      <c r="C105" s="21"/>
      <c r="D105" s="21"/>
      <c r="E105" s="21"/>
      <c r="F105" s="21"/>
      <c r="G105" s="21"/>
      <c r="H105" s="21"/>
      <c r="I105" s="21"/>
      <c r="J105" s="21"/>
      <c r="K105" s="21"/>
      <c r="L105" s="30" t="str">
        <v>AAPL</v>
      </c>
      <c r="M105" s="30" t="str">
        <v>Bob</v>
      </c>
      <c r="N105" s="30" t="str">
        <v>B</v>
      </c>
      <c r="O105" s="36">
        <v>300</v>
      </c>
      <c r="P105" s="35">
        <v>142.02000000000001</v>
      </c>
      <c r="Q105" s="35">
        <v>141.97</v>
      </c>
      <c r="R105" s="66">
        <v>-15.000000000003411</v>
      </c>
      <c r="S105" s="36">
        <v>300</v>
      </c>
      <c r="T105" s="21"/>
      <c r="U105" s="21"/>
      <c r="V105" s="21"/>
      <c r="W105" s="21"/>
      <c r="X105" s="21"/>
      <c r="Y105" s="21"/>
      <c r="Z105" s="21"/>
      <c r="AA105" s="21"/>
      <c r="AB105" s="21"/>
      <c r="AC105" s="20"/>
    </row>
    <row r="106" spans="1:29" x14ac:dyDescent="0.3">
      <c r="A106" s="18"/>
      <c r="B106" s="21"/>
      <c r="C106" s="21"/>
      <c r="D106" s="21"/>
      <c r="E106" s="21"/>
      <c r="F106" s="21"/>
      <c r="G106" s="21"/>
      <c r="H106" s="21"/>
      <c r="I106" s="21"/>
      <c r="J106" s="21"/>
      <c r="K106" s="21"/>
      <c r="L106" s="30" t="str">
        <v>AAPL</v>
      </c>
      <c r="M106" s="30" t="str">
        <v>Tom</v>
      </c>
      <c r="N106" s="30" t="str">
        <v>B</v>
      </c>
      <c r="O106" s="36">
        <v>1500</v>
      </c>
      <c r="P106" s="35">
        <v>141.97999999999999</v>
      </c>
      <c r="Q106" s="35">
        <v>141.97</v>
      </c>
      <c r="R106" s="66">
        <v>-14.999999999986358</v>
      </c>
      <c r="S106" s="36">
        <v>600</v>
      </c>
      <c r="T106" s="21"/>
      <c r="U106" s="21"/>
      <c r="V106" s="21"/>
      <c r="W106" s="21"/>
      <c r="X106" s="21"/>
      <c r="Y106" s="21"/>
      <c r="Z106" s="21"/>
      <c r="AA106" s="21"/>
      <c r="AB106" s="21"/>
      <c r="AC106" s="20"/>
    </row>
    <row r="107" spans="1:29" x14ac:dyDescent="0.3">
      <c r="A107" s="18"/>
      <c r="B107" s="21"/>
      <c r="C107" s="21"/>
      <c r="D107" s="21"/>
      <c r="E107" s="21"/>
      <c r="F107" s="21"/>
      <c r="G107" s="21"/>
      <c r="H107" s="21"/>
      <c r="I107" s="21"/>
      <c r="J107" s="21"/>
      <c r="K107" s="21"/>
      <c r="L107" s="30" t="str">
        <v>IBM</v>
      </c>
      <c r="M107" s="30" t="str">
        <v>Sally</v>
      </c>
      <c r="N107" s="30" t="str">
        <v>S</v>
      </c>
      <c r="O107" s="36">
        <v>-3000</v>
      </c>
      <c r="P107" s="35">
        <v>159.49</v>
      </c>
      <c r="Q107" s="35">
        <v>159.37</v>
      </c>
      <c r="R107" s="66">
        <v>360.00000000001364</v>
      </c>
      <c r="S107" s="36">
        <v>-3000</v>
      </c>
      <c r="T107" s="21"/>
      <c r="U107" s="21"/>
      <c r="V107" s="21"/>
      <c r="W107" s="21"/>
      <c r="X107" s="21"/>
      <c r="Y107" s="21"/>
      <c r="Z107" s="21"/>
      <c r="AA107" s="21"/>
      <c r="AB107" s="21"/>
      <c r="AC107" s="20"/>
    </row>
    <row r="108" spans="1:29" x14ac:dyDescent="0.3">
      <c r="A108" s="18"/>
      <c r="B108" s="21"/>
      <c r="C108" s="21"/>
      <c r="D108" s="21"/>
      <c r="E108" s="21"/>
      <c r="F108" s="21"/>
      <c r="G108" s="21"/>
      <c r="H108" s="21"/>
      <c r="I108" s="21"/>
      <c r="J108" s="21"/>
      <c r="K108" s="21"/>
      <c r="L108" s="30" t="str">
        <v>IBM</v>
      </c>
      <c r="M108" s="30" t="str">
        <v>Sally</v>
      </c>
      <c r="N108" s="30" t="str">
        <v>B</v>
      </c>
      <c r="O108" s="36">
        <v>100</v>
      </c>
      <c r="P108" s="35">
        <v>159.4</v>
      </c>
      <c r="Q108" s="35">
        <v>159.37</v>
      </c>
      <c r="R108" s="66">
        <v>-3.0000000000001137</v>
      </c>
      <c r="S108" s="36">
        <v>100</v>
      </c>
      <c r="T108" s="21"/>
      <c r="U108" s="21"/>
      <c r="V108" s="21"/>
      <c r="W108" s="21"/>
      <c r="X108" s="21"/>
      <c r="Y108" s="21"/>
      <c r="Z108" s="21"/>
      <c r="AA108" s="21"/>
      <c r="AB108" s="21"/>
      <c r="AC108" s="20"/>
    </row>
    <row r="109" spans="1:29" x14ac:dyDescent="0.3">
      <c r="A109" s="18"/>
      <c r="B109" s="21"/>
      <c r="C109" s="21"/>
      <c r="D109" s="21"/>
      <c r="E109" s="21"/>
      <c r="F109" s="21"/>
      <c r="G109" s="21"/>
      <c r="H109" s="21"/>
      <c r="I109" s="21"/>
      <c r="J109" s="21"/>
      <c r="K109" s="21"/>
      <c r="L109" s="30" t="str">
        <v>IBM</v>
      </c>
      <c r="M109" s="30" t="str">
        <v>Bob</v>
      </c>
      <c r="N109" s="30" t="str">
        <v>B</v>
      </c>
      <c r="O109" s="36">
        <v>100</v>
      </c>
      <c r="P109" s="35">
        <v>159.4</v>
      </c>
      <c r="Q109" s="35">
        <v>159.37</v>
      </c>
      <c r="R109" s="66">
        <v>-3.0000000000001137</v>
      </c>
      <c r="S109" s="36">
        <v>100</v>
      </c>
      <c r="T109" s="21"/>
      <c r="U109" s="21"/>
      <c r="V109" s="21"/>
      <c r="W109" s="21"/>
      <c r="X109" s="21"/>
      <c r="Y109" s="21"/>
      <c r="Z109" s="21"/>
      <c r="AA109" s="21"/>
      <c r="AB109" s="21"/>
      <c r="AC109" s="20"/>
    </row>
    <row r="110" spans="1:29" x14ac:dyDescent="0.3">
      <c r="A110" s="18"/>
      <c r="B110" s="21"/>
      <c r="C110" s="21"/>
      <c r="D110" s="21"/>
      <c r="E110" s="21"/>
      <c r="F110" s="21"/>
      <c r="G110" s="21"/>
      <c r="H110" s="21"/>
      <c r="I110" s="21"/>
      <c r="J110" s="21"/>
      <c r="K110" s="21"/>
      <c r="L110" s="30" t="str">
        <v/>
      </c>
      <c r="M110" s="30" t="str">
        <v/>
      </c>
      <c r="N110" s="30" t="str">
        <v/>
      </c>
      <c r="O110" s="36" t="str">
        <v/>
      </c>
      <c r="P110" s="35" t="str">
        <v/>
      </c>
      <c r="Q110" s="35" t="str">
        <v/>
      </c>
      <c r="R110" s="66" t="str">
        <v/>
      </c>
      <c r="S110" s="36" t="str">
        <v/>
      </c>
      <c r="T110" s="21"/>
      <c r="U110" s="21"/>
      <c r="V110" s="21"/>
      <c r="W110" s="21"/>
      <c r="X110" s="21"/>
      <c r="Y110" s="21"/>
      <c r="Z110" s="21"/>
      <c r="AA110" s="21"/>
      <c r="AB110" s="21"/>
      <c r="AC110" s="20"/>
    </row>
    <row r="111" spans="1:29" x14ac:dyDescent="0.3">
      <c r="A111" s="18"/>
      <c r="B111" s="21"/>
      <c r="C111" s="21"/>
      <c r="D111" s="21"/>
      <c r="E111" s="21"/>
      <c r="F111" s="21"/>
      <c r="G111" s="21"/>
      <c r="H111" s="21"/>
      <c r="I111" s="21"/>
      <c r="J111" s="21"/>
      <c r="K111" s="21"/>
      <c r="L111" s="30" t="e">
        <v>#DIV/0!</v>
      </c>
      <c r="M111" s="30" t="e">
        <v>#DIV/0!</v>
      </c>
      <c r="N111" s="30" t="e">
        <v>#DIV/0!</v>
      </c>
      <c r="O111" s="36" t="e">
        <v>#DIV/0!</v>
      </c>
      <c r="P111" s="35" t="e">
        <v>#DIV/0!</v>
      </c>
      <c r="Q111" s="35" t="e">
        <v>#DIV/0!</v>
      </c>
      <c r="R111" s="66" t="e">
        <v>#DIV/0!</v>
      </c>
      <c r="S111" s="36" t="e">
        <v>#DIV/0!</v>
      </c>
      <c r="T111" s="21"/>
      <c r="U111" s="21"/>
      <c r="V111" s="21"/>
      <c r="W111" s="21"/>
      <c r="X111" s="21"/>
      <c r="Y111" s="21"/>
      <c r="Z111" s="21"/>
      <c r="AA111" s="21"/>
      <c r="AB111" s="21"/>
      <c r="AC111" s="20"/>
    </row>
    <row r="112" spans="1:29" x14ac:dyDescent="0.3">
      <c r="A112" s="18"/>
      <c r="B112" s="21"/>
      <c r="C112" s="21"/>
      <c r="D112" s="21"/>
      <c r="E112" s="21"/>
      <c r="F112" s="21"/>
      <c r="G112" s="21"/>
      <c r="H112" s="21"/>
      <c r="I112" s="21"/>
      <c r="J112" s="21"/>
      <c r="K112" s="21"/>
      <c r="L112" s="30" t="str">
        <v>AAPL Jun17 140P</v>
      </c>
      <c r="M112" s="30" t="str">
        <v>Bob</v>
      </c>
      <c r="N112" s="30" t="str">
        <v>B</v>
      </c>
      <c r="O112" s="36">
        <v>100</v>
      </c>
      <c r="P112" s="35">
        <v>4.3</v>
      </c>
      <c r="Q112" s="35">
        <v>4.3099999999999996</v>
      </c>
      <c r="R112" s="66">
        <v>99.999999999997868</v>
      </c>
      <c r="S112" s="36">
        <v>-3215</v>
      </c>
      <c r="T112" s="21"/>
      <c r="U112" s="21"/>
      <c r="V112" s="21"/>
      <c r="W112" s="21"/>
      <c r="X112" s="21"/>
      <c r="Y112" s="21"/>
      <c r="Z112" s="21"/>
      <c r="AA112" s="21"/>
      <c r="AB112" s="21"/>
      <c r="AC112" s="20"/>
    </row>
    <row r="113" spans="1:29" x14ac:dyDescent="0.3">
      <c r="A113" s="18"/>
      <c r="B113" s="21"/>
      <c r="C113" s="21"/>
      <c r="D113" s="21"/>
      <c r="E113" s="21"/>
      <c r="F113" s="21"/>
      <c r="G113" s="21"/>
      <c r="H113" s="21"/>
      <c r="I113" s="21"/>
      <c r="J113" s="21"/>
      <c r="K113" s="21"/>
      <c r="L113" s="30" t="str">
        <v>IBM Jun17 160C</v>
      </c>
      <c r="M113" s="30" t="str">
        <v>Bob</v>
      </c>
      <c r="N113" s="30" t="str">
        <v>B</v>
      </c>
      <c r="O113" s="36">
        <v>50</v>
      </c>
      <c r="P113" s="35">
        <v>2.65</v>
      </c>
      <c r="Q113" s="35">
        <v>2.6</v>
      </c>
      <c r="R113" s="66">
        <v>-249.99999999999912</v>
      </c>
      <c r="S113" s="36">
        <v>2879</v>
      </c>
      <c r="T113" s="21"/>
      <c r="U113" s="21"/>
      <c r="V113" s="21"/>
      <c r="W113" s="21"/>
      <c r="X113" s="21"/>
      <c r="Y113" s="21"/>
      <c r="Z113" s="21"/>
      <c r="AA113" s="21"/>
      <c r="AB113" s="21"/>
      <c r="AC113" s="20"/>
    </row>
    <row r="114" spans="1:29" x14ac:dyDescent="0.3">
      <c r="A114" s="18"/>
      <c r="B114" s="21"/>
      <c r="C114" s="21"/>
      <c r="D114" s="21"/>
      <c r="E114" s="21"/>
      <c r="F114" s="21"/>
      <c r="G114" s="21"/>
      <c r="H114" s="21"/>
      <c r="I114" s="21"/>
      <c r="J114" s="21"/>
      <c r="K114" s="21"/>
      <c r="L114" s="30" t="str">
        <v>IBM Jun17 160C</v>
      </c>
      <c r="M114" s="30" t="str">
        <v>Bob</v>
      </c>
      <c r="N114" s="30" t="str">
        <v>S</v>
      </c>
      <c r="O114" s="36">
        <v>-10</v>
      </c>
      <c r="P114" s="35">
        <v>2.62</v>
      </c>
      <c r="Q114" s="35">
        <v>2.6</v>
      </c>
      <c r="R114" s="66">
        <v>20.000000000000018</v>
      </c>
      <c r="S114" s="36">
        <v>-575.79999999999995</v>
      </c>
      <c r="T114" s="21"/>
      <c r="U114" s="21"/>
      <c r="V114" s="21"/>
      <c r="W114" s="21"/>
      <c r="X114" s="21"/>
      <c r="Y114" s="21"/>
      <c r="Z114" s="21"/>
      <c r="AA114" s="21"/>
      <c r="AB114" s="21"/>
      <c r="AC114" s="20"/>
    </row>
    <row r="115" spans="1:29" x14ac:dyDescent="0.3">
      <c r="A115" s="18"/>
      <c r="B115" s="21"/>
      <c r="C115" s="21"/>
      <c r="D115" s="21"/>
      <c r="E115" s="21"/>
      <c r="F115" s="21"/>
      <c r="G115" s="21"/>
      <c r="H115" s="21"/>
      <c r="I115" s="21"/>
      <c r="J115" s="21"/>
      <c r="K115" s="21"/>
      <c r="L115" s="30" t="str">
        <v>IBM Jun17 160C</v>
      </c>
      <c r="M115" s="30" t="str">
        <v>Bob</v>
      </c>
      <c r="N115" s="30" t="str">
        <v>S</v>
      </c>
      <c r="O115" s="36">
        <v>-40</v>
      </c>
      <c r="P115" s="35">
        <v>2.61</v>
      </c>
      <c r="Q115" s="35">
        <v>2.6</v>
      </c>
      <c r="R115" s="66">
        <v>39.999999999999147</v>
      </c>
      <c r="S115" s="36">
        <v>-2303.1999999999998</v>
      </c>
      <c r="T115" s="21"/>
      <c r="U115" s="21"/>
      <c r="V115" s="21"/>
      <c r="W115" s="21"/>
      <c r="X115" s="21"/>
      <c r="Y115" s="21"/>
      <c r="Z115" s="21"/>
      <c r="AA115" s="21"/>
      <c r="AB115" s="21"/>
      <c r="AC115" s="20"/>
    </row>
    <row r="116" spans="1:29" x14ac:dyDescent="0.3">
      <c r="A116" s="18"/>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0"/>
    </row>
    <row r="117" spans="1:29" x14ac:dyDescent="0.3">
      <c r="A117" s="18"/>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0"/>
    </row>
    <row r="118" spans="1:29" x14ac:dyDescent="0.3">
      <c r="A118" s="18"/>
      <c r="B118" s="21"/>
      <c r="C118" s="21"/>
      <c r="D118" s="21"/>
      <c r="E118" s="21"/>
      <c r="F118" s="21"/>
      <c r="G118" s="21"/>
      <c r="H118" s="21"/>
      <c r="I118" s="21"/>
      <c r="J118" s="21"/>
      <c r="K118" s="21"/>
      <c r="L118" s="67"/>
      <c r="M118" s="67"/>
      <c r="N118" s="67"/>
      <c r="O118" s="67"/>
      <c r="P118" s="67"/>
      <c r="Q118" s="67"/>
      <c r="R118" s="67"/>
      <c r="S118" s="67"/>
      <c r="T118" s="67"/>
      <c r="U118" s="67"/>
      <c r="V118" s="67"/>
      <c r="W118" s="67"/>
      <c r="X118" s="67"/>
      <c r="Y118" s="67"/>
      <c r="Z118" s="67"/>
      <c r="AA118" s="67"/>
      <c r="AB118" s="21"/>
      <c r="AC118" s="20"/>
    </row>
    <row r="119" spans="1:29" x14ac:dyDescent="0.3">
      <c r="A119" s="18"/>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0"/>
    </row>
    <row r="120" spans="1:29" x14ac:dyDescent="0.3">
      <c r="A120" s="18"/>
      <c r="B120" s="21"/>
      <c r="C120" s="21"/>
      <c r="D120" s="21"/>
      <c r="E120" s="21"/>
      <c r="F120" s="21"/>
      <c r="G120" s="21"/>
      <c r="H120" s="21"/>
      <c r="I120" s="21"/>
      <c r="J120" s="21"/>
      <c r="K120" s="21"/>
      <c r="L120" s="492" t="s">
        <v>3404</v>
      </c>
      <c r="M120" s="529"/>
      <c r="N120" s="529"/>
      <c r="O120" s="529"/>
      <c r="P120" s="529"/>
      <c r="Q120" s="529"/>
      <c r="R120" s="529"/>
      <c r="S120" s="493"/>
      <c r="T120" s="21"/>
      <c r="U120" s="21"/>
      <c r="V120" s="21"/>
      <c r="W120" s="21"/>
      <c r="X120" s="21"/>
      <c r="Y120" s="21"/>
      <c r="Z120" s="21"/>
      <c r="AA120" s="21"/>
      <c r="AB120" s="21"/>
      <c r="AC120" s="20"/>
    </row>
    <row r="121" spans="1:29" x14ac:dyDescent="0.3">
      <c r="A121" s="18"/>
      <c r="B121" s="21"/>
      <c r="C121" s="21"/>
      <c r="D121" s="21"/>
      <c r="E121" s="21"/>
      <c r="F121" s="21"/>
      <c r="G121" s="21"/>
      <c r="H121" s="21"/>
      <c r="I121" s="21"/>
      <c r="J121" s="21"/>
      <c r="K121" s="21"/>
      <c r="L121" s="3" t="str">
        <f t="array" ref="L121:S134">_xll.U.VSORT(B7:I20)</f>
        <v>AAPL</v>
      </c>
      <c r="M121" s="3" t="str">
        <v>Tom</v>
      </c>
      <c r="N121" s="3" t="str">
        <v>B</v>
      </c>
      <c r="O121" s="3">
        <v>700</v>
      </c>
      <c r="P121" s="3">
        <v>142.02000000000001</v>
      </c>
      <c r="Q121" s="3">
        <v>141.97</v>
      </c>
      <c r="R121" s="3">
        <v>-35.000000000007958</v>
      </c>
      <c r="S121" s="3">
        <v>1500</v>
      </c>
      <c r="T121" s="21"/>
      <c r="U121" s="21"/>
      <c r="V121" s="21"/>
      <c r="W121" s="21"/>
      <c r="X121" s="21"/>
      <c r="Y121" s="21"/>
      <c r="Z121" s="21"/>
      <c r="AA121" s="21"/>
      <c r="AB121" s="21"/>
      <c r="AC121" s="20"/>
    </row>
    <row r="122" spans="1:29" x14ac:dyDescent="0.3">
      <c r="A122" s="18"/>
      <c r="B122" s="21"/>
      <c r="C122" s="21"/>
      <c r="D122" s="21"/>
      <c r="E122" s="21"/>
      <c r="F122" s="21"/>
      <c r="G122" s="21"/>
      <c r="H122" s="21"/>
      <c r="I122" s="21"/>
      <c r="J122" s="21"/>
      <c r="K122" s="21"/>
      <c r="L122" s="30" t="str">
        <v>AAPL</v>
      </c>
      <c r="M122" s="30" t="str">
        <v>Sally</v>
      </c>
      <c r="N122" s="30" t="str">
        <v>B</v>
      </c>
      <c r="O122" s="36">
        <v>100</v>
      </c>
      <c r="P122" s="35">
        <v>142.02000000000001</v>
      </c>
      <c r="Q122" s="35">
        <v>141.97</v>
      </c>
      <c r="R122" s="66">
        <v>-5.0000000000011369</v>
      </c>
      <c r="S122" s="36">
        <v>100</v>
      </c>
      <c r="T122" s="21"/>
      <c r="U122" s="21"/>
      <c r="V122" s="21"/>
      <c r="W122" s="21"/>
      <c r="X122" s="21"/>
      <c r="Y122" s="21"/>
      <c r="Z122" s="21"/>
      <c r="AA122" s="21"/>
      <c r="AB122" s="21"/>
      <c r="AC122" s="20"/>
    </row>
    <row r="123" spans="1:29" x14ac:dyDescent="0.3">
      <c r="A123" s="18"/>
      <c r="B123" s="21"/>
      <c r="C123" s="21"/>
      <c r="D123" s="21"/>
      <c r="E123" s="21"/>
      <c r="F123" s="21"/>
      <c r="G123" s="21"/>
      <c r="H123" s="21"/>
      <c r="I123" s="21"/>
      <c r="J123" s="21"/>
      <c r="K123" s="21"/>
      <c r="L123" s="30" t="str">
        <v>AAPL</v>
      </c>
      <c r="M123" s="30" t="str">
        <v>Bob</v>
      </c>
      <c r="N123" s="30" t="str">
        <v>B</v>
      </c>
      <c r="O123" s="36">
        <v>300</v>
      </c>
      <c r="P123" s="35">
        <v>142.02000000000001</v>
      </c>
      <c r="Q123" s="35">
        <v>141.97</v>
      </c>
      <c r="R123" s="66">
        <v>-15.000000000003411</v>
      </c>
      <c r="S123" s="36">
        <v>300</v>
      </c>
      <c r="T123" s="21"/>
      <c r="U123" s="21"/>
      <c r="V123" s="21"/>
      <c r="W123" s="21"/>
      <c r="X123" s="21"/>
      <c r="Y123" s="21"/>
      <c r="Z123" s="21"/>
      <c r="AA123" s="21"/>
      <c r="AB123" s="21"/>
      <c r="AC123" s="20"/>
    </row>
    <row r="124" spans="1:29" x14ac:dyDescent="0.3">
      <c r="A124" s="18"/>
      <c r="B124" s="21"/>
      <c r="C124" s="21"/>
      <c r="D124" s="21"/>
      <c r="E124" s="21"/>
      <c r="F124" s="21"/>
      <c r="G124" s="21"/>
      <c r="H124" s="21"/>
      <c r="I124" s="21"/>
      <c r="J124" s="21"/>
      <c r="K124" s="21"/>
      <c r="L124" s="30" t="str">
        <v>AAPL</v>
      </c>
      <c r="M124" s="30" t="str">
        <v>Tom</v>
      </c>
      <c r="N124" s="30" t="str">
        <v>B</v>
      </c>
      <c r="O124" s="36">
        <v>1500</v>
      </c>
      <c r="P124" s="35">
        <v>141.97999999999999</v>
      </c>
      <c r="Q124" s="35">
        <v>141.97</v>
      </c>
      <c r="R124" s="66">
        <v>-14.999999999986358</v>
      </c>
      <c r="S124" s="36">
        <v>600</v>
      </c>
      <c r="T124" s="21"/>
      <c r="U124" s="21"/>
      <c r="V124" s="21"/>
      <c r="W124" s="21"/>
      <c r="X124" s="21"/>
      <c r="Y124" s="21"/>
      <c r="Z124" s="21"/>
      <c r="AA124" s="21"/>
      <c r="AB124" s="21"/>
      <c r="AC124" s="20"/>
    </row>
    <row r="125" spans="1:29" x14ac:dyDescent="0.3">
      <c r="A125" s="18"/>
      <c r="B125" s="21"/>
      <c r="C125" s="21"/>
      <c r="D125" s="21"/>
      <c r="E125" s="21"/>
      <c r="F125" s="21"/>
      <c r="G125" s="21"/>
      <c r="H125" s="21"/>
      <c r="I125" s="21"/>
      <c r="J125" s="21"/>
      <c r="K125" s="21"/>
      <c r="L125" s="30" t="str">
        <v>AAPL Jun17 140P</v>
      </c>
      <c r="M125" s="30" t="str">
        <v>Bob</v>
      </c>
      <c r="N125" s="30" t="str">
        <v>B</v>
      </c>
      <c r="O125" s="36">
        <v>100</v>
      </c>
      <c r="P125" s="35">
        <v>4.3</v>
      </c>
      <c r="Q125" s="35">
        <v>4.3099999999999996</v>
      </c>
      <c r="R125" s="66">
        <v>99.999999999997868</v>
      </c>
      <c r="S125" s="36">
        <v>-3215</v>
      </c>
      <c r="T125" s="21"/>
      <c r="U125" s="21"/>
      <c r="V125" s="21"/>
      <c r="W125" s="21"/>
      <c r="X125" s="21"/>
      <c r="Y125" s="21"/>
      <c r="Z125" s="21"/>
      <c r="AA125" s="21"/>
      <c r="AB125" s="21"/>
      <c r="AC125" s="20"/>
    </row>
    <row r="126" spans="1:29" x14ac:dyDescent="0.3">
      <c r="A126" s="18"/>
      <c r="B126" s="21"/>
      <c r="C126" s="21"/>
      <c r="D126" s="21"/>
      <c r="E126" s="21"/>
      <c r="F126" s="21"/>
      <c r="G126" s="21"/>
      <c r="H126" s="21"/>
      <c r="I126" s="21"/>
      <c r="J126" s="21"/>
      <c r="K126" s="21"/>
      <c r="L126" s="30" t="str">
        <v>IBM</v>
      </c>
      <c r="M126" s="30" t="str">
        <v>Sally</v>
      </c>
      <c r="N126" s="30" t="str">
        <v>S</v>
      </c>
      <c r="O126" s="36">
        <v>-3000</v>
      </c>
      <c r="P126" s="35">
        <v>159.49</v>
      </c>
      <c r="Q126" s="35">
        <v>159.37</v>
      </c>
      <c r="R126" s="66">
        <v>360.00000000001364</v>
      </c>
      <c r="S126" s="36">
        <v>-3000</v>
      </c>
      <c r="T126" s="21"/>
      <c r="U126" s="21"/>
      <c r="V126" s="21"/>
      <c r="W126" s="21"/>
      <c r="X126" s="21"/>
      <c r="Y126" s="21"/>
      <c r="Z126" s="21"/>
      <c r="AA126" s="21"/>
      <c r="AB126" s="21"/>
      <c r="AC126" s="20"/>
    </row>
    <row r="127" spans="1:29" x14ac:dyDescent="0.3">
      <c r="A127" s="18"/>
      <c r="B127" s="21"/>
      <c r="C127" s="21"/>
      <c r="D127" s="21"/>
      <c r="E127" s="21"/>
      <c r="F127" s="21"/>
      <c r="G127" s="21"/>
      <c r="H127" s="21"/>
      <c r="I127" s="21"/>
      <c r="J127" s="21"/>
      <c r="K127" s="21"/>
      <c r="L127" s="30" t="str">
        <v>IBM</v>
      </c>
      <c r="M127" s="30" t="str">
        <v>Sally</v>
      </c>
      <c r="N127" s="30" t="str">
        <v>B</v>
      </c>
      <c r="O127" s="36">
        <v>100</v>
      </c>
      <c r="P127" s="35">
        <v>159.4</v>
      </c>
      <c r="Q127" s="35">
        <v>159.37</v>
      </c>
      <c r="R127" s="66">
        <v>-3.0000000000001137</v>
      </c>
      <c r="S127" s="36">
        <v>100</v>
      </c>
      <c r="T127" s="21"/>
      <c r="U127" s="21"/>
      <c r="V127" s="21"/>
      <c r="W127" s="21"/>
      <c r="X127" s="21"/>
      <c r="Y127" s="21"/>
      <c r="Z127" s="21"/>
      <c r="AA127" s="21"/>
      <c r="AB127" s="21"/>
      <c r="AC127" s="20"/>
    </row>
    <row r="128" spans="1:29" x14ac:dyDescent="0.3">
      <c r="A128" s="18"/>
      <c r="B128" s="21"/>
      <c r="C128" s="21"/>
      <c r="D128" s="21"/>
      <c r="E128" s="21"/>
      <c r="F128" s="21"/>
      <c r="G128" s="21"/>
      <c r="H128" s="21"/>
      <c r="I128" s="21"/>
      <c r="J128" s="21"/>
      <c r="K128" s="21"/>
      <c r="L128" s="30" t="str">
        <v>IBM</v>
      </c>
      <c r="M128" s="30" t="str">
        <v>Bob</v>
      </c>
      <c r="N128" s="30" t="str">
        <v>B</v>
      </c>
      <c r="O128" s="36">
        <v>100</v>
      </c>
      <c r="P128" s="35">
        <v>159.4</v>
      </c>
      <c r="Q128" s="35">
        <v>159.37</v>
      </c>
      <c r="R128" s="66">
        <v>-3.0000000000001137</v>
      </c>
      <c r="S128" s="36">
        <v>100</v>
      </c>
      <c r="T128" s="21"/>
      <c r="U128" s="21"/>
      <c r="V128" s="21"/>
      <c r="W128" s="21"/>
      <c r="X128" s="21"/>
      <c r="Y128" s="21"/>
      <c r="Z128" s="21"/>
      <c r="AA128" s="21"/>
      <c r="AB128" s="21"/>
      <c r="AC128" s="20"/>
    </row>
    <row r="129" spans="1:29" x14ac:dyDescent="0.3">
      <c r="A129" s="18"/>
      <c r="B129" s="21"/>
      <c r="C129" s="21"/>
      <c r="D129" s="21"/>
      <c r="E129" s="21"/>
      <c r="F129" s="21"/>
      <c r="G129" s="21"/>
      <c r="H129" s="21"/>
      <c r="I129" s="21"/>
      <c r="J129" s="21"/>
      <c r="K129" s="21"/>
      <c r="L129" s="30" t="str">
        <v>IBM Jun17 160C</v>
      </c>
      <c r="M129" s="30" t="str">
        <v>Bob</v>
      </c>
      <c r="N129" s="30" t="str">
        <v>B</v>
      </c>
      <c r="O129" s="36">
        <v>50</v>
      </c>
      <c r="P129" s="35">
        <v>2.65</v>
      </c>
      <c r="Q129" s="35">
        <v>2.6</v>
      </c>
      <c r="R129" s="66">
        <v>-249.99999999999912</v>
      </c>
      <c r="S129" s="36">
        <v>2879</v>
      </c>
      <c r="T129" s="21"/>
      <c r="U129" s="21"/>
      <c r="V129" s="21"/>
      <c r="W129" s="21"/>
      <c r="X129" s="21"/>
      <c r="Y129" s="21"/>
      <c r="Z129" s="21"/>
      <c r="AA129" s="21"/>
      <c r="AB129" s="21"/>
      <c r="AC129" s="20"/>
    </row>
    <row r="130" spans="1:29" x14ac:dyDescent="0.3">
      <c r="A130" s="18"/>
      <c r="B130" s="21"/>
      <c r="C130" s="21"/>
      <c r="D130" s="21"/>
      <c r="E130" s="21"/>
      <c r="F130" s="21"/>
      <c r="G130" s="21"/>
      <c r="H130" s="21"/>
      <c r="I130" s="21"/>
      <c r="J130" s="21"/>
      <c r="K130" s="21"/>
      <c r="L130" s="30" t="str">
        <v>IBM Jun17 160C</v>
      </c>
      <c r="M130" s="30" t="str">
        <v>Bob</v>
      </c>
      <c r="N130" s="30" t="str">
        <v>S</v>
      </c>
      <c r="O130" s="36">
        <v>-10</v>
      </c>
      <c r="P130" s="35">
        <v>2.62</v>
      </c>
      <c r="Q130" s="35">
        <v>2.6</v>
      </c>
      <c r="R130" s="66">
        <v>20.000000000000018</v>
      </c>
      <c r="S130" s="36">
        <v>-575.79999999999995</v>
      </c>
      <c r="T130" s="21"/>
      <c r="U130" s="21"/>
      <c r="V130" s="21"/>
      <c r="W130" s="21"/>
      <c r="X130" s="21"/>
      <c r="Y130" s="21"/>
      <c r="Z130" s="21"/>
      <c r="AA130" s="21"/>
      <c r="AB130" s="21"/>
      <c r="AC130" s="20"/>
    </row>
    <row r="131" spans="1:29" x14ac:dyDescent="0.3">
      <c r="A131" s="18"/>
      <c r="B131" s="21"/>
      <c r="C131" s="21"/>
      <c r="D131" s="21"/>
      <c r="E131" s="21"/>
      <c r="F131" s="21"/>
      <c r="G131" s="21"/>
      <c r="H131" s="21"/>
      <c r="I131" s="21"/>
      <c r="J131" s="21"/>
      <c r="K131" s="21"/>
      <c r="L131" s="30" t="str">
        <v>IBM Jun17 160C</v>
      </c>
      <c r="M131" s="30" t="str">
        <v>Bob</v>
      </c>
      <c r="N131" s="30" t="str">
        <v>S</v>
      </c>
      <c r="O131" s="36">
        <v>-40</v>
      </c>
      <c r="P131" s="35">
        <v>2.61</v>
      </c>
      <c r="Q131" s="35">
        <v>2.6</v>
      </c>
      <c r="R131" s="66">
        <v>39.999999999999147</v>
      </c>
      <c r="S131" s="36">
        <v>-2303.1999999999998</v>
      </c>
      <c r="T131" s="21"/>
      <c r="U131" s="21"/>
      <c r="V131" s="21"/>
      <c r="W131" s="21"/>
      <c r="X131" s="21"/>
      <c r="Y131" s="21"/>
      <c r="Z131" s="21"/>
      <c r="AA131" s="21"/>
      <c r="AB131" s="21"/>
      <c r="AC131" s="20"/>
    </row>
    <row r="132" spans="1:29" x14ac:dyDescent="0.3">
      <c r="A132" s="18"/>
      <c r="B132" s="21"/>
      <c r="C132" s="21"/>
      <c r="D132" s="21"/>
      <c r="E132" s="21"/>
      <c r="F132" s="21"/>
      <c r="G132" s="21"/>
      <c r="H132" s="21"/>
      <c r="I132" s="21"/>
      <c r="J132" s="21"/>
      <c r="K132" s="21"/>
      <c r="L132" s="30" t="str">
        <v>Symbol</v>
      </c>
      <c r="M132" s="30" t="str">
        <v>Broker</v>
      </c>
      <c r="N132" s="30" t="str">
        <v>Side</v>
      </c>
      <c r="O132" s="36" t="str">
        <v>Quantity</v>
      </c>
      <c r="P132" s="35" t="str">
        <v>Trade Price</v>
      </c>
      <c r="Q132" s="35" t="str">
        <v>Current Price</v>
      </c>
      <c r="R132" s="66" t="str">
        <v>P&amp;L</v>
      </c>
      <c r="S132" s="36" t="str">
        <v>Current Delta</v>
      </c>
      <c r="T132" s="21"/>
      <c r="U132" s="21"/>
      <c r="V132" s="21"/>
      <c r="W132" s="21"/>
      <c r="X132" s="21"/>
      <c r="Y132" s="21"/>
      <c r="Z132" s="21"/>
      <c r="AA132" s="21"/>
      <c r="AB132" s="21"/>
      <c r="AC132" s="20"/>
    </row>
    <row r="133" spans="1:29" x14ac:dyDescent="0.3">
      <c r="A133" s="18"/>
      <c r="B133" s="21"/>
      <c r="C133" s="21"/>
      <c r="D133" s="21"/>
      <c r="E133" s="21"/>
      <c r="F133" s="21"/>
      <c r="G133" s="21"/>
      <c r="H133" s="21"/>
      <c r="I133" s="21"/>
      <c r="J133" s="21"/>
      <c r="K133" s="21"/>
      <c r="L133" s="30" t="str">
        <v/>
      </c>
      <c r="M133" s="30" t="str">
        <v/>
      </c>
      <c r="N133" s="30" t="str">
        <v/>
      </c>
      <c r="O133" s="36" t="str">
        <v/>
      </c>
      <c r="P133" s="35" t="str">
        <v/>
      </c>
      <c r="Q133" s="35" t="str">
        <v/>
      </c>
      <c r="R133" s="66" t="str">
        <v/>
      </c>
      <c r="S133" s="36" t="str">
        <v/>
      </c>
      <c r="T133" s="21"/>
      <c r="U133" s="21"/>
      <c r="V133" s="21"/>
      <c r="W133" s="21"/>
      <c r="X133" s="21"/>
      <c r="Y133" s="21"/>
      <c r="Z133" s="21"/>
      <c r="AA133" s="21"/>
      <c r="AB133" s="21"/>
      <c r="AC133" s="20"/>
    </row>
    <row r="134" spans="1:29" x14ac:dyDescent="0.3">
      <c r="A134" s="18"/>
      <c r="B134" s="21"/>
      <c r="C134" s="21"/>
      <c r="D134" s="21"/>
      <c r="E134" s="21"/>
      <c r="F134" s="21"/>
      <c r="G134" s="21"/>
      <c r="H134" s="21"/>
      <c r="I134" s="21"/>
      <c r="J134" s="21"/>
      <c r="K134" s="21"/>
      <c r="L134" s="30" t="e">
        <v>#DIV/0!</v>
      </c>
      <c r="M134" s="30" t="e">
        <v>#DIV/0!</v>
      </c>
      <c r="N134" s="30" t="e">
        <v>#DIV/0!</v>
      </c>
      <c r="O134" s="36" t="e">
        <v>#DIV/0!</v>
      </c>
      <c r="P134" s="35" t="e">
        <v>#DIV/0!</v>
      </c>
      <c r="Q134" s="35" t="e">
        <v>#DIV/0!</v>
      </c>
      <c r="R134" s="66" t="e">
        <v>#DIV/0!</v>
      </c>
      <c r="S134" s="36" t="e">
        <v>#DIV/0!</v>
      </c>
      <c r="T134" s="21"/>
      <c r="U134" s="21"/>
      <c r="V134" s="21"/>
      <c r="W134" s="21"/>
      <c r="X134" s="21"/>
      <c r="Y134" s="21"/>
      <c r="Z134" s="21"/>
      <c r="AA134" s="21"/>
      <c r="AB134" s="21"/>
      <c r="AC134" s="20"/>
    </row>
    <row r="135" spans="1:29" x14ac:dyDescent="0.3">
      <c r="A135" s="18"/>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0"/>
    </row>
    <row r="136" spans="1:29" x14ac:dyDescent="0.3">
      <c r="A136" s="18"/>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0"/>
    </row>
    <row r="137" spans="1:29" x14ac:dyDescent="0.3">
      <c r="A137" s="18"/>
      <c r="B137" s="21"/>
      <c r="C137" s="21"/>
      <c r="D137" s="21"/>
      <c r="E137" s="21"/>
      <c r="F137" s="21"/>
      <c r="G137" s="21"/>
      <c r="H137" s="21"/>
      <c r="I137" s="21"/>
      <c r="J137" s="21"/>
      <c r="K137" s="21"/>
      <c r="L137" s="67"/>
      <c r="M137" s="67"/>
      <c r="N137" s="67"/>
      <c r="O137" s="67"/>
      <c r="P137" s="67"/>
      <c r="Q137" s="67"/>
      <c r="R137" s="67"/>
      <c r="S137" s="67"/>
      <c r="T137" s="67"/>
      <c r="U137" s="67"/>
      <c r="V137" s="67"/>
      <c r="W137" s="67"/>
      <c r="X137" s="67"/>
      <c r="Y137" s="67"/>
      <c r="Z137" s="67"/>
      <c r="AA137" s="67"/>
      <c r="AB137" s="21"/>
      <c r="AC137" s="20"/>
    </row>
    <row r="138" spans="1:29" x14ac:dyDescent="0.3">
      <c r="A138" s="18"/>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0"/>
    </row>
    <row r="139" spans="1:29" x14ac:dyDescent="0.3">
      <c r="A139" s="18"/>
      <c r="B139" s="21"/>
      <c r="C139" s="21"/>
      <c r="D139" s="21"/>
      <c r="E139" s="21"/>
      <c r="F139" s="21"/>
      <c r="G139" s="21"/>
      <c r="H139" s="21"/>
      <c r="I139" s="21"/>
      <c r="J139" s="21"/>
      <c r="K139" s="21"/>
      <c r="L139" s="492" t="s">
        <v>3404</v>
      </c>
      <c r="M139" s="529"/>
      <c r="N139" s="529"/>
      <c r="O139" s="529"/>
      <c r="P139" s="529"/>
      <c r="Q139" s="529"/>
      <c r="R139" s="529"/>
      <c r="S139" s="493"/>
      <c r="T139" s="21"/>
      <c r="U139" s="21"/>
      <c r="V139" s="2" t="s">
        <v>197</v>
      </c>
      <c r="W139" s="21"/>
      <c r="X139" s="21"/>
      <c r="Y139" s="21"/>
      <c r="Z139" s="21"/>
      <c r="AA139" s="21"/>
      <c r="AB139" s="21"/>
      <c r="AC139" s="20"/>
    </row>
    <row r="140" spans="1:29" x14ac:dyDescent="0.3">
      <c r="A140" s="18"/>
      <c r="B140" s="21"/>
      <c r="C140" s="21"/>
      <c r="D140" s="21"/>
      <c r="E140" s="21"/>
      <c r="F140" s="21"/>
      <c r="G140" s="21"/>
      <c r="H140" s="21"/>
      <c r="I140" s="21"/>
      <c r="J140" s="21"/>
      <c r="K140" s="21"/>
      <c r="L140" s="3" t="str">
        <f t="array" ref="L140:S153">_xll.U.VSORT(B7:I20,V141:V145)</f>
        <v>Symbol</v>
      </c>
      <c r="M140" s="3" t="str">
        <v>Broker</v>
      </c>
      <c r="N140" s="3" t="str">
        <v>Side</v>
      </c>
      <c r="O140" s="3" t="str">
        <v>Quantity</v>
      </c>
      <c r="P140" s="3" t="str">
        <v>Trade Price</v>
      </c>
      <c r="Q140" s="3" t="str">
        <v>Current Price</v>
      </c>
      <c r="R140" s="3" t="str">
        <v>P&amp;L</v>
      </c>
      <c r="S140" s="3" t="str">
        <v>Current Delta</v>
      </c>
      <c r="T140" s="21"/>
      <c r="U140" s="21"/>
      <c r="V140" s="9" t="s">
        <v>126</v>
      </c>
      <c r="W140" s="21"/>
      <c r="X140" s="21"/>
      <c r="Y140" s="21"/>
      <c r="Z140" s="21"/>
      <c r="AA140" s="21"/>
      <c r="AB140" s="21"/>
      <c r="AC140" s="20"/>
    </row>
    <row r="141" spans="1:29" x14ac:dyDescent="0.3">
      <c r="A141" s="18"/>
      <c r="B141" s="21"/>
      <c r="C141" s="21"/>
      <c r="D141" s="21"/>
      <c r="E141" s="21"/>
      <c r="F141" s="21"/>
      <c r="G141" s="21"/>
      <c r="H141" s="21"/>
      <c r="I141" s="21"/>
      <c r="J141" s="21"/>
      <c r="K141" s="21"/>
      <c r="L141" s="30" t="str">
        <v>AAPL</v>
      </c>
      <c r="M141" s="30" t="str">
        <v>Bob</v>
      </c>
      <c r="N141" s="30" t="str">
        <v>B</v>
      </c>
      <c r="O141" s="36">
        <v>300</v>
      </c>
      <c r="P141" s="35">
        <v>142.02000000000001</v>
      </c>
      <c r="Q141" s="35">
        <v>141.97</v>
      </c>
      <c r="R141" s="66">
        <v>-15.000000000003411</v>
      </c>
      <c r="S141" s="36">
        <v>300</v>
      </c>
      <c r="T141" s="21"/>
      <c r="U141" s="21"/>
      <c r="V141" s="79" t="s">
        <v>2</v>
      </c>
      <c r="W141" s="21"/>
      <c r="X141" s="21"/>
      <c r="Y141" s="21"/>
      <c r="Z141" s="21"/>
      <c r="AA141" s="21"/>
      <c r="AB141" s="21"/>
      <c r="AC141" s="20"/>
    </row>
    <row r="142" spans="1:29" x14ac:dyDescent="0.3">
      <c r="A142" s="18"/>
      <c r="B142" s="21"/>
      <c r="C142" s="21"/>
      <c r="D142" s="21"/>
      <c r="E142" s="21"/>
      <c r="F142" s="21"/>
      <c r="G142" s="21"/>
      <c r="H142" s="21"/>
      <c r="I142" s="21"/>
      <c r="J142" s="21"/>
      <c r="K142" s="21"/>
      <c r="L142" s="30" t="str">
        <v>AAPL</v>
      </c>
      <c r="M142" s="30" t="str">
        <v>Sally</v>
      </c>
      <c r="N142" s="30" t="str">
        <v>B</v>
      </c>
      <c r="O142" s="36">
        <v>100</v>
      </c>
      <c r="P142" s="35">
        <v>142.02000000000001</v>
      </c>
      <c r="Q142" s="35">
        <v>141.97</v>
      </c>
      <c r="R142" s="66">
        <v>-5.0000000000011369</v>
      </c>
      <c r="S142" s="36">
        <v>100</v>
      </c>
      <c r="T142" s="21"/>
      <c r="U142" s="21"/>
      <c r="V142" s="79" t="s">
        <v>101</v>
      </c>
      <c r="W142" s="21"/>
      <c r="X142" s="21"/>
      <c r="Y142" s="21"/>
      <c r="Z142" s="21"/>
      <c r="AA142" s="21"/>
      <c r="AB142" s="21"/>
      <c r="AC142" s="20"/>
    </row>
    <row r="143" spans="1:29" x14ac:dyDescent="0.3">
      <c r="A143" s="18"/>
      <c r="B143" s="21"/>
      <c r="C143" s="21"/>
      <c r="D143" s="21"/>
      <c r="E143" s="21"/>
      <c r="F143" s="21"/>
      <c r="G143" s="21"/>
      <c r="H143" s="21"/>
      <c r="I143" s="21"/>
      <c r="J143" s="21"/>
      <c r="K143" s="21"/>
      <c r="L143" s="30" t="str">
        <v>AAPL</v>
      </c>
      <c r="M143" s="30" t="str">
        <v>Tom</v>
      </c>
      <c r="N143" s="30" t="str">
        <v>B</v>
      </c>
      <c r="O143" s="36">
        <v>700</v>
      </c>
      <c r="P143" s="35">
        <v>142.02000000000001</v>
      </c>
      <c r="Q143" s="35">
        <v>141.97</v>
      </c>
      <c r="R143" s="66">
        <v>-35.000000000007958</v>
      </c>
      <c r="S143" s="36">
        <v>1500</v>
      </c>
      <c r="T143" s="21"/>
      <c r="U143" s="21"/>
      <c r="V143" s="79"/>
      <c r="W143" s="21"/>
      <c r="X143" s="21"/>
      <c r="Y143" s="21"/>
      <c r="Z143" s="21"/>
      <c r="AA143" s="21"/>
      <c r="AB143" s="21"/>
      <c r="AC143" s="20"/>
    </row>
    <row r="144" spans="1:29" x14ac:dyDescent="0.3">
      <c r="A144" s="18"/>
      <c r="B144" s="21"/>
      <c r="C144" s="21"/>
      <c r="D144" s="21"/>
      <c r="E144" s="21"/>
      <c r="F144" s="21"/>
      <c r="G144" s="21"/>
      <c r="H144" s="21"/>
      <c r="I144" s="21"/>
      <c r="J144" s="21"/>
      <c r="K144" s="21"/>
      <c r="L144" s="30" t="str">
        <v>AAPL</v>
      </c>
      <c r="M144" s="30" t="str">
        <v>Tom</v>
      </c>
      <c r="N144" s="30" t="str">
        <v>B</v>
      </c>
      <c r="O144" s="36">
        <v>1500</v>
      </c>
      <c r="P144" s="35">
        <v>141.97999999999999</v>
      </c>
      <c r="Q144" s="35">
        <v>141.97</v>
      </c>
      <c r="R144" s="66">
        <v>-14.999999999986358</v>
      </c>
      <c r="S144" s="36">
        <v>600</v>
      </c>
      <c r="T144" s="21"/>
      <c r="U144" s="21"/>
      <c r="V144" s="79"/>
      <c r="W144" s="21"/>
      <c r="X144" s="21"/>
      <c r="Y144" s="21"/>
      <c r="Z144" s="21"/>
      <c r="AA144" s="21"/>
      <c r="AB144" s="21"/>
      <c r="AC144" s="20"/>
    </row>
    <row r="145" spans="1:29" x14ac:dyDescent="0.3">
      <c r="A145" s="18"/>
      <c r="B145" s="21"/>
      <c r="C145" s="21"/>
      <c r="D145" s="21"/>
      <c r="E145" s="21"/>
      <c r="F145" s="21"/>
      <c r="G145" s="21"/>
      <c r="H145" s="21"/>
      <c r="I145" s="21"/>
      <c r="J145" s="21"/>
      <c r="K145" s="21"/>
      <c r="L145" s="30" t="str">
        <v>AAPL Jun17 140P</v>
      </c>
      <c r="M145" s="30" t="str">
        <v>Bob</v>
      </c>
      <c r="N145" s="30" t="str">
        <v>B</v>
      </c>
      <c r="O145" s="36">
        <v>100</v>
      </c>
      <c r="P145" s="35">
        <v>4.3</v>
      </c>
      <c r="Q145" s="35">
        <v>4.3099999999999996</v>
      </c>
      <c r="R145" s="66">
        <v>99.999999999997868</v>
      </c>
      <c r="S145" s="36">
        <v>-3215</v>
      </c>
      <c r="T145" s="21"/>
      <c r="U145" s="21"/>
      <c r="V145" s="79"/>
      <c r="W145" s="21"/>
      <c r="X145" s="21"/>
      <c r="Y145" s="21"/>
      <c r="Z145" s="21"/>
      <c r="AA145" s="21"/>
      <c r="AB145" s="21"/>
      <c r="AC145" s="20"/>
    </row>
    <row r="146" spans="1:29" x14ac:dyDescent="0.3">
      <c r="A146" s="18"/>
      <c r="B146" s="21"/>
      <c r="C146" s="21"/>
      <c r="D146" s="21"/>
      <c r="E146" s="21"/>
      <c r="F146" s="21"/>
      <c r="G146" s="21"/>
      <c r="H146" s="21"/>
      <c r="I146" s="21"/>
      <c r="J146" s="21"/>
      <c r="K146" s="21"/>
      <c r="L146" s="30" t="str">
        <v>IBM</v>
      </c>
      <c r="M146" s="30" t="str">
        <v>Bob</v>
      </c>
      <c r="N146" s="30" t="str">
        <v>B</v>
      </c>
      <c r="O146" s="36">
        <v>100</v>
      </c>
      <c r="P146" s="35">
        <v>159.4</v>
      </c>
      <c r="Q146" s="35">
        <v>159.37</v>
      </c>
      <c r="R146" s="66">
        <v>-3.0000000000001137</v>
      </c>
      <c r="S146" s="36">
        <v>100</v>
      </c>
      <c r="T146" s="21"/>
      <c r="U146" s="21"/>
      <c r="V146" s="21"/>
      <c r="W146" s="21"/>
      <c r="X146" s="21"/>
      <c r="Y146" s="21"/>
      <c r="Z146" s="21"/>
      <c r="AA146" s="21"/>
      <c r="AB146" s="21"/>
      <c r="AC146" s="20"/>
    </row>
    <row r="147" spans="1:29" x14ac:dyDescent="0.3">
      <c r="A147" s="18"/>
      <c r="B147" s="21"/>
      <c r="C147" s="21"/>
      <c r="D147" s="21"/>
      <c r="E147" s="21"/>
      <c r="F147" s="21"/>
      <c r="G147" s="21"/>
      <c r="H147" s="21"/>
      <c r="I147" s="21"/>
      <c r="J147" s="21"/>
      <c r="K147" s="21"/>
      <c r="L147" s="30" t="str">
        <v>IBM</v>
      </c>
      <c r="M147" s="30" t="str">
        <v>Sally</v>
      </c>
      <c r="N147" s="30" t="str">
        <v>S</v>
      </c>
      <c r="O147" s="36">
        <v>-3000</v>
      </c>
      <c r="P147" s="35">
        <v>159.49</v>
      </c>
      <c r="Q147" s="35">
        <v>159.37</v>
      </c>
      <c r="R147" s="66">
        <v>360.00000000001364</v>
      </c>
      <c r="S147" s="36">
        <v>-3000</v>
      </c>
      <c r="T147" s="21"/>
      <c r="U147" s="21"/>
      <c r="V147" s="21"/>
      <c r="W147" s="21"/>
      <c r="X147" s="21"/>
      <c r="Y147" s="21"/>
      <c r="Z147" s="21"/>
      <c r="AA147" s="21"/>
      <c r="AB147" s="21"/>
      <c r="AC147" s="20"/>
    </row>
    <row r="148" spans="1:29" x14ac:dyDescent="0.3">
      <c r="A148" s="18"/>
      <c r="B148" s="21"/>
      <c r="C148" s="21"/>
      <c r="D148" s="21"/>
      <c r="E148" s="21"/>
      <c r="F148" s="21"/>
      <c r="G148" s="21"/>
      <c r="H148" s="21"/>
      <c r="I148" s="21"/>
      <c r="J148" s="21"/>
      <c r="K148" s="21"/>
      <c r="L148" s="30" t="str">
        <v>IBM</v>
      </c>
      <c r="M148" s="30" t="str">
        <v>Sally</v>
      </c>
      <c r="N148" s="30" t="str">
        <v>B</v>
      </c>
      <c r="O148" s="36">
        <v>100</v>
      </c>
      <c r="P148" s="35">
        <v>159.4</v>
      </c>
      <c r="Q148" s="35">
        <v>159.37</v>
      </c>
      <c r="R148" s="66">
        <v>-3.0000000000001137</v>
      </c>
      <c r="S148" s="36">
        <v>100</v>
      </c>
      <c r="T148" s="21"/>
      <c r="U148" s="21"/>
      <c r="V148" s="21"/>
      <c r="W148" s="21"/>
      <c r="X148" s="21"/>
      <c r="Y148" s="21"/>
      <c r="Z148" s="21"/>
      <c r="AA148" s="21"/>
      <c r="AB148" s="21"/>
      <c r="AC148" s="20"/>
    </row>
    <row r="149" spans="1:29" x14ac:dyDescent="0.3">
      <c r="A149" s="18"/>
      <c r="B149" s="21"/>
      <c r="C149" s="21"/>
      <c r="D149" s="21"/>
      <c r="E149" s="21"/>
      <c r="F149" s="21"/>
      <c r="G149" s="21"/>
      <c r="H149" s="21"/>
      <c r="I149" s="21"/>
      <c r="J149" s="21"/>
      <c r="K149" s="21"/>
      <c r="L149" s="30" t="str">
        <v>IBM Jun17 160C</v>
      </c>
      <c r="M149" s="30" t="str">
        <v>Bob</v>
      </c>
      <c r="N149" s="30" t="str">
        <v>B</v>
      </c>
      <c r="O149" s="36">
        <v>50</v>
      </c>
      <c r="P149" s="35">
        <v>2.65</v>
      </c>
      <c r="Q149" s="35">
        <v>2.6</v>
      </c>
      <c r="R149" s="66">
        <v>-249.99999999999912</v>
      </c>
      <c r="S149" s="36">
        <v>2879</v>
      </c>
      <c r="T149" s="21"/>
      <c r="U149" s="21"/>
      <c r="V149" s="21"/>
      <c r="W149" s="21"/>
      <c r="X149" s="21"/>
      <c r="Y149" s="21"/>
      <c r="Z149" s="21"/>
      <c r="AA149" s="21"/>
      <c r="AB149" s="21"/>
      <c r="AC149" s="20"/>
    </row>
    <row r="150" spans="1:29" x14ac:dyDescent="0.3">
      <c r="A150" s="18"/>
      <c r="B150" s="21"/>
      <c r="C150" s="21"/>
      <c r="D150" s="21"/>
      <c r="E150" s="21"/>
      <c r="F150" s="21"/>
      <c r="G150" s="21"/>
      <c r="H150" s="21"/>
      <c r="I150" s="21"/>
      <c r="J150" s="21"/>
      <c r="K150" s="21"/>
      <c r="L150" s="30" t="str">
        <v>IBM Jun17 160C</v>
      </c>
      <c r="M150" s="30" t="str">
        <v>Bob</v>
      </c>
      <c r="N150" s="30" t="str">
        <v>S</v>
      </c>
      <c r="O150" s="36">
        <v>-10</v>
      </c>
      <c r="P150" s="35">
        <v>2.62</v>
      </c>
      <c r="Q150" s="35">
        <v>2.6</v>
      </c>
      <c r="R150" s="66">
        <v>20.000000000000018</v>
      </c>
      <c r="S150" s="36">
        <v>-575.79999999999995</v>
      </c>
      <c r="T150" s="21"/>
      <c r="U150" s="21"/>
      <c r="V150" s="21"/>
      <c r="W150" s="21"/>
      <c r="X150" s="21"/>
      <c r="Y150" s="21"/>
      <c r="Z150" s="21"/>
      <c r="AA150" s="21"/>
      <c r="AB150" s="21"/>
      <c r="AC150" s="20"/>
    </row>
    <row r="151" spans="1:29" x14ac:dyDescent="0.3">
      <c r="A151" s="18"/>
      <c r="B151" s="21"/>
      <c r="C151" s="21"/>
      <c r="D151" s="21"/>
      <c r="E151" s="21"/>
      <c r="F151" s="21"/>
      <c r="G151" s="21"/>
      <c r="H151" s="21"/>
      <c r="I151" s="21"/>
      <c r="J151" s="21"/>
      <c r="K151" s="21"/>
      <c r="L151" s="30" t="str">
        <v>IBM Jun17 160C</v>
      </c>
      <c r="M151" s="30" t="str">
        <v>Bob</v>
      </c>
      <c r="N151" s="30" t="str">
        <v>S</v>
      </c>
      <c r="O151" s="36">
        <v>-40</v>
      </c>
      <c r="P151" s="35">
        <v>2.61</v>
      </c>
      <c r="Q151" s="35">
        <v>2.6</v>
      </c>
      <c r="R151" s="66">
        <v>39.999999999999147</v>
      </c>
      <c r="S151" s="36">
        <v>-2303.1999999999998</v>
      </c>
      <c r="T151" s="21"/>
      <c r="U151" s="21"/>
      <c r="V151" s="21"/>
      <c r="W151" s="21"/>
      <c r="X151" s="21"/>
      <c r="Y151" s="21"/>
      <c r="Z151" s="21"/>
      <c r="AA151" s="21"/>
      <c r="AB151" s="21"/>
      <c r="AC151" s="20"/>
    </row>
    <row r="152" spans="1:29" x14ac:dyDescent="0.3">
      <c r="A152" s="18"/>
      <c r="B152" s="21"/>
      <c r="C152" s="21"/>
      <c r="D152" s="21"/>
      <c r="E152" s="21"/>
      <c r="F152" s="21"/>
      <c r="G152" s="21"/>
      <c r="H152" s="21"/>
      <c r="I152" s="21"/>
      <c r="J152" s="21"/>
      <c r="K152" s="21"/>
      <c r="L152" s="30" t="str">
        <v/>
      </c>
      <c r="M152" s="30" t="str">
        <v/>
      </c>
      <c r="N152" s="30" t="str">
        <v/>
      </c>
      <c r="O152" s="36" t="str">
        <v/>
      </c>
      <c r="P152" s="35" t="str">
        <v/>
      </c>
      <c r="Q152" s="35" t="str">
        <v/>
      </c>
      <c r="R152" s="66" t="str">
        <v/>
      </c>
      <c r="S152" s="36" t="str">
        <v/>
      </c>
      <c r="T152" s="21"/>
      <c r="U152" s="21"/>
      <c r="V152" s="21"/>
      <c r="W152" s="21"/>
      <c r="X152" s="21"/>
      <c r="Y152" s="21"/>
      <c r="Z152" s="21"/>
      <c r="AA152" s="21"/>
      <c r="AB152" s="21"/>
      <c r="AC152" s="20"/>
    </row>
    <row r="153" spans="1:29" x14ac:dyDescent="0.3">
      <c r="A153" s="18"/>
      <c r="B153" s="21"/>
      <c r="C153" s="21"/>
      <c r="D153" s="21"/>
      <c r="E153" s="21"/>
      <c r="F153" s="21"/>
      <c r="G153" s="21"/>
      <c r="H153" s="21"/>
      <c r="I153" s="21"/>
      <c r="J153" s="21"/>
      <c r="K153" s="21"/>
      <c r="L153" s="30" t="e">
        <v>#DIV/0!</v>
      </c>
      <c r="M153" s="30" t="e">
        <v>#DIV/0!</v>
      </c>
      <c r="N153" s="30" t="e">
        <v>#DIV/0!</v>
      </c>
      <c r="O153" s="36" t="e">
        <v>#DIV/0!</v>
      </c>
      <c r="P153" s="35" t="e">
        <v>#DIV/0!</v>
      </c>
      <c r="Q153" s="35" t="e">
        <v>#DIV/0!</v>
      </c>
      <c r="R153" s="66" t="e">
        <v>#DIV/0!</v>
      </c>
      <c r="S153" s="36" t="e">
        <v>#DIV/0!</v>
      </c>
      <c r="T153" s="21"/>
      <c r="U153" s="21"/>
      <c r="V153" s="21"/>
      <c r="W153" s="21"/>
      <c r="X153" s="21"/>
      <c r="Y153" s="21"/>
      <c r="Z153" s="21"/>
      <c r="AA153" s="21"/>
      <c r="AB153" s="21"/>
      <c r="AC153" s="20"/>
    </row>
    <row r="154" spans="1:29" x14ac:dyDescent="0.3">
      <c r="A154" s="18"/>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0"/>
    </row>
    <row r="155" spans="1:29" x14ac:dyDescent="0.3">
      <c r="A155" s="18"/>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0"/>
    </row>
    <row r="156" spans="1:29" x14ac:dyDescent="0.3">
      <c r="A156" s="18"/>
      <c r="B156" s="21"/>
      <c r="C156" s="21"/>
      <c r="D156" s="21"/>
      <c r="E156" s="21"/>
      <c r="F156" s="21"/>
      <c r="G156" s="21"/>
      <c r="H156" s="21"/>
      <c r="I156" s="21"/>
      <c r="J156" s="21"/>
      <c r="K156" s="21"/>
      <c r="L156" s="67"/>
      <c r="M156" s="67"/>
      <c r="N156" s="67"/>
      <c r="O156" s="67"/>
      <c r="P156" s="67"/>
      <c r="Q156" s="67"/>
      <c r="R156" s="67"/>
      <c r="S156" s="67"/>
      <c r="T156" s="67"/>
      <c r="U156" s="67"/>
      <c r="V156" s="67"/>
      <c r="W156" s="67"/>
      <c r="X156" s="67"/>
      <c r="Y156" s="67"/>
      <c r="Z156" s="67"/>
      <c r="AA156" s="67"/>
      <c r="AB156" s="21"/>
      <c r="AC156" s="20"/>
    </row>
    <row r="157" spans="1:29" x14ac:dyDescent="0.3">
      <c r="A157" s="18"/>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0"/>
    </row>
    <row r="158" spans="1:29" x14ac:dyDescent="0.3">
      <c r="A158" s="18"/>
      <c r="B158" s="21"/>
      <c r="C158" s="21"/>
      <c r="D158" s="21"/>
      <c r="E158" s="21"/>
      <c r="F158" s="21"/>
      <c r="G158" s="21"/>
      <c r="H158" s="21"/>
      <c r="I158" s="21"/>
      <c r="J158" s="21"/>
      <c r="K158" s="21"/>
      <c r="L158" s="492" t="s">
        <v>3404</v>
      </c>
      <c r="M158" s="529"/>
      <c r="N158" s="529"/>
      <c r="O158" s="529"/>
      <c r="P158" s="529"/>
      <c r="Q158" s="529"/>
      <c r="R158" s="529"/>
      <c r="S158" s="493"/>
      <c r="T158" s="21"/>
      <c r="U158" s="21"/>
      <c r="V158" s="2" t="s">
        <v>197</v>
      </c>
      <c r="W158" s="21"/>
      <c r="X158" s="21"/>
      <c r="Y158" s="21"/>
      <c r="Z158" s="21"/>
      <c r="AA158" s="21"/>
      <c r="AB158" s="21"/>
      <c r="AC158" s="20"/>
    </row>
    <row r="159" spans="1:29" x14ac:dyDescent="0.3">
      <c r="A159" s="18"/>
      <c r="B159" s="21"/>
      <c r="C159" s="21"/>
      <c r="D159" s="21"/>
      <c r="E159" s="21"/>
      <c r="F159" s="21"/>
      <c r="G159" s="21"/>
      <c r="H159" s="21"/>
      <c r="I159" s="21"/>
      <c r="J159" s="21"/>
      <c r="K159" s="21"/>
      <c r="L159" s="3" t="str">
        <f t="array" ref="L159:S172">_xll.U.VSORT(B7:I20,V160:V161,V167:V170)</f>
        <v>Symbol</v>
      </c>
      <c r="M159" s="3" t="str">
        <v>Broker</v>
      </c>
      <c r="N159" s="3" t="str">
        <v>Side</v>
      </c>
      <c r="O159" s="3" t="str">
        <v>Quantity</v>
      </c>
      <c r="P159" s="3" t="str">
        <v>Trade Price</v>
      </c>
      <c r="Q159" s="3" t="str">
        <v>Current Price</v>
      </c>
      <c r="R159" s="3" t="str">
        <v>P&amp;L</v>
      </c>
      <c r="S159" s="3" t="str">
        <v>Current Delta</v>
      </c>
      <c r="T159" s="21"/>
      <c r="U159" s="21"/>
      <c r="V159" s="9" t="s">
        <v>126</v>
      </c>
      <c r="W159" s="21"/>
      <c r="X159" s="21"/>
      <c r="Y159" s="21"/>
      <c r="Z159" s="21"/>
      <c r="AA159" s="21"/>
      <c r="AB159" s="21"/>
      <c r="AC159" s="20"/>
    </row>
    <row r="160" spans="1:29" x14ac:dyDescent="0.3">
      <c r="A160" s="18"/>
      <c r="B160" s="21"/>
      <c r="C160" s="21"/>
      <c r="D160" s="21"/>
      <c r="E160" s="21"/>
      <c r="F160" s="21"/>
      <c r="G160" s="21"/>
      <c r="H160" s="21"/>
      <c r="I160" s="21"/>
      <c r="J160" s="21"/>
      <c r="K160" s="21"/>
      <c r="L160" s="30" t="str">
        <v>AAPL</v>
      </c>
      <c r="M160" s="30" t="str">
        <v>Tom</v>
      </c>
      <c r="N160" s="30" t="str">
        <v>B</v>
      </c>
      <c r="O160" s="36">
        <v>700</v>
      </c>
      <c r="P160" s="35">
        <v>142.02000000000001</v>
      </c>
      <c r="Q160" s="35">
        <v>141.97</v>
      </c>
      <c r="R160" s="66">
        <v>-35.000000000007958</v>
      </c>
      <c r="S160" s="36">
        <v>1500</v>
      </c>
      <c r="T160" s="21"/>
      <c r="U160" s="21"/>
      <c r="V160" s="79" t="s">
        <v>101</v>
      </c>
      <c r="W160" s="21"/>
      <c r="X160" s="21"/>
      <c r="Y160" s="21"/>
      <c r="Z160" s="21"/>
      <c r="AA160" s="21"/>
      <c r="AB160" s="21"/>
      <c r="AC160" s="20"/>
    </row>
    <row r="161" spans="1:29" x14ac:dyDescent="0.3">
      <c r="A161" s="18"/>
      <c r="B161" s="21"/>
      <c r="C161" s="21"/>
      <c r="D161" s="21"/>
      <c r="E161" s="21"/>
      <c r="F161" s="21"/>
      <c r="G161" s="21"/>
      <c r="H161" s="21"/>
      <c r="I161" s="21"/>
      <c r="J161" s="21"/>
      <c r="K161" s="21"/>
      <c r="L161" s="30" t="str">
        <v>AAPL</v>
      </c>
      <c r="M161" s="30" t="str">
        <v>Tom</v>
      </c>
      <c r="N161" s="30" t="str">
        <v>B</v>
      </c>
      <c r="O161" s="36">
        <v>1500</v>
      </c>
      <c r="P161" s="35">
        <v>141.97999999999999</v>
      </c>
      <c r="Q161" s="35">
        <v>141.97</v>
      </c>
      <c r="R161" s="66">
        <v>-14.999999999986358</v>
      </c>
      <c r="S161" s="36">
        <v>600</v>
      </c>
      <c r="T161" s="21"/>
      <c r="U161" s="21"/>
      <c r="V161" s="79" t="s">
        <v>2</v>
      </c>
      <c r="W161" s="21"/>
      <c r="X161" s="21"/>
      <c r="Y161" s="21"/>
      <c r="Z161" s="21"/>
      <c r="AA161" s="21"/>
      <c r="AB161" s="21"/>
      <c r="AC161" s="20"/>
    </row>
    <row r="162" spans="1:29" x14ac:dyDescent="0.3">
      <c r="A162" s="18"/>
      <c r="B162" s="21"/>
      <c r="C162" s="21"/>
      <c r="D162" s="21"/>
      <c r="E162" s="21"/>
      <c r="F162" s="21"/>
      <c r="G162" s="21"/>
      <c r="H162" s="21"/>
      <c r="I162" s="21"/>
      <c r="J162" s="21"/>
      <c r="K162" s="21"/>
      <c r="L162" s="30" t="e">
        <v>#DIV/0!</v>
      </c>
      <c r="M162" s="30" t="e">
        <v>#DIV/0!</v>
      </c>
      <c r="N162" s="30" t="e">
        <v>#DIV/0!</v>
      </c>
      <c r="O162" s="36" t="e">
        <v>#DIV/0!</v>
      </c>
      <c r="P162" s="35" t="e">
        <v>#DIV/0!</v>
      </c>
      <c r="Q162" s="35" t="e">
        <v>#DIV/0!</v>
      </c>
      <c r="R162" s="66" t="e">
        <v>#DIV/0!</v>
      </c>
      <c r="S162" s="36" t="e">
        <v>#DIV/0!</v>
      </c>
      <c r="T162" s="21"/>
      <c r="U162" s="21"/>
      <c r="V162" s="21"/>
      <c r="W162" s="21"/>
      <c r="X162" s="21"/>
      <c r="Y162" s="21"/>
      <c r="Z162" s="21"/>
      <c r="AA162" s="21"/>
      <c r="AB162" s="21"/>
      <c r="AC162" s="20"/>
    </row>
    <row r="163" spans="1:29" x14ac:dyDescent="0.3">
      <c r="A163" s="18"/>
      <c r="B163" s="21"/>
      <c r="C163" s="21"/>
      <c r="D163" s="21"/>
      <c r="E163" s="21"/>
      <c r="F163" s="21"/>
      <c r="G163" s="21"/>
      <c r="H163" s="21"/>
      <c r="I163" s="21"/>
      <c r="J163" s="21"/>
      <c r="K163" s="21"/>
      <c r="L163" s="30" t="str">
        <v>AAPL</v>
      </c>
      <c r="M163" s="30" t="str">
        <v>Sally</v>
      </c>
      <c r="N163" s="30" t="str">
        <v>B</v>
      </c>
      <c r="O163" s="36">
        <v>100</v>
      </c>
      <c r="P163" s="35">
        <v>142.02000000000001</v>
      </c>
      <c r="Q163" s="35">
        <v>141.97</v>
      </c>
      <c r="R163" s="66">
        <v>-5.0000000000011369</v>
      </c>
      <c r="S163" s="36">
        <v>100</v>
      </c>
      <c r="T163" s="21"/>
      <c r="U163" s="21"/>
      <c r="V163" s="21"/>
      <c r="W163" s="21"/>
      <c r="X163" s="21"/>
      <c r="Y163" s="21"/>
      <c r="Z163" s="21"/>
      <c r="AA163" s="21"/>
      <c r="AB163" s="21"/>
      <c r="AC163" s="20"/>
    </row>
    <row r="164" spans="1:29" x14ac:dyDescent="0.3">
      <c r="A164" s="18"/>
      <c r="B164" s="21"/>
      <c r="C164" s="21"/>
      <c r="D164" s="21"/>
      <c r="E164" s="21"/>
      <c r="F164" s="21"/>
      <c r="G164" s="21"/>
      <c r="H164" s="21"/>
      <c r="I164" s="21"/>
      <c r="J164" s="21"/>
      <c r="K164" s="21"/>
      <c r="L164" s="30" t="str">
        <v>IBM</v>
      </c>
      <c r="M164" s="30" t="str">
        <v>Sally</v>
      </c>
      <c r="N164" s="30" t="str">
        <v>S</v>
      </c>
      <c r="O164" s="36">
        <v>-3000</v>
      </c>
      <c r="P164" s="35">
        <v>159.49</v>
      </c>
      <c r="Q164" s="35">
        <v>159.37</v>
      </c>
      <c r="R164" s="66">
        <v>360.00000000001364</v>
      </c>
      <c r="S164" s="36">
        <v>-3000</v>
      </c>
      <c r="T164" s="21"/>
      <c r="U164" s="21"/>
      <c r="V164" s="21"/>
      <c r="W164" s="21"/>
      <c r="X164" s="21"/>
      <c r="Y164" s="21"/>
      <c r="Z164" s="21"/>
      <c r="AA164" s="21"/>
      <c r="AB164" s="21"/>
      <c r="AC164" s="20"/>
    </row>
    <row r="165" spans="1:29" x14ac:dyDescent="0.3">
      <c r="A165" s="18"/>
      <c r="B165" s="21"/>
      <c r="C165" s="21"/>
      <c r="D165" s="21"/>
      <c r="E165" s="21"/>
      <c r="F165" s="21"/>
      <c r="G165" s="21"/>
      <c r="H165" s="21"/>
      <c r="I165" s="21"/>
      <c r="J165" s="21"/>
      <c r="K165" s="21"/>
      <c r="L165" s="30" t="str">
        <v>IBM</v>
      </c>
      <c r="M165" s="30" t="str">
        <v>Sally</v>
      </c>
      <c r="N165" s="30" t="str">
        <v>B</v>
      </c>
      <c r="O165" s="36">
        <v>100</v>
      </c>
      <c r="P165" s="35">
        <v>159.4</v>
      </c>
      <c r="Q165" s="35">
        <v>159.37</v>
      </c>
      <c r="R165" s="66">
        <v>-3.0000000000001137</v>
      </c>
      <c r="S165" s="36">
        <v>100</v>
      </c>
      <c r="T165" s="21"/>
      <c r="U165" s="21"/>
      <c r="V165" s="21"/>
      <c r="W165" s="21"/>
      <c r="X165" s="21"/>
      <c r="Y165" s="21"/>
      <c r="Z165" s="21"/>
      <c r="AA165" s="21"/>
      <c r="AB165" s="21"/>
      <c r="AC165" s="20"/>
    </row>
    <row r="166" spans="1:29" x14ac:dyDescent="0.3">
      <c r="A166" s="18"/>
      <c r="B166" s="21"/>
      <c r="C166" s="21"/>
      <c r="D166" s="21"/>
      <c r="E166" s="21"/>
      <c r="F166" s="21"/>
      <c r="G166" s="21"/>
      <c r="H166" s="21"/>
      <c r="I166" s="21"/>
      <c r="J166" s="21"/>
      <c r="K166" s="21"/>
      <c r="L166" s="30" t="str">
        <v>AAPL</v>
      </c>
      <c r="M166" s="30" t="str">
        <v>Bob</v>
      </c>
      <c r="N166" s="30" t="str">
        <v>B</v>
      </c>
      <c r="O166" s="36">
        <v>300</v>
      </c>
      <c r="P166" s="35">
        <v>142.02000000000001</v>
      </c>
      <c r="Q166" s="35">
        <v>141.97</v>
      </c>
      <c r="R166" s="66">
        <v>-15.000000000003411</v>
      </c>
      <c r="S166" s="36">
        <v>300</v>
      </c>
      <c r="T166" s="21"/>
      <c r="U166" s="21"/>
      <c r="V166" s="9" t="s">
        <v>204</v>
      </c>
      <c r="W166" s="21"/>
      <c r="X166" s="21"/>
      <c r="Y166" s="21"/>
      <c r="Z166" s="21"/>
      <c r="AA166" s="21"/>
      <c r="AB166" s="21"/>
      <c r="AC166" s="20"/>
    </row>
    <row r="167" spans="1:29" x14ac:dyDescent="0.3">
      <c r="A167" s="18"/>
      <c r="B167" s="21"/>
      <c r="C167" s="21"/>
      <c r="D167" s="21"/>
      <c r="E167" s="21"/>
      <c r="F167" s="21"/>
      <c r="G167" s="21"/>
      <c r="H167" s="21"/>
      <c r="I167" s="21"/>
      <c r="J167" s="21"/>
      <c r="K167" s="21"/>
      <c r="L167" s="30" t="str">
        <v>AAPL Jun17 140P</v>
      </c>
      <c r="M167" s="30" t="str">
        <v>Bob</v>
      </c>
      <c r="N167" s="30" t="str">
        <v>B</v>
      </c>
      <c r="O167" s="36">
        <v>100</v>
      </c>
      <c r="P167" s="35">
        <v>4.3</v>
      </c>
      <c r="Q167" s="35">
        <v>4.3099999999999996</v>
      </c>
      <c r="R167" s="66">
        <v>99.999999999997868</v>
      </c>
      <c r="S167" s="36">
        <v>-3215</v>
      </c>
      <c r="T167" s="21"/>
      <c r="U167" s="21"/>
      <c r="V167" s="79" t="s">
        <v>211</v>
      </c>
      <c r="W167" s="21"/>
      <c r="X167" s="21"/>
      <c r="Y167" s="21"/>
      <c r="Z167" s="21"/>
      <c r="AA167" s="21"/>
      <c r="AB167" s="21"/>
      <c r="AC167" s="20"/>
    </row>
    <row r="168" spans="1:29" x14ac:dyDescent="0.3">
      <c r="A168" s="18"/>
      <c r="B168" s="21"/>
      <c r="C168" s="21"/>
      <c r="D168" s="21"/>
      <c r="E168" s="21"/>
      <c r="F168" s="21"/>
      <c r="G168" s="21"/>
      <c r="H168" s="21"/>
      <c r="I168" s="21"/>
      <c r="J168" s="21"/>
      <c r="K168" s="21"/>
      <c r="L168" s="30" t="str">
        <v>IBM</v>
      </c>
      <c r="M168" s="30" t="str">
        <v>Bob</v>
      </c>
      <c r="N168" s="30" t="str">
        <v>B</v>
      </c>
      <c r="O168" s="36">
        <v>100</v>
      </c>
      <c r="P168" s="35">
        <v>159.4</v>
      </c>
      <c r="Q168" s="35">
        <v>159.37</v>
      </c>
      <c r="R168" s="66">
        <v>-3.0000000000001137</v>
      </c>
      <c r="S168" s="36">
        <v>100</v>
      </c>
      <c r="T168" s="21"/>
      <c r="U168" s="21"/>
      <c r="V168" s="79" t="e">
        <f>1/0</f>
        <v>#DIV/0!</v>
      </c>
      <c r="W168" s="21"/>
      <c r="X168" s="21"/>
      <c r="Y168" s="21"/>
      <c r="Z168" s="21"/>
      <c r="AA168" s="21"/>
      <c r="AB168" s="21"/>
      <c r="AC168" s="20"/>
    </row>
    <row r="169" spans="1:29" x14ac:dyDescent="0.3">
      <c r="A169" s="18"/>
      <c r="B169" s="21"/>
      <c r="C169" s="21"/>
      <c r="D169" s="21"/>
      <c r="E169" s="21"/>
      <c r="F169" s="21"/>
      <c r="G169" s="21"/>
      <c r="H169" s="21"/>
      <c r="I169" s="21"/>
      <c r="J169" s="21"/>
      <c r="K169" s="21"/>
      <c r="L169" s="30" t="str">
        <v>IBM Jun17 160C</v>
      </c>
      <c r="M169" s="30" t="str">
        <v>Bob</v>
      </c>
      <c r="N169" s="30" t="str">
        <v>B</v>
      </c>
      <c r="O169" s="36">
        <v>50</v>
      </c>
      <c r="P169" s="35">
        <v>2.65</v>
      </c>
      <c r="Q169" s="35">
        <v>2.6</v>
      </c>
      <c r="R169" s="66">
        <v>-249.99999999999912</v>
      </c>
      <c r="S169" s="36">
        <v>2879</v>
      </c>
      <c r="T169" s="21"/>
      <c r="U169" s="21"/>
      <c r="V169" s="79" t="s">
        <v>212</v>
      </c>
      <c r="W169" s="21"/>
      <c r="X169" s="21"/>
      <c r="Y169" s="21"/>
      <c r="Z169" s="21"/>
      <c r="AA169" s="21"/>
      <c r="AB169" s="21"/>
      <c r="AC169" s="20"/>
    </row>
    <row r="170" spans="1:29" x14ac:dyDescent="0.3">
      <c r="A170" s="18"/>
      <c r="B170" s="21"/>
      <c r="C170" s="21"/>
      <c r="D170" s="21"/>
      <c r="E170" s="21"/>
      <c r="F170" s="21"/>
      <c r="G170" s="21"/>
      <c r="H170" s="21"/>
      <c r="I170" s="21"/>
      <c r="J170" s="21"/>
      <c r="K170" s="21"/>
      <c r="L170" s="30" t="str">
        <v>IBM Jun17 160C</v>
      </c>
      <c r="M170" s="30" t="str">
        <v>Bob</v>
      </c>
      <c r="N170" s="30" t="str">
        <v>S</v>
      </c>
      <c r="O170" s="36">
        <v>-10</v>
      </c>
      <c r="P170" s="35">
        <v>2.62</v>
      </c>
      <c r="Q170" s="35">
        <v>2.6</v>
      </c>
      <c r="R170" s="66">
        <v>20.000000000000018</v>
      </c>
      <c r="S170" s="36">
        <v>-575.79999999999995</v>
      </c>
      <c r="T170" s="21"/>
      <c r="U170" s="21"/>
      <c r="V170" s="79" t="s">
        <v>213</v>
      </c>
      <c r="W170" s="21"/>
      <c r="X170" s="21"/>
      <c r="Y170" s="21"/>
      <c r="Z170" s="21"/>
      <c r="AA170" s="21"/>
      <c r="AB170" s="21"/>
      <c r="AC170" s="20"/>
    </row>
    <row r="171" spans="1:29" x14ac:dyDescent="0.3">
      <c r="A171" s="18"/>
      <c r="B171" s="21"/>
      <c r="C171" s="21"/>
      <c r="D171" s="21"/>
      <c r="E171" s="21"/>
      <c r="F171" s="21"/>
      <c r="G171" s="21"/>
      <c r="H171" s="21"/>
      <c r="I171" s="21"/>
      <c r="J171" s="21"/>
      <c r="K171" s="21"/>
      <c r="L171" s="30" t="str">
        <v>IBM Jun17 160C</v>
      </c>
      <c r="M171" s="30" t="str">
        <v>Bob</v>
      </c>
      <c r="N171" s="30" t="str">
        <v>S</v>
      </c>
      <c r="O171" s="36">
        <v>-40</v>
      </c>
      <c r="P171" s="35">
        <v>2.61</v>
      </c>
      <c r="Q171" s="35">
        <v>2.6</v>
      </c>
      <c r="R171" s="66">
        <v>39.999999999999147</v>
      </c>
      <c r="S171" s="36">
        <v>-2303.1999999999998</v>
      </c>
      <c r="T171" s="21"/>
      <c r="U171" s="21"/>
      <c r="V171" s="21"/>
      <c r="W171" s="21"/>
      <c r="X171" s="21"/>
      <c r="Y171" s="21"/>
      <c r="Z171" s="21"/>
      <c r="AA171" s="21"/>
      <c r="AB171" s="21"/>
      <c r="AC171" s="20"/>
    </row>
    <row r="172" spans="1:29" x14ac:dyDescent="0.3">
      <c r="A172" s="18"/>
      <c r="B172" s="21"/>
      <c r="C172" s="21"/>
      <c r="D172" s="21"/>
      <c r="E172" s="21"/>
      <c r="F172" s="21"/>
      <c r="G172" s="21"/>
      <c r="H172" s="21"/>
      <c r="I172" s="21"/>
      <c r="J172" s="21"/>
      <c r="K172" s="21"/>
      <c r="L172" s="30" t="str">
        <v/>
      </c>
      <c r="M172" s="30" t="str">
        <v/>
      </c>
      <c r="N172" s="30" t="str">
        <v/>
      </c>
      <c r="O172" s="36" t="str">
        <v/>
      </c>
      <c r="P172" s="35" t="str">
        <v/>
      </c>
      <c r="Q172" s="35" t="str">
        <v/>
      </c>
      <c r="R172" s="66" t="str">
        <v/>
      </c>
      <c r="S172" s="36" t="str">
        <v/>
      </c>
      <c r="T172" s="21"/>
      <c r="U172" s="21"/>
      <c r="V172" s="21"/>
      <c r="W172" s="21"/>
      <c r="X172" s="21"/>
      <c r="Y172" s="21"/>
      <c r="Z172" s="21"/>
      <c r="AA172" s="21"/>
      <c r="AB172" s="21"/>
      <c r="AC172" s="20"/>
    </row>
    <row r="173" spans="1:29" x14ac:dyDescent="0.3">
      <c r="A173" s="18"/>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0"/>
    </row>
    <row r="174" spans="1:29" x14ac:dyDescent="0.3">
      <c r="A174" s="18"/>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0"/>
    </row>
    <row r="175" spans="1:29" x14ac:dyDescent="0.3">
      <c r="A175" s="18"/>
      <c r="B175" s="21"/>
      <c r="C175" s="21"/>
      <c r="D175" s="21"/>
      <c r="E175" s="21"/>
      <c r="F175" s="21"/>
      <c r="G175" s="21"/>
      <c r="H175" s="21"/>
      <c r="I175" s="21"/>
      <c r="J175" s="21"/>
      <c r="K175" s="21"/>
      <c r="L175" s="67"/>
      <c r="M175" s="67"/>
      <c r="N175" s="67"/>
      <c r="O175" s="67"/>
      <c r="P175" s="67"/>
      <c r="Q175" s="67"/>
      <c r="R175" s="67"/>
      <c r="S175" s="67"/>
      <c r="T175" s="67"/>
      <c r="U175" s="67"/>
      <c r="V175" s="67"/>
      <c r="W175" s="67"/>
      <c r="X175" s="67"/>
      <c r="Y175" s="67"/>
      <c r="Z175" s="67"/>
      <c r="AA175" s="67"/>
      <c r="AB175" s="21"/>
      <c r="AC175" s="20"/>
    </row>
    <row r="176" spans="1:29" x14ac:dyDescent="0.3">
      <c r="A176" s="18"/>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0"/>
    </row>
    <row r="177" spans="1:29" x14ac:dyDescent="0.3">
      <c r="A177" s="18"/>
      <c r="B177" s="21"/>
      <c r="C177" s="21"/>
      <c r="D177" s="21"/>
      <c r="E177" s="21"/>
      <c r="F177" s="21"/>
      <c r="G177" s="21"/>
      <c r="H177" s="21"/>
      <c r="I177" s="21"/>
      <c r="J177" s="21"/>
      <c r="K177" s="21"/>
      <c r="L177" s="492" t="s">
        <v>3404</v>
      </c>
      <c r="M177" s="529"/>
      <c r="N177" s="529"/>
      <c r="O177" s="529"/>
      <c r="P177" s="529"/>
      <c r="Q177" s="529"/>
      <c r="R177" s="529"/>
      <c r="S177" s="493"/>
      <c r="T177" s="21"/>
      <c r="U177" s="21"/>
      <c r="V177" s="21"/>
      <c r="W177" s="21"/>
      <c r="X177" s="21"/>
      <c r="Y177" s="21"/>
      <c r="Z177" s="21"/>
      <c r="AA177" s="21"/>
      <c r="AB177" s="21"/>
      <c r="AC177" s="20"/>
    </row>
    <row r="178" spans="1:29" x14ac:dyDescent="0.3">
      <c r="A178" s="18"/>
      <c r="B178" s="21"/>
      <c r="C178" s="21"/>
      <c r="D178" s="21"/>
      <c r="E178" s="21"/>
      <c r="F178" s="21"/>
      <c r="G178" s="21"/>
      <c r="H178" s="21"/>
      <c r="I178" s="21"/>
      <c r="J178" s="21"/>
      <c r="K178" s="21"/>
      <c r="L178" s="3" t="str">
        <f t="array" ref="L178:S191">_xll.U.VSORT(B7:I20,{-1,TRUE})</f>
        <v>Symbol</v>
      </c>
      <c r="M178" s="3" t="str">
        <v>Broker</v>
      </c>
      <c r="N178" s="3" t="str">
        <v>Side</v>
      </c>
      <c r="O178" s="3" t="str">
        <v>Quantity</v>
      </c>
      <c r="P178" s="3" t="str">
        <v>Trade Price</v>
      </c>
      <c r="Q178" s="3" t="str">
        <v>Current Price</v>
      </c>
      <c r="R178" s="3" t="str">
        <v>P&amp;L</v>
      </c>
      <c r="S178" s="3" t="str">
        <v>Current Delta</v>
      </c>
      <c r="T178" s="21"/>
      <c r="U178" s="21"/>
      <c r="V178" s="21"/>
      <c r="W178" s="21"/>
      <c r="X178" s="21"/>
      <c r="Y178" s="21"/>
      <c r="Z178" s="21"/>
      <c r="AA178" s="21"/>
      <c r="AB178" s="21"/>
      <c r="AC178" s="20"/>
    </row>
    <row r="179" spans="1:29" x14ac:dyDescent="0.3">
      <c r="A179" s="18"/>
      <c r="B179" s="21"/>
      <c r="C179" s="21"/>
      <c r="D179" s="21"/>
      <c r="E179" s="21"/>
      <c r="F179" s="21"/>
      <c r="G179" s="21"/>
      <c r="H179" s="21"/>
      <c r="I179" s="21"/>
      <c r="J179" s="21"/>
      <c r="K179" s="21"/>
      <c r="L179" s="30" t="str">
        <v>IBM Jun17 160C</v>
      </c>
      <c r="M179" s="30" t="str">
        <v>Bob</v>
      </c>
      <c r="N179" s="30" t="str">
        <v>S</v>
      </c>
      <c r="O179" s="36">
        <v>-40</v>
      </c>
      <c r="P179" s="35">
        <v>2.61</v>
      </c>
      <c r="Q179" s="35">
        <v>2.6</v>
      </c>
      <c r="R179" s="66">
        <v>39.999999999999147</v>
      </c>
      <c r="S179" s="36">
        <v>-2303.1999999999998</v>
      </c>
      <c r="T179" s="21"/>
      <c r="U179" s="21"/>
      <c r="V179" s="21"/>
      <c r="W179" s="21"/>
      <c r="X179" s="21"/>
      <c r="Y179" s="21"/>
      <c r="Z179" s="21"/>
      <c r="AA179" s="21"/>
      <c r="AB179" s="21"/>
      <c r="AC179" s="20"/>
    </row>
    <row r="180" spans="1:29" x14ac:dyDescent="0.3">
      <c r="A180" s="18"/>
      <c r="B180" s="21"/>
      <c r="C180" s="21"/>
      <c r="D180" s="21"/>
      <c r="E180" s="21"/>
      <c r="F180" s="21"/>
      <c r="G180" s="21"/>
      <c r="H180" s="21"/>
      <c r="I180" s="21"/>
      <c r="J180" s="21"/>
      <c r="K180" s="21"/>
      <c r="L180" s="30" t="str">
        <v>AAPL</v>
      </c>
      <c r="M180" s="30" t="str">
        <v>Tom</v>
      </c>
      <c r="N180" s="30" t="str">
        <v>B</v>
      </c>
      <c r="O180" s="36">
        <v>1500</v>
      </c>
      <c r="P180" s="35">
        <v>141.97999999999999</v>
      </c>
      <c r="Q180" s="35">
        <v>141.97</v>
      </c>
      <c r="R180" s="66">
        <v>-14.999999999986358</v>
      </c>
      <c r="S180" s="36">
        <v>600</v>
      </c>
      <c r="T180" s="21"/>
      <c r="U180" s="21"/>
      <c r="V180" s="21"/>
      <c r="W180" s="21"/>
      <c r="X180" s="21"/>
      <c r="Y180" s="21"/>
      <c r="Z180" s="21"/>
      <c r="AA180" s="21"/>
      <c r="AB180" s="21"/>
      <c r="AC180" s="20"/>
    </row>
    <row r="181" spans="1:29" x14ac:dyDescent="0.3">
      <c r="A181" s="18"/>
      <c r="B181" s="21"/>
      <c r="C181" s="21"/>
      <c r="D181" s="21"/>
      <c r="E181" s="21"/>
      <c r="F181" s="21"/>
      <c r="G181" s="21"/>
      <c r="H181" s="21"/>
      <c r="I181" s="21"/>
      <c r="J181" s="21"/>
      <c r="K181" s="21"/>
      <c r="L181" s="30" t="str">
        <v>IBM Jun17 160C</v>
      </c>
      <c r="M181" s="30" t="str">
        <v>Bob</v>
      </c>
      <c r="N181" s="30" t="str">
        <v>S</v>
      </c>
      <c r="O181" s="36">
        <v>-10</v>
      </c>
      <c r="P181" s="35">
        <v>2.62</v>
      </c>
      <c r="Q181" s="35">
        <v>2.6</v>
      </c>
      <c r="R181" s="66">
        <v>20.000000000000018</v>
      </c>
      <c r="S181" s="36">
        <v>-575.79999999999995</v>
      </c>
      <c r="T181" s="21"/>
      <c r="U181" s="21"/>
      <c r="V181" s="21"/>
      <c r="W181" s="21"/>
      <c r="X181" s="21"/>
      <c r="Y181" s="21"/>
      <c r="Z181" s="21"/>
      <c r="AA181" s="21"/>
      <c r="AB181" s="21"/>
      <c r="AC181" s="20"/>
    </row>
    <row r="182" spans="1:29" x14ac:dyDescent="0.3">
      <c r="A182" s="18"/>
      <c r="B182" s="21"/>
      <c r="C182" s="21"/>
      <c r="D182" s="21"/>
      <c r="E182" s="21"/>
      <c r="F182" s="21"/>
      <c r="G182" s="21"/>
      <c r="H182" s="21"/>
      <c r="I182" s="21"/>
      <c r="J182" s="21"/>
      <c r="K182" s="21"/>
      <c r="L182" s="30" t="str">
        <v>IBM</v>
      </c>
      <c r="M182" s="30" t="str">
        <v>Bob</v>
      </c>
      <c r="N182" s="30" t="str">
        <v>B</v>
      </c>
      <c r="O182" s="36">
        <v>100</v>
      </c>
      <c r="P182" s="35">
        <v>159.4</v>
      </c>
      <c r="Q182" s="35">
        <v>159.37</v>
      </c>
      <c r="R182" s="66">
        <v>-3.0000000000001137</v>
      </c>
      <c r="S182" s="36">
        <v>100</v>
      </c>
      <c r="T182" s="21"/>
      <c r="U182" s="21"/>
      <c r="V182" s="21"/>
      <c r="W182" s="21"/>
      <c r="X182" s="21"/>
      <c r="Y182" s="21"/>
      <c r="Z182" s="21"/>
      <c r="AA182" s="21"/>
      <c r="AB182" s="21"/>
      <c r="AC182" s="20"/>
    </row>
    <row r="183" spans="1:29" x14ac:dyDescent="0.3">
      <c r="A183" s="18"/>
      <c r="B183" s="21"/>
      <c r="C183" s="21"/>
      <c r="D183" s="21"/>
      <c r="E183" s="21"/>
      <c r="F183" s="21"/>
      <c r="G183" s="21"/>
      <c r="H183" s="21"/>
      <c r="I183" s="21"/>
      <c r="J183" s="21"/>
      <c r="K183" s="21"/>
      <c r="L183" s="30" t="e">
        <v>#DIV/0!</v>
      </c>
      <c r="M183" s="30" t="e">
        <v>#DIV/0!</v>
      </c>
      <c r="N183" s="30" t="e">
        <v>#DIV/0!</v>
      </c>
      <c r="O183" s="36" t="e">
        <v>#DIV/0!</v>
      </c>
      <c r="P183" s="35" t="e">
        <v>#DIV/0!</v>
      </c>
      <c r="Q183" s="35" t="e">
        <v>#DIV/0!</v>
      </c>
      <c r="R183" s="66" t="e">
        <v>#DIV/0!</v>
      </c>
      <c r="S183" s="36" t="e">
        <v>#DIV/0!</v>
      </c>
      <c r="T183" s="21"/>
      <c r="U183" s="21"/>
      <c r="V183" s="21"/>
      <c r="W183" s="21"/>
      <c r="X183" s="21"/>
      <c r="Y183" s="21"/>
      <c r="Z183" s="21"/>
      <c r="AA183" s="21"/>
      <c r="AB183" s="21"/>
      <c r="AC183" s="20"/>
    </row>
    <row r="184" spans="1:29" x14ac:dyDescent="0.3">
      <c r="A184" s="18"/>
      <c r="B184" s="21"/>
      <c r="C184" s="21"/>
      <c r="D184" s="21"/>
      <c r="E184" s="21"/>
      <c r="F184" s="21"/>
      <c r="G184" s="21"/>
      <c r="H184" s="21"/>
      <c r="I184" s="21"/>
      <c r="J184" s="21"/>
      <c r="K184" s="21"/>
      <c r="L184" s="30" t="str">
        <v>IBM</v>
      </c>
      <c r="M184" s="30" t="str">
        <v>Sally</v>
      </c>
      <c r="N184" s="30" t="str">
        <v>B</v>
      </c>
      <c r="O184" s="36">
        <v>100</v>
      </c>
      <c r="P184" s="35">
        <v>159.4</v>
      </c>
      <c r="Q184" s="35">
        <v>159.37</v>
      </c>
      <c r="R184" s="66">
        <v>-3.0000000000001137</v>
      </c>
      <c r="S184" s="36">
        <v>100</v>
      </c>
      <c r="T184" s="21"/>
      <c r="U184" s="21"/>
      <c r="V184" s="21"/>
      <c r="W184" s="21"/>
      <c r="X184" s="21"/>
      <c r="Y184" s="21"/>
      <c r="Z184" s="21"/>
      <c r="AA184" s="21"/>
      <c r="AB184" s="21"/>
      <c r="AC184" s="20"/>
    </row>
    <row r="185" spans="1:29" x14ac:dyDescent="0.3">
      <c r="A185" s="18"/>
      <c r="B185" s="21"/>
      <c r="C185" s="21"/>
      <c r="D185" s="21"/>
      <c r="E185" s="21"/>
      <c r="F185" s="21"/>
      <c r="G185" s="21"/>
      <c r="H185" s="21"/>
      <c r="I185" s="21"/>
      <c r="J185" s="21"/>
      <c r="K185" s="21"/>
      <c r="L185" s="30" t="str">
        <v>AAPL</v>
      </c>
      <c r="M185" s="30" t="str">
        <v>Bob</v>
      </c>
      <c r="N185" s="30" t="str">
        <v>B</v>
      </c>
      <c r="O185" s="36">
        <v>300</v>
      </c>
      <c r="P185" s="35">
        <v>142.02000000000001</v>
      </c>
      <c r="Q185" s="35">
        <v>141.97</v>
      </c>
      <c r="R185" s="66">
        <v>-15.000000000003411</v>
      </c>
      <c r="S185" s="36">
        <v>300</v>
      </c>
      <c r="T185" s="21"/>
      <c r="U185" s="21"/>
      <c r="V185" s="21"/>
      <c r="W185" s="21"/>
      <c r="X185" s="21"/>
      <c r="Y185" s="21"/>
      <c r="Z185" s="21"/>
      <c r="AA185" s="21"/>
      <c r="AB185" s="21"/>
      <c r="AC185" s="20"/>
    </row>
    <row r="186" spans="1:29" x14ac:dyDescent="0.3">
      <c r="A186" s="18"/>
      <c r="B186" s="21"/>
      <c r="C186" s="21"/>
      <c r="D186" s="21"/>
      <c r="E186" s="21"/>
      <c r="F186" s="21"/>
      <c r="G186" s="21"/>
      <c r="H186" s="21"/>
      <c r="I186" s="21"/>
      <c r="J186" s="21"/>
      <c r="K186" s="21"/>
      <c r="L186" s="30" t="str">
        <v>AAPL</v>
      </c>
      <c r="M186" s="30" t="str">
        <v>Sally</v>
      </c>
      <c r="N186" s="30" t="str">
        <v>B</v>
      </c>
      <c r="O186" s="36">
        <v>100</v>
      </c>
      <c r="P186" s="35">
        <v>142.02000000000001</v>
      </c>
      <c r="Q186" s="35">
        <v>141.97</v>
      </c>
      <c r="R186" s="66">
        <v>-5.0000000000011369</v>
      </c>
      <c r="S186" s="36">
        <v>100</v>
      </c>
      <c r="T186" s="21"/>
      <c r="U186" s="21"/>
      <c r="V186" s="21"/>
      <c r="W186" s="21"/>
      <c r="X186" s="21"/>
      <c r="Y186" s="21"/>
      <c r="Z186" s="21"/>
      <c r="AA186" s="21"/>
      <c r="AB186" s="21"/>
      <c r="AC186" s="20"/>
    </row>
    <row r="187" spans="1:29" x14ac:dyDescent="0.3">
      <c r="A187" s="18"/>
      <c r="B187" s="21"/>
      <c r="C187" s="21"/>
      <c r="D187" s="21"/>
      <c r="E187" s="21"/>
      <c r="F187" s="21"/>
      <c r="G187" s="21"/>
      <c r="H187" s="21"/>
      <c r="I187" s="21"/>
      <c r="J187" s="21"/>
      <c r="K187" s="21"/>
      <c r="L187" s="30" t="str">
        <v>AAPL</v>
      </c>
      <c r="M187" s="30" t="str">
        <v>Tom</v>
      </c>
      <c r="N187" s="30" t="str">
        <v>B</v>
      </c>
      <c r="O187" s="36">
        <v>700</v>
      </c>
      <c r="P187" s="35">
        <v>142.02000000000001</v>
      </c>
      <c r="Q187" s="35">
        <v>141.97</v>
      </c>
      <c r="R187" s="66">
        <v>-35.000000000007958</v>
      </c>
      <c r="S187" s="36">
        <v>1500</v>
      </c>
      <c r="T187" s="21"/>
      <c r="U187" s="21"/>
      <c r="V187" s="21"/>
      <c r="W187" s="21"/>
      <c r="X187" s="21"/>
      <c r="Y187" s="21"/>
      <c r="Z187" s="21"/>
      <c r="AA187" s="21"/>
      <c r="AB187" s="21"/>
      <c r="AC187" s="20"/>
    </row>
    <row r="188" spans="1:29" x14ac:dyDescent="0.3">
      <c r="A188" s="18"/>
      <c r="B188" s="21"/>
      <c r="C188" s="21"/>
      <c r="D188" s="21"/>
      <c r="E188" s="21"/>
      <c r="F188" s="21"/>
      <c r="G188" s="21"/>
      <c r="H188" s="21"/>
      <c r="I188" s="21"/>
      <c r="J188" s="21"/>
      <c r="K188" s="21"/>
      <c r="L188" s="30" t="str">
        <v/>
      </c>
      <c r="M188" s="30" t="str">
        <v/>
      </c>
      <c r="N188" s="30" t="str">
        <v/>
      </c>
      <c r="O188" s="36" t="str">
        <v/>
      </c>
      <c r="P188" s="35" t="str">
        <v/>
      </c>
      <c r="Q188" s="35" t="str">
        <v/>
      </c>
      <c r="R188" s="66" t="str">
        <v/>
      </c>
      <c r="S188" s="36" t="str">
        <v/>
      </c>
      <c r="T188" s="21"/>
      <c r="U188" s="21"/>
      <c r="V188" s="21"/>
      <c r="W188" s="21"/>
      <c r="X188" s="21"/>
      <c r="Y188" s="21"/>
      <c r="Z188" s="21"/>
      <c r="AA188" s="21"/>
      <c r="AB188" s="21"/>
      <c r="AC188" s="20"/>
    </row>
    <row r="189" spans="1:29" x14ac:dyDescent="0.3">
      <c r="A189" s="18"/>
      <c r="B189" s="21"/>
      <c r="C189" s="21"/>
      <c r="D189" s="21"/>
      <c r="E189" s="21"/>
      <c r="F189" s="21"/>
      <c r="G189" s="21"/>
      <c r="H189" s="21"/>
      <c r="I189" s="21"/>
      <c r="J189" s="21"/>
      <c r="K189" s="21"/>
      <c r="L189" s="30" t="str">
        <v>IBM</v>
      </c>
      <c r="M189" s="30" t="str">
        <v>Sally</v>
      </c>
      <c r="N189" s="30" t="str">
        <v>S</v>
      </c>
      <c r="O189" s="36">
        <v>-3000</v>
      </c>
      <c r="P189" s="35">
        <v>159.49</v>
      </c>
      <c r="Q189" s="35">
        <v>159.37</v>
      </c>
      <c r="R189" s="66">
        <v>360.00000000001364</v>
      </c>
      <c r="S189" s="36">
        <v>-3000</v>
      </c>
      <c r="T189" s="21"/>
      <c r="U189" s="21"/>
      <c r="V189" s="21"/>
      <c r="W189" s="21"/>
      <c r="X189" s="21"/>
      <c r="Y189" s="21"/>
      <c r="Z189" s="21"/>
      <c r="AA189" s="21"/>
      <c r="AB189" s="21"/>
      <c r="AC189" s="20"/>
    </row>
    <row r="190" spans="1:29" x14ac:dyDescent="0.3">
      <c r="A190" s="18"/>
      <c r="B190" s="21"/>
      <c r="C190" s="21"/>
      <c r="D190" s="21"/>
      <c r="E190" s="21"/>
      <c r="F190" s="21"/>
      <c r="G190" s="21"/>
      <c r="H190" s="21"/>
      <c r="I190" s="21"/>
      <c r="J190" s="21"/>
      <c r="K190" s="21"/>
      <c r="L190" s="30" t="str">
        <v>IBM Jun17 160C</v>
      </c>
      <c r="M190" s="30" t="str">
        <v>Bob</v>
      </c>
      <c r="N190" s="30" t="str">
        <v>B</v>
      </c>
      <c r="O190" s="36">
        <v>50</v>
      </c>
      <c r="P190" s="35">
        <v>2.65</v>
      </c>
      <c r="Q190" s="35">
        <v>2.6</v>
      </c>
      <c r="R190" s="66">
        <v>-249.99999999999912</v>
      </c>
      <c r="S190" s="36">
        <v>2879</v>
      </c>
      <c r="T190" s="21"/>
      <c r="U190" s="21"/>
      <c r="V190" s="21"/>
      <c r="W190" s="21"/>
      <c r="X190" s="21"/>
      <c r="Y190" s="21"/>
      <c r="Z190" s="21"/>
      <c r="AA190" s="21"/>
      <c r="AB190" s="21"/>
      <c r="AC190" s="20"/>
    </row>
    <row r="191" spans="1:29" x14ac:dyDescent="0.3">
      <c r="A191" s="18"/>
      <c r="B191" s="21"/>
      <c r="C191" s="21"/>
      <c r="D191" s="21"/>
      <c r="E191" s="21"/>
      <c r="F191" s="21"/>
      <c r="G191" s="21"/>
      <c r="H191" s="21"/>
      <c r="I191" s="21"/>
      <c r="J191" s="21"/>
      <c r="K191" s="21"/>
      <c r="L191" s="30" t="str">
        <v>AAPL Jun17 140P</v>
      </c>
      <c r="M191" s="30" t="str">
        <v>Bob</v>
      </c>
      <c r="N191" s="30" t="str">
        <v>B</v>
      </c>
      <c r="O191" s="36">
        <v>100</v>
      </c>
      <c r="P191" s="35">
        <v>4.3</v>
      </c>
      <c r="Q191" s="35">
        <v>4.3099999999999996</v>
      </c>
      <c r="R191" s="66">
        <v>99.999999999997868</v>
      </c>
      <c r="S191" s="36">
        <v>-3215</v>
      </c>
      <c r="T191" s="21"/>
      <c r="U191" s="21"/>
      <c r="V191" s="21"/>
      <c r="W191" s="21"/>
      <c r="X191" s="21"/>
      <c r="Y191" s="21"/>
      <c r="Z191" s="21"/>
      <c r="AA191" s="21"/>
      <c r="AB191" s="21"/>
      <c r="AC191" s="20"/>
    </row>
    <row r="192" spans="1:29" x14ac:dyDescent="0.3">
      <c r="A192" s="18"/>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0"/>
    </row>
    <row r="193" spans="1:29" x14ac:dyDescent="0.3">
      <c r="A193" s="18"/>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0"/>
    </row>
    <row r="194" spans="1:29" x14ac:dyDescent="0.3">
      <c r="A194" s="18"/>
      <c r="B194" s="21"/>
      <c r="C194" s="21"/>
      <c r="D194" s="21"/>
      <c r="E194" s="21"/>
      <c r="F194" s="21"/>
      <c r="G194" s="21"/>
      <c r="H194" s="21"/>
      <c r="I194" s="21"/>
      <c r="J194" s="21"/>
      <c r="K194" s="21"/>
      <c r="L194" s="67"/>
      <c r="M194" s="67"/>
      <c r="N194" s="67"/>
      <c r="O194" s="67"/>
      <c r="P194" s="67"/>
      <c r="Q194" s="67"/>
      <c r="R194" s="67"/>
      <c r="S194" s="67"/>
      <c r="T194" s="67"/>
      <c r="U194" s="67"/>
      <c r="V194" s="67"/>
      <c r="W194" s="67"/>
      <c r="X194" s="67"/>
      <c r="Y194" s="67"/>
      <c r="Z194" s="67"/>
      <c r="AA194" s="67"/>
      <c r="AB194" s="21"/>
      <c r="AC194" s="20"/>
    </row>
    <row r="195" spans="1:29" x14ac:dyDescent="0.3">
      <c r="A195" s="18"/>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0"/>
    </row>
    <row r="196" spans="1:29" x14ac:dyDescent="0.3">
      <c r="A196" s="18"/>
      <c r="B196" s="21"/>
      <c r="C196" s="21"/>
      <c r="D196" s="21"/>
      <c r="E196" s="21"/>
      <c r="F196" s="21"/>
      <c r="G196" s="21"/>
      <c r="H196" s="21"/>
      <c r="I196" s="21"/>
      <c r="J196" s="21"/>
      <c r="K196" s="21"/>
      <c r="L196" s="492" t="s">
        <v>3404</v>
      </c>
      <c r="M196" s="529"/>
      <c r="N196" s="529"/>
      <c r="O196" s="529"/>
      <c r="P196" s="529"/>
      <c r="Q196" s="529"/>
      <c r="R196" s="529"/>
      <c r="S196" s="493"/>
      <c r="T196" s="21"/>
      <c r="U196" s="21"/>
      <c r="V196" s="475" t="s">
        <v>197</v>
      </c>
      <c r="W196" s="475"/>
      <c r="X196" s="21"/>
      <c r="Y196" s="21"/>
      <c r="Z196" s="21"/>
      <c r="AA196" s="21"/>
      <c r="AB196" s="21"/>
      <c r="AC196" s="20"/>
    </row>
    <row r="197" spans="1:29" x14ac:dyDescent="0.3">
      <c r="A197" s="18"/>
      <c r="B197" s="21"/>
      <c r="C197" s="21"/>
      <c r="D197" s="21"/>
      <c r="E197" s="21"/>
      <c r="F197" s="21"/>
      <c r="G197" s="21"/>
      <c r="H197" s="21"/>
      <c r="I197" s="21"/>
      <c r="J197" s="21"/>
      <c r="K197" s="21"/>
      <c r="L197" s="3" t="str">
        <f t="array" ref="L197:S210">_xll.U.VSORT(B7:I20,V198:W202)</f>
        <v>Symbol</v>
      </c>
      <c r="M197" s="3" t="str">
        <v>Broker</v>
      </c>
      <c r="N197" s="3" t="str">
        <v>Side</v>
      </c>
      <c r="O197" s="3" t="str">
        <v>Quantity</v>
      </c>
      <c r="P197" s="3" t="str">
        <v>Trade Price</v>
      </c>
      <c r="Q197" s="3" t="str">
        <v>Current Price</v>
      </c>
      <c r="R197" s="3" t="str">
        <v>P&amp;L</v>
      </c>
      <c r="S197" s="3" t="str">
        <v>Current Delta</v>
      </c>
      <c r="T197" s="21"/>
      <c r="U197" s="21"/>
      <c r="V197" s="9" t="s">
        <v>126</v>
      </c>
      <c r="W197" s="9" t="s">
        <v>198</v>
      </c>
      <c r="X197" s="21"/>
      <c r="Y197" s="21"/>
      <c r="Z197" s="21"/>
      <c r="AA197" s="21"/>
      <c r="AB197" s="21"/>
      <c r="AC197" s="20"/>
    </row>
    <row r="198" spans="1:29" x14ac:dyDescent="0.3">
      <c r="A198" s="18"/>
      <c r="B198" s="21"/>
      <c r="C198" s="21"/>
      <c r="D198" s="21"/>
      <c r="E198" s="21"/>
      <c r="F198" s="21"/>
      <c r="G198" s="21"/>
      <c r="H198" s="21"/>
      <c r="I198" s="21"/>
      <c r="J198" s="21"/>
      <c r="K198" s="21"/>
      <c r="L198" s="30" t="str">
        <v>AAPL Jun17 140P</v>
      </c>
      <c r="M198" s="30" t="str">
        <v>Bob</v>
      </c>
      <c r="N198" s="30" t="str">
        <v>B</v>
      </c>
      <c r="O198" s="36">
        <v>100</v>
      </c>
      <c r="P198" s="35">
        <v>4.3</v>
      </c>
      <c r="Q198" s="35">
        <v>4.3099999999999996</v>
      </c>
      <c r="R198" s="66">
        <v>99.999999999997868</v>
      </c>
      <c r="S198" s="36">
        <v>-3215</v>
      </c>
      <c r="T198" s="21"/>
      <c r="U198" s="21"/>
      <c r="V198" s="79" t="s">
        <v>1048</v>
      </c>
      <c r="W198" s="79"/>
      <c r="X198" s="21"/>
      <c r="Y198" s="21"/>
      <c r="Z198" s="21"/>
      <c r="AA198" s="21"/>
      <c r="AB198" s="21"/>
      <c r="AC198" s="20"/>
    </row>
    <row r="199" spans="1:29" x14ac:dyDescent="0.3">
      <c r="A199" s="18"/>
      <c r="B199" s="21"/>
      <c r="C199" s="21"/>
      <c r="D199" s="21"/>
      <c r="E199" s="21"/>
      <c r="F199" s="21"/>
      <c r="G199" s="21"/>
      <c r="H199" s="21"/>
      <c r="I199" s="21"/>
      <c r="J199" s="21"/>
      <c r="K199" s="21"/>
      <c r="L199" s="30" t="str">
        <v>IBM Jun17 160C</v>
      </c>
      <c r="M199" s="30" t="str">
        <v>Bob</v>
      </c>
      <c r="N199" s="30" t="str">
        <v>B</v>
      </c>
      <c r="O199" s="36">
        <v>50</v>
      </c>
      <c r="P199" s="35">
        <v>2.65</v>
      </c>
      <c r="Q199" s="35">
        <v>2.6</v>
      </c>
      <c r="R199" s="66">
        <v>-249.99999999999912</v>
      </c>
      <c r="S199" s="36">
        <v>2879</v>
      </c>
      <c r="T199" s="21"/>
      <c r="U199" s="21"/>
      <c r="V199" s="79" t="s">
        <v>2</v>
      </c>
      <c r="W199" s="79">
        <v>1</v>
      </c>
      <c r="X199" s="21"/>
      <c r="Y199" s="21"/>
      <c r="Z199" s="21"/>
      <c r="AA199" s="21"/>
      <c r="AB199" s="21"/>
      <c r="AC199" s="20"/>
    </row>
    <row r="200" spans="1:29" x14ac:dyDescent="0.3">
      <c r="A200" s="18"/>
      <c r="B200" s="21"/>
      <c r="C200" s="21"/>
      <c r="D200" s="21"/>
      <c r="E200" s="21"/>
      <c r="F200" s="21"/>
      <c r="G200" s="21"/>
      <c r="H200" s="21"/>
      <c r="I200" s="21"/>
      <c r="J200" s="21"/>
      <c r="K200" s="21"/>
      <c r="L200" s="30" t="str">
        <v>IBM</v>
      </c>
      <c r="M200" s="30" t="str">
        <v>Sally</v>
      </c>
      <c r="N200" s="30" t="str">
        <v>S</v>
      </c>
      <c r="O200" s="36">
        <v>-3000</v>
      </c>
      <c r="P200" s="35">
        <v>159.49</v>
      </c>
      <c r="Q200" s="35">
        <v>159.37</v>
      </c>
      <c r="R200" s="66">
        <v>360.00000000001364</v>
      </c>
      <c r="S200" s="36">
        <v>-3000</v>
      </c>
      <c r="T200" s="21"/>
      <c r="U200" s="21"/>
      <c r="V200" s="79" t="s">
        <v>101</v>
      </c>
      <c r="W200" s="79">
        <v>1</v>
      </c>
      <c r="X200" s="21"/>
      <c r="Y200" s="21"/>
      <c r="Z200" s="21"/>
      <c r="AA200" s="21"/>
      <c r="AB200" s="21"/>
      <c r="AC200" s="20"/>
    </row>
    <row r="201" spans="1:29" x14ac:dyDescent="0.3">
      <c r="A201" s="18"/>
      <c r="B201" s="21"/>
      <c r="C201" s="21"/>
      <c r="D201" s="21"/>
      <c r="E201" s="21"/>
      <c r="F201" s="21"/>
      <c r="G201" s="21"/>
      <c r="H201" s="21"/>
      <c r="I201" s="21"/>
      <c r="J201" s="21"/>
      <c r="K201" s="21"/>
      <c r="L201" s="30" t="str">
        <v/>
      </c>
      <c r="M201" s="30" t="str">
        <v/>
      </c>
      <c r="N201" s="30" t="str">
        <v/>
      </c>
      <c r="O201" s="36" t="str">
        <v/>
      </c>
      <c r="P201" s="35" t="str">
        <v/>
      </c>
      <c r="Q201" s="35" t="str">
        <v/>
      </c>
      <c r="R201" s="66" t="str">
        <v/>
      </c>
      <c r="S201" s="36" t="str">
        <v/>
      </c>
      <c r="T201" s="21"/>
      <c r="U201" s="21"/>
      <c r="V201" s="79" t="s">
        <v>62</v>
      </c>
      <c r="W201" s="79">
        <v>-2</v>
      </c>
      <c r="X201" s="21"/>
      <c r="Y201" s="21"/>
      <c r="Z201" s="21"/>
      <c r="AA201" s="21"/>
      <c r="AB201" s="21"/>
      <c r="AC201" s="20"/>
    </row>
    <row r="202" spans="1:29" x14ac:dyDescent="0.3">
      <c r="A202" s="18"/>
      <c r="B202" s="21"/>
      <c r="C202" s="21"/>
      <c r="D202" s="21"/>
      <c r="E202" s="21"/>
      <c r="F202" s="21"/>
      <c r="G202" s="21"/>
      <c r="H202" s="21"/>
      <c r="I202" s="21"/>
      <c r="J202" s="21"/>
      <c r="K202" s="21"/>
      <c r="L202" s="30" t="str">
        <v>AAPL</v>
      </c>
      <c r="M202" s="30" t="str">
        <v>Tom</v>
      </c>
      <c r="N202" s="30" t="str">
        <v>B</v>
      </c>
      <c r="O202" s="36">
        <v>700</v>
      </c>
      <c r="P202" s="35">
        <v>142.02000000000001</v>
      </c>
      <c r="Q202" s="35">
        <v>141.97</v>
      </c>
      <c r="R202" s="66">
        <v>-35.000000000007958</v>
      </c>
      <c r="S202" s="36">
        <v>1500</v>
      </c>
      <c r="T202" s="21"/>
      <c r="U202" s="21"/>
      <c r="V202" s="79"/>
      <c r="W202" s="79"/>
      <c r="X202" s="21"/>
      <c r="Y202" s="21"/>
      <c r="Z202" s="21"/>
      <c r="AA202" s="21"/>
      <c r="AB202" s="21"/>
      <c r="AC202" s="20"/>
    </row>
    <row r="203" spans="1:29" x14ac:dyDescent="0.3">
      <c r="A203" s="18"/>
      <c r="B203" s="21"/>
      <c r="C203" s="21"/>
      <c r="D203" s="21"/>
      <c r="E203" s="21"/>
      <c r="F203" s="21"/>
      <c r="G203" s="21"/>
      <c r="H203" s="21"/>
      <c r="I203" s="21"/>
      <c r="J203" s="21"/>
      <c r="K203" s="21"/>
      <c r="L203" s="30" t="str">
        <v>AAPL</v>
      </c>
      <c r="M203" s="30" t="str">
        <v>Sally</v>
      </c>
      <c r="N203" s="30" t="str">
        <v>B</v>
      </c>
      <c r="O203" s="36">
        <v>100</v>
      </c>
      <c r="P203" s="35">
        <v>142.02000000000001</v>
      </c>
      <c r="Q203" s="35">
        <v>141.97</v>
      </c>
      <c r="R203" s="66">
        <v>-5.0000000000011369</v>
      </c>
      <c r="S203" s="36">
        <v>100</v>
      </c>
      <c r="T203" s="21"/>
      <c r="U203" s="21"/>
      <c r="V203" s="21"/>
      <c r="W203" s="21"/>
      <c r="X203" s="21"/>
      <c r="Y203" s="21"/>
      <c r="Z203" s="21"/>
      <c r="AA203" s="21"/>
      <c r="AB203" s="21"/>
      <c r="AC203" s="20"/>
    </row>
    <row r="204" spans="1:29" x14ac:dyDescent="0.3">
      <c r="A204" s="18"/>
      <c r="B204" s="21"/>
      <c r="C204" s="21"/>
      <c r="D204" s="21"/>
      <c r="E204" s="21"/>
      <c r="F204" s="21"/>
      <c r="G204" s="21"/>
      <c r="H204" s="21"/>
      <c r="I204" s="21"/>
      <c r="J204" s="21"/>
      <c r="K204" s="21"/>
      <c r="L204" s="30" t="str">
        <v>AAPL</v>
      </c>
      <c r="M204" s="30" t="str">
        <v>Bob</v>
      </c>
      <c r="N204" s="30" t="str">
        <v>B</v>
      </c>
      <c r="O204" s="36">
        <v>300</v>
      </c>
      <c r="P204" s="35">
        <v>142.02000000000001</v>
      </c>
      <c r="Q204" s="35">
        <v>141.97</v>
      </c>
      <c r="R204" s="66">
        <v>-15.000000000003411</v>
      </c>
      <c r="S204" s="36">
        <v>300</v>
      </c>
      <c r="T204" s="21"/>
      <c r="U204" s="21"/>
      <c r="V204" s="21"/>
      <c r="W204" s="21"/>
      <c r="X204" s="21"/>
      <c r="Y204" s="21"/>
      <c r="Z204" s="21"/>
      <c r="AA204" s="21"/>
      <c r="AB204" s="21"/>
      <c r="AC204" s="20"/>
    </row>
    <row r="205" spans="1:29" x14ac:dyDescent="0.3">
      <c r="A205" s="18"/>
      <c r="B205" s="21"/>
      <c r="C205" s="21"/>
      <c r="D205" s="21"/>
      <c r="E205" s="21"/>
      <c r="F205" s="21"/>
      <c r="G205" s="21"/>
      <c r="H205" s="21"/>
      <c r="I205" s="21"/>
      <c r="J205" s="21"/>
      <c r="K205" s="21"/>
      <c r="L205" s="30" t="str">
        <v>AAPL</v>
      </c>
      <c r="M205" s="30" t="str">
        <v>Tom</v>
      </c>
      <c r="N205" s="30" t="str">
        <v>B</v>
      </c>
      <c r="O205" s="36">
        <v>1500</v>
      </c>
      <c r="P205" s="35">
        <v>141.97999999999999</v>
      </c>
      <c r="Q205" s="35">
        <v>141.97</v>
      </c>
      <c r="R205" s="66">
        <v>-14.999999999986358</v>
      </c>
      <c r="S205" s="36">
        <v>600</v>
      </c>
      <c r="T205" s="21"/>
      <c r="U205" s="21"/>
      <c r="V205" s="21"/>
      <c r="W205" s="21"/>
      <c r="X205" s="21"/>
      <c r="Y205" s="21"/>
      <c r="Z205" s="21"/>
      <c r="AA205" s="21"/>
      <c r="AB205" s="21"/>
      <c r="AC205" s="20"/>
    </row>
    <row r="206" spans="1:29" x14ac:dyDescent="0.3">
      <c r="A206" s="18"/>
      <c r="B206" s="21"/>
      <c r="C206" s="21"/>
      <c r="D206" s="21"/>
      <c r="E206" s="21"/>
      <c r="F206" s="21"/>
      <c r="G206" s="21"/>
      <c r="H206" s="21"/>
      <c r="I206" s="21"/>
      <c r="J206" s="21"/>
      <c r="K206" s="21"/>
      <c r="L206" s="30" t="str">
        <v>IBM</v>
      </c>
      <c r="M206" s="30" t="str">
        <v>Bob</v>
      </c>
      <c r="N206" s="30" t="str">
        <v>B</v>
      </c>
      <c r="O206" s="36">
        <v>100</v>
      </c>
      <c r="P206" s="35">
        <v>159.4</v>
      </c>
      <c r="Q206" s="35">
        <v>159.37</v>
      </c>
      <c r="R206" s="66">
        <v>-3.0000000000001137</v>
      </c>
      <c r="S206" s="36">
        <v>100</v>
      </c>
      <c r="T206" s="21"/>
      <c r="U206" s="21"/>
      <c r="V206" s="21"/>
      <c r="W206" s="21"/>
      <c r="X206" s="21"/>
      <c r="Y206" s="21"/>
      <c r="Z206" s="21"/>
      <c r="AA206" s="21"/>
      <c r="AB206" s="21"/>
      <c r="AC206" s="20"/>
    </row>
    <row r="207" spans="1:29" x14ac:dyDescent="0.3">
      <c r="A207" s="18"/>
      <c r="B207" s="21"/>
      <c r="C207" s="21"/>
      <c r="D207" s="21"/>
      <c r="E207" s="21"/>
      <c r="F207" s="21"/>
      <c r="G207" s="21"/>
      <c r="H207" s="21"/>
      <c r="I207" s="21"/>
      <c r="J207" s="21"/>
      <c r="K207" s="21"/>
      <c r="L207" s="30" t="str">
        <v>IBM</v>
      </c>
      <c r="M207" s="30" t="str">
        <v>Sally</v>
      </c>
      <c r="N207" s="30" t="str">
        <v>B</v>
      </c>
      <c r="O207" s="36">
        <v>100</v>
      </c>
      <c r="P207" s="35">
        <v>159.4</v>
      </c>
      <c r="Q207" s="35">
        <v>159.37</v>
      </c>
      <c r="R207" s="66">
        <v>-3.0000000000001137</v>
      </c>
      <c r="S207" s="36">
        <v>100</v>
      </c>
      <c r="T207" s="21"/>
      <c r="U207" s="21"/>
      <c r="V207" s="21"/>
      <c r="W207" s="21"/>
      <c r="X207" s="21"/>
      <c r="Y207" s="21"/>
      <c r="Z207" s="21"/>
      <c r="AA207" s="21"/>
      <c r="AB207" s="21"/>
      <c r="AC207" s="20"/>
    </row>
    <row r="208" spans="1:29" x14ac:dyDescent="0.3">
      <c r="A208" s="18"/>
      <c r="B208" s="21"/>
      <c r="C208" s="21"/>
      <c r="D208" s="21"/>
      <c r="E208" s="21"/>
      <c r="F208" s="21"/>
      <c r="G208" s="21"/>
      <c r="H208" s="21"/>
      <c r="I208" s="21"/>
      <c r="J208" s="21"/>
      <c r="K208" s="21"/>
      <c r="L208" s="30" t="str">
        <v>IBM Jun17 160C</v>
      </c>
      <c r="M208" s="30" t="str">
        <v>Bob</v>
      </c>
      <c r="N208" s="30" t="str">
        <v>S</v>
      </c>
      <c r="O208" s="36">
        <v>-40</v>
      </c>
      <c r="P208" s="35">
        <v>2.61</v>
      </c>
      <c r="Q208" s="35">
        <v>2.6</v>
      </c>
      <c r="R208" s="66">
        <v>39.999999999999147</v>
      </c>
      <c r="S208" s="36">
        <v>-2303.1999999999998</v>
      </c>
      <c r="T208" s="21"/>
      <c r="U208" s="21"/>
      <c r="V208" s="21"/>
      <c r="W208" s="21"/>
      <c r="X208" s="21"/>
      <c r="Y208" s="21"/>
      <c r="Z208" s="21"/>
      <c r="AA208" s="21"/>
      <c r="AB208" s="21"/>
      <c r="AC208" s="20"/>
    </row>
    <row r="209" spans="1:29" x14ac:dyDescent="0.3">
      <c r="A209" s="18"/>
      <c r="B209" s="21"/>
      <c r="C209" s="21"/>
      <c r="D209" s="21"/>
      <c r="E209" s="21"/>
      <c r="F209" s="21"/>
      <c r="G209" s="21"/>
      <c r="H209" s="21"/>
      <c r="I209" s="21"/>
      <c r="J209" s="21"/>
      <c r="K209" s="21"/>
      <c r="L209" s="30" t="str">
        <v>IBM Jun17 160C</v>
      </c>
      <c r="M209" s="30" t="str">
        <v>Bob</v>
      </c>
      <c r="N209" s="30" t="str">
        <v>S</v>
      </c>
      <c r="O209" s="36">
        <v>-10</v>
      </c>
      <c r="P209" s="35">
        <v>2.62</v>
      </c>
      <c r="Q209" s="35">
        <v>2.6</v>
      </c>
      <c r="R209" s="66">
        <v>20.000000000000018</v>
      </c>
      <c r="S209" s="36">
        <v>-575.79999999999995</v>
      </c>
      <c r="T209" s="21"/>
      <c r="U209" s="21"/>
      <c r="V209" s="21"/>
      <c r="W209" s="21"/>
      <c r="X209" s="21"/>
      <c r="Y209" s="21"/>
      <c r="Z209" s="21"/>
      <c r="AA209" s="21"/>
      <c r="AB209" s="21"/>
      <c r="AC209" s="20"/>
    </row>
    <row r="210" spans="1:29" x14ac:dyDescent="0.3">
      <c r="A210" s="18"/>
      <c r="B210" s="21"/>
      <c r="C210" s="21"/>
      <c r="D210" s="21"/>
      <c r="E210" s="21"/>
      <c r="F210" s="21"/>
      <c r="G210" s="21"/>
      <c r="H210" s="21"/>
      <c r="I210" s="21"/>
      <c r="J210" s="21"/>
      <c r="K210" s="21"/>
      <c r="L210" s="30" t="e">
        <v>#DIV/0!</v>
      </c>
      <c r="M210" s="30" t="e">
        <v>#DIV/0!</v>
      </c>
      <c r="N210" s="30" t="e">
        <v>#DIV/0!</v>
      </c>
      <c r="O210" s="36" t="e">
        <v>#DIV/0!</v>
      </c>
      <c r="P210" s="35" t="e">
        <v>#DIV/0!</v>
      </c>
      <c r="Q210" s="35" t="e">
        <v>#DIV/0!</v>
      </c>
      <c r="R210" s="66" t="e">
        <v>#DIV/0!</v>
      </c>
      <c r="S210" s="36" t="e">
        <v>#DIV/0!</v>
      </c>
      <c r="T210" s="21"/>
      <c r="U210" s="21"/>
      <c r="V210" s="21"/>
      <c r="W210" s="21"/>
      <c r="X210" s="21"/>
      <c r="Y210" s="21"/>
      <c r="Z210" s="21"/>
      <c r="AA210" s="21"/>
      <c r="AB210" s="21"/>
      <c r="AC210" s="20"/>
    </row>
    <row r="211" spans="1:29" x14ac:dyDescent="0.3">
      <c r="A211" s="18"/>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0"/>
    </row>
    <row r="212" spans="1:29" x14ac:dyDescent="0.3">
      <c r="A212" s="18"/>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0"/>
    </row>
    <row r="213" spans="1:29" x14ac:dyDescent="0.3">
      <c r="A213" s="18"/>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0"/>
    </row>
    <row r="214" spans="1:29" x14ac:dyDescent="0.3">
      <c r="A214" s="18"/>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0"/>
    </row>
    <row r="215" spans="1:29" x14ac:dyDescent="0.3">
      <c r="A215" s="18"/>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0"/>
    </row>
    <row r="216" spans="1:29" x14ac:dyDescent="0.3">
      <c r="A216" s="18"/>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0"/>
    </row>
    <row r="217" spans="1:29" x14ac:dyDescent="0.3">
      <c r="A217" s="18"/>
      <c r="B217" s="21"/>
      <c r="C217" s="21"/>
      <c r="D217" s="21"/>
      <c r="E217" s="21"/>
      <c r="F217" s="21"/>
      <c r="G217" s="21"/>
      <c r="H217" s="21"/>
      <c r="I217" s="21"/>
      <c r="J217" s="21"/>
      <c r="K217" s="21"/>
      <c r="L217" s="67"/>
      <c r="M217" s="67"/>
      <c r="N217" s="67"/>
      <c r="O217" s="67"/>
      <c r="P217" s="67"/>
      <c r="Q217" s="67"/>
      <c r="R217" s="67"/>
      <c r="S217" s="67"/>
      <c r="T217" s="67"/>
      <c r="U217" s="67"/>
      <c r="V217" s="67"/>
      <c r="W217" s="67"/>
      <c r="X217" s="67"/>
      <c r="Y217" s="67"/>
      <c r="Z217" s="67"/>
      <c r="AA217" s="67"/>
      <c r="AB217" s="21"/>
      <c r="AC217" s="20"/>
    </row>
    <row r="218" spans="1:29" x14ac:dyDescent="0.3">
      <c r="A218" s="18"/>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0"/>
    </row>
    <row r="219" spans="1:29" x14ac:dyDescent="0.3">
      <c r="A219" s="18"/>
      <c r="B219" s="554" t="s">
        <v>2</v>
      </c>
      <c r="C219" s="555"/>
      <c r="D219" s="21"/>
      <c r="E219" s="21"/>
      <c r="F219" s="21"/>
      <c r="G219" s="21"/>
      <c r="H219" s="21"/>
      <c r="I219" s="21"/>
      <c r="J219" s="21"/>
      <c r="K219" s="21"/>
      <c r="L219" s="554" t="s">
        <v>2</v>
      </c>
      <c r="M219" s="555"/>
      <c r="N219" s="21"/>
      <c r="O219" s="21"/>
      <c r="P219" s="21"/>
      <c r="Q219" s="21"/>
      <c r="R219" s="21"/>
      <c r="S219" s="21"/>
      <c r="T219" s="21"/>
      <c r="U219" s="21"/>
      <c r="V219" s="475" t="s">
        <v>197</v>
      </c>
      <c r="W219" s="475"/>
      <c r="X219" s="21"/>
      <c r="Y219" s="21"/>
      <c r="Z219" s="21"/>
      <c r="AA219" s="21"/>
      <c r="AB219" s="21"/>
      <c r="AC219" s="20"/>
    </row>
    <row r="220" spans="1:29" x14ac:dyDescent="0.3">
      <c r="A220" s="18"/>
      <c r="B220" s="59" t="s">
        <v>1857</v>
      </c>
      <c r="C220" s="60" t="s">
        <v>62</v>
      </c>
      <c r="D220" s="21"/>
      <c r="E220" s="21"/>
      <c r="F220" s="21"/>
      <c r="G220" s="21"/>
      <c r="H220" s="21"/>
      <c r="I220" s="21"/>
      <c r="J220" s="21"/>
      <c r="K220" s="21"/>
      <c r="L220" s="3" t="str">
        <f t="array" ref="L220:M226">_xll.U.VSORT(B220:C226,V221:W221)</f>
        <v>Fruit</v>
      </c>
      <c r="M220" s="3" t="str">
        <v>Quantity</v>
      </c>
      <c r="N220" s="21"/>
      <c r="O220" s="21"/>
      <c r="P220" s="21"/>
      <c r="Q220" s="21"/>
      <c r="R220" s="21"/>
      <c r="S220" s="21"/>
      <c r="T220" s="21"/>
      <c r="U220" s="21"/>
      <c r="V220" s="9" t="s">
        <v>126</v>
      </c>
      <c r="W220" s="9" t="s">
        <v>198</v>
      </c>
      <c r="X220" s="21"/>
      <c r="Y220" s="21"/>
      <c r="Z220" s="21"/>
      <c r="AA220" s="21"/>
      <c r="AB220" s="21"/>
      <c r="AC220" s="20"/>
    </row>
    <row r="221" spans="1:29" x14ac:dyDescent="0.3">
      <c r="A221" s="18"/>
      <c r="B221" s="42" t="s">
        <v>1858</v>
      </c>
      <c r="C221" s="42">
        <v>1</v>
      </c>
      <c r="D221" s="21"/>
      <c r="E221" s="21"/>
      <c r="F221" s="21"/>
      <c r="G221" s="21"/>
      <c r="H221" s="21"/>
      <c r="I221" s="21"/>
      <c r="J221" s="21"/>
      <c r="K221" s="21"/>
      <c r="L221" s="30" t="str">
        <v>aaa</v>
      </c>
      <c r="M221" s="30">
        <v>2</v>
      </c>
      <c r="N221" s="21"/>
      <c r="O221" s="21"/>
      <c r="P221" s="21"/>
      <c r="Q221" s="21"/>
      <c r="R221" s="21"/>
      <c r="S221" s="21"/>
      <c r="T221" s="21"/>
      <c r="U221" s="21"/>
      <c r="V221" s="79" t="s">
        <v>1862</v>
      </c>
      <c r="W221" s="79">
        <v>4</v>
      </c>
      <c r="X221" s="21"/>
      <c r="Y221" s="21"/>
      <c r="Z221" s="21"/>
      <c r="AA221" s="21"/>
      <c r="AB221" s="21"/>
      <c r="AC221" s="20"/>
    </row>
    <row r="222" spans="1:29" x14ac:dyDescent="0.3">
      <c r="A222" s="18"/>
      <c r="B222" s="42" t="s">
        <v>1859</v>
      </c>
      <c r="C222" s="42">
        <v>2</v>
      </c>
      <c r="D222" s="21"/>
      <c r="E222" s="21"/>
      <c r="F222" s="21"/>
      <c r="G222" s="21"/>
      <c r="H222" s="21"/>
      <c r="I222" s="21"/>
      <c r="J222" s="21"/>
      <c r="K222" s="21"/>
      <c r="L222" s="30" t="str">
        <v>aaa</v>
      </c>
      <c r="M222" s="30">
        <v>6</v>
      </c>
      <c r="N222" s="21"/>
      <c r="O222" s="21"/>
      <c r="P222" s="21"/>
      <c r="Q222" s="21"/>
      <c r="R222" s="21"/>
      <c r="S222" s="21"/>
      <c r="T222" s="21"/>
      <c r="U222" s="21"/>
      <c r="V222" s="21"/>
      <c r="W222" s="21"/>
      <c r="X222" s="21"/>
      <c r="Y222" s="21"/>
      <c r="Z222" s="21"/>
      <c r="AA222" s="21"/>
      <c r="AB222" s="21"/>
      <c r="AC222" s="20"/>
    </row>
    <row r="223" spans="1:29" x14ac:dyDescent="0.3">
      <c r="A223" s="18"/>
      <c r="B223" s="42" t="s">
        <v>1860</v>
      </c>
      <c r="C223" s="42">
        <v>3</v>
      </c>
      <c r="D223" s="21"/>
      <c r="E223" s="21"/>
      <c r="F223" s="21"/>
      <c r="G223" s="21"/>
      <c r="H223" s="21"/>
      <c r="I223" s="21"/>
      <c r="J223" s="21"/>
      <c r="K223" s="21"/>
      <c r="L223" s="30" t="str">
        <v>AAA</v>
      </c>
      <c r="M223" s="30">
        <v>1</v>
      </c>
      <c r="N223" s="21"/>
      <c r="O223" s="21"/>
      <c r="P223" s="21"/>
      <c r="Q223" s="21"/>
      <c r="R223" s="21"/>
      <c r="S223" s="21"/>
      <c r="T223" s="21"/>
      <c r="U223" s="21"/>
      <c r="V223" s="21"/>
      <c r="W223" s="21"/>
      <c r="X223" s="21"/>
      <c r="Y223" s="21"/>
      <c r="Z223" s="21"/>
      <c r="AA223" s="21"/>
      <c r="AB223" s="21"/>
      <c r="AC223" s="20"/>
    </row>
    <row r="224" spans="1:29" x14ac:dyDescent="0.3">
      <c r="A224" s="18"/>
      <c r="B224" s="42" t="s">
        <v>1861</v>
      </c>
      <c r="C224" s="42">
        <v>4</v>
      </c>
      <c r="D224" s="21"/>
      <c r="E224" s="21"/>
      <c r="F224" s="21"/>
      <c r="G224" s="21"/>
      <c r="H224" s="21"/>
      <c r="I224" s="21"/>
      <c r="J224" s="21"/>
      <c r="K224" s="21"/>
      <c r="L224" s="30" t="str">
        <v>bbb</v>
      </c>
      <c r="M224" s="30">
        <v>4</v>
      </c>
      <c r="N224" s="21"/>
      <c r="O224" s="21"/>
      <c r="P224" s="21"/>
      <c r="Q224" s="21"/>
      <c r="R224" s="21"/>
      <c r="S224" s="21"/>
      <c r="T224" s="21"/>
      <c r="U224" s="21"/>
      <c r="V224" s="21"/>
      <c r="W224" s="21"/>
      <c r="X224" s="21"/>
      <c r="Y224" s="21"/>
      <c r="Z224" s="21"/>
      <c r="AA224" s="21"/>
      <c r="AB224" s="21"/>
      <c r="AC224" s="20"/>
    </row>
    <row r="225" spans="1:29" x14ac:dyDescent="0.3">
      <c r="A225" s="18"/>
      <c r="B225" s="42" t="s">
        <v>1860</v>
      </c>
      <c r="C225" s="42">
        <v>5</v>
      </c>
      <c r="D225" s="21"/>
      <c r="E225" s="21"/>
      <c r="F225" s="21"/>
      <c r="G225" s="21"/>
      <c r="H225" s="21"/>
      <c r="I225" s="21"/>
      <c r="J225" s="21"/>
      <c r="K225" s="21"/>
      <c r="L225" s="30" t="str">
        <v>BBB</v>
      </c>
      <c r="M225" s="30">
        <v>3</v>
      </c>
      <c r="N225" s="21"/>
      <c r="O225" s="21"/>
      <c r="P225" s="21"/>
      <c r="Q225" s="21"/>
      <c r="R225" s="21"/>
      <c r="S225" s="21"/>
      <c r="T225" s="21"/>
      <c r="U225" s="21"/>
      <c r="V225" s="21"/>
      <c r="W225" s="21"/>
      <c r="X225" s="21"/>
      <c r="Y225" s="21"/>
      <c r="Z225" s="21"/>
      <c r="AA225" s="21"/>
      <c r="AB225" s="21"/>
      <c r="AC225" s="20"/>
    </row>
    <row r="226" spans="1:29" x14ac:dyDescent="0.3">
      <c r="A226" s="18"/>
      <c r="B226" s="42" t="s">
        <v>1859</v>
      </c>
      <c r="C226" s="42">
        <v>6</v>
      </c>
      <c r="D226" s="21"/>
      <c r="E226" s="21"/>
      <c r="F226" s="21"/>
      <c r="G226" s="21"/>
      <c r="H226" s="21"/>
      <c r="I226" s="21"/>
      <c r="J226" s="21"/>
      <c r="K226" s="21"/>
      <c r="L226" s="30" t="str">
        <v>BBB</v>
      </c>
      <c r="M226" s="30">
        <v>5</v>
      </c>
      <c r="N226" s="21"/>
      <c r="O226" s="21"/>
      <c r="P226" s="21"/>
      <c r="Q226" s="21"/>
      <c r="R226" s="21"/>
      <c r="S226" s="21"/>
      <c r="T226" s="21"/>
      <c r="U226" s="21"/>
      <c r="V226" s="21"/>
      <c r="W226" s="21"/>
      <c r="X226" s="21"/>
      <c r="Y226" s="21"/>
      <c r="Z226" s="21"/>
      <c r="AA226" s="21"/>
      <c r="AB226" s="21"/>
      <c r="AC226" s="20"/>
    </row>
    <row r="227" spans="1:29" x14ac:dyDescent="0.3">
      <c r="A227" s="18"/>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0"/>
    </row>
    <row r="228" spans="1:29" x14ac:dyDescent="0.3">
      <c r="A228" s="18"/>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0"/>
    </row>
    <row r="229" spans="1:29" x14ac:dyDescent="0.3">
      <c r="A229" s="18"/>
      <c r="B229" s="21"/>
      <c r="C229" s="21"/>
      <c r="D229" s="21"/>
      <c r="E229" s="21"/>
      <c r="F229" s="21"/>
      <c r="G229" s="21"/>
      <c r="H229" s="21"/>
      <c r="I229" s="21"/>
      <c r="J229" s="21"/>
      <c r="K229" s="21"/>
      <c r="L229" s="554" t="s">
        <v>2</v>
      </c>
      <c r="M229" s="555"/>
      <c r="N229" s="21"/>
      <c r="O229" s="21"/>
      <c r="P229" s="21"/>
      <c r="Q229" s="21"/>
      <c r="R229" s="21"/>
      <c r="S229" s="21"/>
      <c r="T229" s="21"/>
      <c r="U229" s="21"/>
      <c r="V229" s="475" t="s">
        <v>197</v>
      </c>
      <c r="W229" s="475"/>
      <c r="X229" s="21"/>
      <c r="Y229" s="21"/>
      <c r="Z229" s="21"/>
      <c r="AA229" s="21"/>
      <c r="AB229" s="21"/>
      <c r="AC229" s="20"/>
    </row>
    <row r="230" spans="1:29" x14ac:dyDescent="0.3">
      <c r="A230" s="18"/>
      <c r="B230" s="21"/>
      <c r="C230" s="21"/>
      <c r="D230" s="21"/>
      <c r="E230" s="21"/>
      <c r="F230" s="21"/>
      <c r="G230" s="21"/>
      <c r="H230" s="21"/>
      <c r="I230" s="21"/>
      <c r="J230" s="21"/>
      <c r="K230" s="21"/>
      <c r="L230" s="3" t="str">
        <f t="array" ref="L230:M236">_xll.U.VSORT(B220:C226,V231:W231)</f>
        <v>Fruit</v>
      </c>
      <c r="M230" s="3" t="str">
        <v>Quantity</v>
      </c>
      <c r="N230" s="21"/>
      <c r="O230" s="21"/>
      <c r="P230" s="21"/>
      <c r="Q230" s="21"/>
      <c r="R230" s="21"/>
      <c r="S230" s="21"/>
      <c r="T230" s="21"/>
      <c r="U230" s="21"/>
      <c r="V230" s="9" t="s">
        <v>126</v>
      </c>
      <c r="W230" s="9" t="s">
        <v>198</v>
      </c>
      <c r="X230" s="21"/>
      <c r="Y230" s="21"/>
      <c r="Z230" s="21"/>
      <c r="AA230" s="21"/>
      <c r="AB230" s="21"/>
      <c r="AC230" s="20"/>
    </row>
    <row r="231" spans="1:29" x14ac:dyDescent="0.3">
      <c r="A231" s="18"/>
      <c r="B231" s="21"/>
      <c r="C231" s="21"/>
      <c r="D231" s="21"/>
      <c r="E231" s="21"/>
      <c r="F231" s="21"/>
      <c r="G231" s="21"/>
      <c r="H231" s="21"/>
      <c r="I231" s="21"/>
      <c r="J231" s="21"/>
      <c r="K231" s="21"/>
      <c r="L231" s="30" t="str">
        <v>BBB</v>
      </c>
      <c r="M231" s="30">
        <v>3</v>
      </c>
      <c r="N231" s="21"/>
      <c r="O231" s="21"/>
      <c r="P231" s="21"/>
      <c r="Q231" s="21"/>
      <c r="R231" s="21"/>
      <c r="S231" s="21"/>
      <c r="T231" s="21"/>
      <c r="U231" s="21"/>
      <c r="V231" s="79" t="s">
        <v>1864</v>
      </c>
      <c r="W231" s="79" t="s">
        <v>1863</v>
      </c>
      <c r="X231" s="21"/>
      <c r="Y231" s="21"/>
      <c r="Z231" s="21"/>
      <c r="AA231" s="21"/>
      <c r="AB231" s="21"/>
      <c r="AC231" s="20"/>
    </row>
    <row r="232" spans="1:29" x14ac:dyDescent="0.3">
      <c r="A232" s="18"/>
      <c r="B232" s="21"/>
      <c r="C232" s="21"/>
      <c r="D232" s="21"/>
      <c r="E232" s="21"/>
      <c r="F232" s="21"/>
      <c r="G232" s="21"/>
      <c r="H232" s="21"/>
      <c r="I232" s="21"/>
      <c r="J232" s="21"/>
      <c r="K232" s="21"/>
      <c r="L232" s="30" t="str">
        <v>BBB</v>
      </c>
      <c r="M232" s="30">
        <v>5</v>
      </c>
      <c r="N232" s="21"/>
      <c r="O232" s="21"/>
      <c r="P232" s="21"/>
      <c r="Q232" s="21"/>
      <c r="R232" s="21"/>
      <c r="S232" s="21"/>
      <c r="T232" s="21"/>
      <c r="U232" s="21"/>
      <c r="V232" s="21"/>
      <c r="W232" s="21"/>
      <c r="X232" s="21"/>
      <c r="Y232" s="21"/>
      <c r="Z232" s="21"/>
      <c r="AA232" s="21"/>
      <c r="AB232" s="21"/>
      <c r="AC232" s="20"/>
    </row>
    <row r="233" spans="1:29" x14ac:dyDescent="0.3">
      <c r="A233" s="18"/>
      <c r="B233" s="21"/>
      <c r="C233" s="21"/>
      <c r="D233" s="21"/>
      <c r="E233" s="21"/>
      <c r="F233" s="21"/>
      <c r="G233" s="21"/>
      <c r="H233" s="21"/>
      <c r="I233" s="21"/>
      <c r="J233" s="21"/>
      <c r="K233" s="21"/>
      <c r="L233" s="30" t="str">
        <v>aaa</v>
      </c>
      <c r="M233" s="30">
        <v>2</v>
      </c>
      <c r="N233" s="21"/>
      <c r="O233" s="21"/>
      <c r="P233" s="21"/>
      <c r="Q233" s="21"/>
      <c r="R233" s="21"/>
      <c r="S233" s="21"/>
      <c r="T233" s="21"/>
      <c r="U233" s="21"/>
      <c r="V233" s="21"/>
      <c r="W233" s="21"/>
      <c r="X233" s="21"/>
      <c r="Y233" s="21"/>
      <c r="Z233" s="21"/>
      <c r="AA233" s="21"/>
      <c r="AB233" s="21"/>
      <c r="AC233" s="20"/>
    </row>
    <row r="234" spans="1:29" x14ac:dyDescent="0.3">
      <c r="A234" s="18"/>
      <c r="B234" s="21"/>
      <c r="C234" s="21"/>
      <c r="D234" s="21"/>
      <c r="E234" s="21"/>
      <c r="F234" s="21"/>
      <c r="G234" s="21"/>
      <c r="H234" s="21"/>
      <c r="I234" s="21"/>
      <c r="J234" s="21"/>
      <c r="K234" s="21"/>
      <c r="L234" s="30" t="str">
        <v>aaa</v>
      </c>
      <c r="M234" s="30">
        <v>6</v>
      </c>
      <c r="N234" s="21"/>
      <c r="O234" s="21"/>
      <c r="P234" s="21"/>
      <c r="Q234" s="21"/>
      <c r="R234" s="21"/>
      <c r="S234" s="21"/>
      <c r="T234" s="21"/>
      <c r="U234" s="21"/>
      <c r="V234" s="21"/>
      <c r="W234" s="21"/>
      <c r="X234" s="21"/>
      <c r="Y234" s="21"/>
      <c r="Z234" s="21"/>
      <c r="AA234" s="21"/>
      <c r="AB234" s="21"/>
      <c r="AC234" s="20"/>
    </row>
    <row r="235" spans="1:29" x14ac:dyDescent="0.3">
      <c r="A235" s="18"/>
      <c r="B235" s="21"/>
      <c r="C235" s="21"/>
      <c r="D235" s="21"/>
      <c r="E235" s="21"/>
      <c r="F235" s="21"/>
      <c r="G235" s="21"/>
      <c r="H235" s="21"/>
      <c r="I235" s="21"/>
      <c r="J235" s="21"/>
      <c r="K235" s="21"/>
      <c r="L235" s="30" t="str">
        <v>bbb</v>
      </c>
      <c r="M235" s="30">
        <v>4</v>
      </c>
      <c r="N235" s="21"/>
      <c r="O235" s="21"/>
      <c r="P235" s="21"/>
      <c r="Q235" s="21"/>
      <c r="R235" s="21"/>
      <c r="S235" s="21"/>
      <c r="T235" s="21"/>
      <c r="U235" s="21"/>
      <c r="V235" s="21"/>
      <c r="W235" s="21"/>
      <c r="X235" s="21"/>
      <c r="Y235" s="21"/>
      <c r="Z235" s="21"/>
      <c r="AA235" s="21"/>
      <c r="AB235" s="21"/>
      <c r="AC235" s="20"/>
    </row>
    <row r="236" spans="1:29" x14ac:dyDescent="0.3">
      <c r="A236" s="18"/>
      <c r="B236" s="21"/>
      <c r="C236" s="21"/>
      <c r="D236" s="21"/>
      <c r="E236" s="21"/>
      <c r="F236" s="21"/>
      <c r="G236" s="21"/>
      <c r="H236" s="21"/>
      <c r="I236" s="21"/>
      <c r="J236" s="21"/>
      <c r="K236" s="21"/>
      <c r="L236" s="30" t="str">
        <v>AAA</v>
      </c>
      <c r="M236" s="30">
        <v>1</v>
      </c>
      <c r="N236" s="21"/>
      <c r="O236" s="21"/>
      <c r="P236" s="21"/>
      <c r="Q236" s="21"/>
      <c r="R236" s="21"/>
      <c r="S236" s="21"/>
      <c r="T236" s="21"/>
      <c r="U236" s="21"/>
      <c r="V236" s="21"/>
      <c r="W236" s="21"/>
      <c r="X236" s="21"/>
      <c r="Y236" s="21"/>
      <c r="Z236" s="21"/>
      <c r="AA236" s="21"/>
      <c r="AB236" s="21"/>
      <c r="AC236" s="20"/>
    </row>
    <row r="237" spans="1:29" x14ac:dyDescent="0.3">
      <c r="A237" s="18"/>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0"/>
    </row>
    <row r="238" spans="1:29" x14ac:dyDescent="0.3">
      <c r="A238" s="18"/>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0"/>
    </row>
    <row r="239" spans="1:29" x14ac:dyDescent="0.3">
      <c r="A239" s="18"/>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0"/>
    </row>
    <row r="240" spans="1:29" x14ac:dyDescent="0.3">
      <c r="A240" s="490" t="s">
        <v>214</v>
      </c>
      <c r="B240" s="491"/>
      <c r="C240" s="491"/>
      <c r="D240" s="491"/>
      <c r="E240" s="491"/>
      <c r="F240" s="491"/>
      <c r="G240" s="491"/>
      <c r="H240" s="491"/>
      <c r="I240" s="491"/>
      <c r="J240" s="491"/>
      <c r="K240" s="491"/>
      <c r="L240" s="491"/>
      <c r="M240" s="491"/>
      <c r="N240" s="491"/>
      <c r="O240" s="491"/>
      <c r="P240" s="491"/>
      <c r="Q240" s="491"/>
      <c r="R240" s="491"/>
      <c r="S240" s="491"/>
      <c r="T240" s="491"/>
      <c r="U240" s="491"/>
      <c r="V240" s="491"/>
      <c r="W240" s="491"/>
      <c r="X240" s="491"/>
      <c r="Y240" s="491"/>
      <c r="Z240" s="491"/>
      <c r="AA240" s="491"/>
      <c r="AB240" s="21"/>
      <c r="AC240" s="20"/>
    </row>
    <row r="241" spans="1:29" x14ac:dyDescent="0.3">
      <c r="A241" s="18"/>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0"/>
    </row>
    <row r="242" spans="1:29" x14ac:dyDescent="0.3">
      <c r="A242" s="18"/>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0"/>
    </row>
    <row r="243" spans="1:29" x14ac:dyDescent="0.3">
      <c r="A243" s="18"/>
      <c r="B243" s="21"/>
      <c r="C243" s="21"/>
      <c r="D243" s="21"/>
      <c r="E243" s="21"/>
      <c r="F243" s="21"/>
      <c r="G243" s="21"/>
      <c r="H243" s="21"/>
      <c r="I243" s="21"/>
      <c r="J243" s="21"/>
      <c r="K243" s="21"/>
      <c r="L243" s="492" t="s">
        <v>3405</v>
      </c>
      <c r="M243" s="529"/>
      <c r="N243" s="529"/>
      <c r="O243" s="529"/>
      <c r="P243" s="529"/>
      <c r="Q243" s="529"/>
      <c r="R243" s="529"/>
      <c r="S243" s="493"/>
      <c r="T243" s="21"/>
      <c r="U243" s="21"/>
      <c r="V243" s="21"/>
      <c r="W243" s="21"/>
      <c r="X243" s="21"/>
      <c r="Y243" s="21"/>
      <c r="Z243" s="21"/>
      <c r="AA243" s="21"/>
      <c r="AB243" s="21"/>
      <c r="AC243" s="20"/>
    </row>
    <row r="244" spans="1:29" x14ac:dyDescent="0.3">
      <c r="A244" s="18"/>
      <c r="B244" s="21"/>
      <c r="C244" s="21"/>
      <c r="D244" s="21"/>
      <c r="E244" s="21"/>
      <c r="F244" s="21"/>
      <c r="G244" s="21"/>
      <c r="H244" s="21"/>
      <c r="I244" s="21"/>
      <c r="J244" s="21"/>
      <c r="K244" s="21"/>
      <c r="L244" s="3" t="str">
        <f t="array" ref="L244:S257">_xll.U.HSORT(B7:I20,1,V245:V250)</f>
        <v>P&amp;L</v>
      </c>
      <c r="M244" s="3" t="str">
        <v>Current Delta</v>
      </c>
      <c r="N244" s="3" t="str">
        <v>Current Price</v>
      </c>
      <c r="O244" s="3" t="str">
        <v>Trade Price</v>
      </c>
      <c r="P244" s="3" t="str">
        <v>Side</v>
      </c>
      <c r="Q244" s="3" t="str">
        <v>Quantity</v>
      </c>
      <c r="R244" s="3" t="str">
        <v>Symbol</v>
      </c>
      <c r="S244" s="3" t="str">
        <v>Broker</v>
      </c>
      <c r="T244" s="21"/>
      <c r="U244" s="21"/>
      <c r="V244" s="9" t="s">
        <v>216</v>
      </c>
      <c r="W244" s="21"/>
      <c r="X244" s="21"/>
      <c r="Y244" s="21"/>
      <c r="Z244" s="21"/>
      <c r="AA244" s="21"/>
      <c r="AB244" s="21"/>
      <c r="AC244" s="20"/>
    </row>
    <row r="245" spans="1:29" x14ac:dyDescent="0.3">
      <c r="A245" s="18"/>
      <c r="B245" s="21"/>
      <c r="C245" s="21"/>
      <c r="D245" s="21"/>
      <c r="E245" s="21"/>
      <c r="F245" s="21"/>
      <c r="G245" s="21"/>
      <c r="H245" s="21"/>
      <c r="I245" s="21"/>
      <c r="J245" s="21"/>
      <c r="K245" s="21"/>
      <c r="L245" s="30">
        <v>99.999999999997868</v>
      </c>
      <c r="M245" s="30">
        <v>-3215</v>
      </c>
      <c r="N245" s="30">
        <v>4.3099999999999996</v>
      </c>
      <c r="O245" s="36">
        <v>4.3</v>
      </c>
      <c r="P245" s="35" t="str">
        <v>B</v>
      </c>
      <c r="Q245" s="35">
        <v>100</v>
      </c>
      <c r="R245" s="66" t="str">
        <v>AAPL Jun17 140P</v>
      </c>
      <c r="S245" s="36" t="str">
        <v>Bob</v>
      </c>
      <c r="T245" s="21"/>
      <c r="U245" s="21"/>
      <c r="V245" s="79" t="s">
        <v>105</v>
      </c>
      <c r="W245" s="21"/>
      <c r="X245" s="21"/>
      <c r="Y245" s="21"/>
      <c r="Z245" s="21"/>
      <c r="AA245" s="21"/>
      <c r="AB245" s="21"/>
      <c r="AC245" s="20"/>
    </row>
    <row r="246" spans="1:29" x14ac:dyDescent="0.3">
      <c r="A246" s="18"/>
      <c r="B246" s="21"/>
      <c r="C246" s="21"/>
      <c r="D246" s="21"/>
      <c r="E246" s="21"/>
      <c r="F246" s="21"/>
      <c r="G246" s="21"/>
      <c r="H246" s="21"/>
      <c r="I246" s="21"/>
      <c r="J246" s="21"/>
      <c r="K246" s="21"/>
      <c r="L246" s="30">
        <v>-249.99999999999912</v>
      </c>
      <c r="M246" s="30">
        <v>2879</v>
      </c>
      <c r="N246" s="30">
        <v>2.6</v>
      </c>
      <c r="O246" s="36">
        <v>2.65</v>
      </c>
      <c r="P246" s="35" t="str">
        <v>B</v>
      </c>
      <c r="Q246" s="35">
        <v>50</v>
      </c>
      <c r="R246" s="66" t="str">
        <v>IBM Jun17 160C</v>
      </c>
      <c r="S246" s="36" t="str">
        <v>Bob</v>
      </c>
      <c r="T246" s="21"/>
      <c r="U246" s="21"/>
      <c r="V246" s="79" t="s">
        <v>102</v>
      </c>
      <c r="W246" s="21"/>
      <c r="X246" s="21"/>
      <c r="Y246" s="21"/>
      <c r="Z246" s="21"/>
      <c r="AA246" s="21"/>
      <c r="AB246" s="21"/>
      <c r="AC246" s="20"/>
    </row>
    <row r="247" spans="1:29" x14ac:dyDescent="0.3">
      <c r="A247" s="18"/>
      <c r="B247" s="21"/>
      <c r="C247" s="21"/>
      <c r="D247" s="21"/>
      <c r="E247" s="21"/>
      <c r="F247" s="21"/>
      <c r="G247" s="21"/>
      <c r="H247" s="21"/>
      <c r="I247" s="21"/>
      <c r="J247" s="21"/>
      <c r="K247" s="21"/>
      <c r="L247" s="30">
        <v>360.00000000001364</v>
      </c>
      <c r="M247" s="30">
        <v>-3000</v>
      </c>
      <c r="N247" s="30">
        <v>159.37</v>
      </c>
      <c r="O247" s="36">
        <v>159.49</v>
      </c>
      <c r="P247" s="35" t="str">
        <v>S</v>
      </c>
      <c r="Q247" s="35">
        <v>-3000</v>
      </c>
      <c r="R247" s="66" t="str">
        <v>IBM</v>
      </c>
      <c r="S247" s="36" t="str">
        <v>Sally</v>
      </c>
      <c r="T247" s="21"/>
      <c r="U247" s="21"/>
      <c r="V247" s="79" t="s">
        <v>104</v>
      </c>
      <c r="W247" s="21"/>
      <c r="X247" s="21"/>
      <c r="Y247" s="21"/>
      <c r="Z247" s="21"/>
      <c r="AA247" s="21"/>
      <c r="AB247" s="21"/>
      <c r="AC247" s="20"/>
    </row>
    <row r="248" spans="1:29" x14ac:dyDescent="0.3">
      <c r="A248" s="18"/>
      <c r="B248" s="21"/>
      <c r="C248" s="21"/>
      <c r="D248" s="21"/>
      <c r="E248" s="21"/>
      <c r="F248" s="21"/>
      <c r="G248" s="21"/>
      <c r="H248" s="21"/>
      <c r="I248" s="21"/>
      <c r="J248" s="21"/>
      <c r="K248" s="21"/>
      <c r="L248" s="30" t="str">
        <v/>
      </c>
      <c r="M248" s="30" t="str">
        <v/>
      </c>
      <c r="N248" s="30" t="str">
        <v/>
      </c>
      <c r="O248" s="36" t="str">
        <v/>
      </c>
      <c r="P248" s="35" t="str">
        <v/>
      </c>
      <c r="Q248" s="35" t="str">
        <v/>
      </c>
      <c r="R248" s="66" t="str">
        <v/>
      </c>
      <c r="S248" s="36" t="str">
        <v/>
      </c>
      <c r="T248" s="21"/>
      <c r="U248" s="21"/>
      <c r="V248" s="79" t="s">
        <v>103</v>
      </c>
      <c r="W248" s="21"/>
      <c r="X248" s="21"/>
      <c r="Y248" s="21"/>
      <c r="Z248" s="21"/>
      <c r="AA248" s="21"/>
      <c r="AB248" s="21"/>
      <c r="AC248" s="20"/>
    </row>
    <row r="249" spans="1:29" x14ac:dyDescent="0.3">
      <c r="A249" s="18"/>
      <c r="B249" s="21"/>
      <c r="C249" s="21"/>
      <c r="D249" s="21"/>
      <c r="E249" s="21"/>
      <c r="F249" s="21"/>
      <c r="G249" s="21"/>
      <c r="H249" s="21"/>
      <c r="I249" s="21"/>
      <c r="J249" s="21"/>
      <c r="K249" s="21"/>
      <c r="L249" s="30">
        <v>-35.000000000007958</v>
      </c>
      <c r="M249" s="30">
        <v>1500</v>
      </c>
      <c r="N249" s="30">
        <v>141.97</v>
      </c>
      <c r="O249" s="36">
        <v>142.02000000000001</v>
      </c>
      <c r="P249" s="35" t="str">
        <v>B</v>
      </c>
      <c r="Q249" s="35">
        <v>700</v>
      </c>
      <c r="R249" s="66" t="str">
        <v>AAPL</v>
      </c>
      <c r="S249" s="36" t="str">
        <v>Tom</v>
      </c>
      <c r="T249" s="21"/>
      <c r="U249" s="21"/>
      <c r="V249" s="79" t="s">
        <v>111</v>
      </c>
      <c r="W249" s="21"/>
      <c r="X249" s="21"/>
      <c r="Y249" s="21"/>
      <c r="Z249" s="21"/>
      <c r="AA249" s="21"/>
      <c r="AB249" s="21"/>
      <c r="AC249" s="20"/>
    </row>
    <row r="250" spans="1:29" x14ac:dyDescent="0.3">
      <c r="A250" s="18"/>
      <c r="B250" s="21"/>
      <c r="C250" s="21"/>
      <c r="D250" s="21"/>
      <c r="E250" s="21"/>
      <c r="F250" s="21"/>
      <c r="G250" s="21"/>
      <c r="H250" s="21"/>
      <c r="I250" s="21"/>
      <c r="J250" s="21"/>
      <c r="K250" s="21"/>
      <c r="L250" s="30">
        <v>-5.0000000000011369</v>
      </c>
      <c r="M250" s="30">
        <v>100</v>
      </c>
      <c r="N250" s="30">
        <v>141.97</v>
      </c>
      <c r="O250" s="36">
        <v>142.02000000000001</v>
      </c>
      <c r="P250" s="35" t="str">
        <v>B</v>
      </c>
      <c r="Q250" s="35">
        <v>100</v>
      </c>
      <c r="R250" s="66" t="str">
        <v>AAPL</v>
      </c>
      <c r="S250" s="36" t="str">
        <v>Sally</v>
      </c>
      <c r="T250" s="21"/>
      <c r="U250" s="21"/>
      <c r="V250" s="79" t="s">
        <v>62</v>
      </c>
      <c r="W250" s="21"/>
      <c r="X250" s="21"/>
      <c r="Y250" s="21"/>
      <c r="Z250" s="21"/>
      <c r="AA250" s="21"/>
      <c r="AB250" s="21"/>
      <c r="AC250" s="20"/>
    </row>
    <row r="251" spans="1:29" x14ac:dyDescent="0.3">
      <c r="A251" s="18"/>
      <c r="B251" s="21"/>
      <c r="C251" s="21"/>
      <c r="D251" s="21"/>
      <c r="E251" s="21"/>
      <c r="F251" s="21"/>
      <c r="G251" s="21"/>
      <c r="H251" s="21"/>
      <c r="I251" s="21"/>
      <c r="J251" s="21"/>
      <c r="K251" s="21"/>
      <c r="L251" s="30">
        <v>-15.000000000003411</v>
      </c>
      <c r="M251" s="30">
        <v>300</v>
      </c>
      <c r="N251" s="30">
        <v>141.97</v>
      </c>
      <c r="O251" s="36">
        <v>142.02000000000001</v>
      </c>
      <c r="P251" s="35" t="str">
        <v>B</v>
      </c>
      <c r="Q251" s="35">
        <v>300</v>
      </c>
      <c r="R251" s="66" t="str">
        <v>AAPL</v>
      </c>
      <c r="S251" s="36" t="str">
        <v>Bob</v>
      </c>
      <c r="T251" s="21"/>
      <c r="U251" s="21"/>
      <c r="V251" s="21"/>
      <c r="W251" s="21"/>
      <c r="X251" s="21"/>
      <c r="Y251" s="21"/>
      <c r="Z251" s="21"/>
      <c r="AA251" s="21"/>
      <c r="AB251" s="21"/>
      <c r="AC251" s="20"/>
    </row>
    <row r="252" spans="1:29" x14ac:dyDescent="0.3">
      <c r="A252" s="18"/>
      <c r="B252" s="21"/>
      <c r="C252" s="21"/>
      <c r="D252" s="21"/>
      <c r="E252" s="21"/>
      <c r="F252" s="21"/>
      <c r="G252" s="21"/>
      <c r="H252" s="21"/>
      <c r="I252" s="21"/>
      <c r="J252" s="21"/>
      <c r="K252" s="21"/>
      <c r="L252" s="30">
        <v>-3.0000000000001137</v>
      </c>
      <c r="M252" s="30">
        <v>100</v>
      </c>
      <c r="N252" s="30">
        <v>159.37</v>
      </c>
      <c r="O252" s="36">
        <v>159.4</v>
      </c>
      <c r="P252" s="35" t="str">
        <v>B</v>
      </c>
      <c r="Q252" s="35">
        <v>100</v>
      </c>
      <c r="R252" s="66" t="str">
        <v>IBM</v>
      </c>
      <c r="S252" s="36" t="str">
        <v>Sally</v>
      </c>
      <c r="T252" s="21"/>
      <c r="U252" s="21"/>
      <c r="V252" s="21"/>
      <c r="W252" s="21"/>
      <c r="X252" s="21"/>
      <c r="Y252" s="21"/>
      <c r="Z252" s="21"/>
      <c r="AA252" s="21"/>
      <c r="AB252" s="21"/>
      <c r="AC252" s="20"/>
    </row>
    <row r="253" spans="1:29" x14ac:dyDescent="0.3">
      <c r="A253" s="18"/>
      <c r="B253" s="21"/>
      <c r="C253" s="21"/>
      <c r="D253" s="21"/>
      <c r="E253" s="21"/>
      <c r="F253" s="21"/>
      <c r="G253" s="21"/>
      <c r="H253" s="21"/>
      <c r="I253" s="21"/>
      <c r="J253" s="21"/>
      <c r="K253" s="21"/>
      <c r="L253" s="30" t="e">
        <v>#DIV/0!</v>
      </c>
      <c r="M253" s="30" t="e">
        <v>#DIV/0!</v>
      </c>
      <c r="N253" s="30" t="e">
        <v>#DIV/0!</v>
      </c>
      <c r="O253" s="36" t="e">
        <v>#DIV/0!</v>
      </c>
      <c r="P253" s="35" t="e">
        <v>#DIV/0!</v>
      </c>
      <c r="Q253" s="35" t="e">
        <v>#DIV/0!</v>
      </c>
      <c r="R253" s="66" t="e">
        <v>#DIV/0!</v>
      </c>
      <c r="S253" s="36" t="e">
        <v>#DIV/0!</v>
      </c>
      <c r="T253" s="21"/>
      <c r="U253" s="21"/>
      <c r="V253" s="21"/>
      <c r="W253" s="21"/>
      <c r="X253" s="21"/>
      <c r="Y253" s="21"/>
      <c r="Z253" s="21"/>
      <c r="AA253" s="21"/>
      <c r="AB253" s="21"/>
      <c r="AC253" s="20"/>
    </row>
    <row r="254" spans="1:29" x14ac:dyDescent="0.3">
      <c r="A254" s="18"/>
      <c r="B254" s="21"/>
      <c r="C254" s="21"/>
      <c r="D254" s="21"/>
      <c r="E254" s="21"/>
      <c r="F254" s="21"/>
      <c r="G254" s="21"/>
      <c r="H254" s="21"/>
      <c r="I254" s="21"/>
      <c r="J254" s="21"/>
      <c r="K254" s="21"/>
      <c r="L254" s="30">
        <v>-3.0000000000001137</v>
      </c>
      <c r="M254" s="30">
        <v>100</v>
      </c>
      <c r="N254" s="30">
        <v>159.37</v>
      </c>
      <c r="O254" s="36">
        <v>159.4</v>
      </c>
      <c r="P254" s="35" t="str">
        <v>B</v>
      </c>
      <c r="Q254" s="35">
        <v>100</v>
      </c>
      <c r="R254" s="66" t="str">
        <v>IBM</v>
      </c>
      <c r="S254" s="36" t="str">
        <v>Bob</v>
      </c>
      <c r="T254" s="21"/>
      <c r="U254" s="21"/>
      <c r="V254" s="21"/>
      <c r="W254" s="21"/>
      <c r="X254" s="21"/>
      <c r="Y254" s="21"/>
      <c r="Z254" s="21"/>
      <c r="AA254" s="21"/>
      <c r="AB254" s="21"/>
      <c r="AC254" s="20"/>
    </row>
    <row r="255" spans="1:29" x14ac:dyDescent="0.3">
      <c r="A255" s="18"/>
      <c r="B255" s="21"/>
      <c r="C255" s="21"/>
      <c r="D255" s="21"/>
      <c r="E255" s="21"/>
      <c r="F255" s="21"/>
      <c r="G255" s="21"/>
      <c r="H255" s="21"/>
      <c r="I255" s="21"/>
      <c r="J255" s="21"/>
      <c r="K255" s="21"/>
      <c r="L255" s="30">
        <v>20.000000000000018</v>
      </c>
      <c r="M255" s="30">
        <v>-575.79999999999995</v>
      </c>
      <c r="N255" s="30">
        <v>2.6</v>
      </c>
      <c r="O255" s="36">
        <v>2.62</v>
      </c>
      <c r="P255" s="35" t="str">
        <v>S</v>
      </c>
      <c r="Q255" s="35">
        <v>-10</v>
      </c>
      <c r="R255" s="66" t="str">
        <v>IBM Jun17 160C</v>
      </c>
      <c r="S255" s="36" t="str">
        <v>Bob</v>
      </c>
      <c r="T255" s="21"/>
      <c r="U255" s="21"/>
      <c r="V255" s="21"/>
      <c r="W255" s="21"/>
      <c r="X255" s="21"/>
      <c r="Y255" s="21"/>
      <c r="Z255" s="21"/>
      <c r="AA255" s="21"/>
      <c r="AB255" s="21"/>
      <c r="AC255" s="20"/>
    </row>
    <row r="256" spans="1:29" x14ac:dyDescent="0.3">
      <c r="A256" s="18"/>
      <c r="B256" s="21"/>
      <c r="C256" s="21"/>
      <c r="D256" s="21"/>
      <c r="E256" s="21"/>
      <c r="F256" s="21"/>
      <c r="G256" s="21"/>
      <c r="H256" s="21"/>
      <c r="I256" s="21"/>
      <c r="J256" s="21"/>
      <c r="K256" s="21"/>
      <c r="L256" s="30">
        <v>-14.999999999986358</v>
      </c>
      <c r="M256" s="30">
        <v>600</v>
      </c>
      <c r="N256" s="30">
        <v>141.97</v>
      </c>
      <c r="O256" s="36">
        <v>141.97999999999999</v>
      </c>
      <c r="P256" s="35" t="str">
        <v>B</v>
      </c>
      <c r="Q256" s="35">
        <v>1500</v>
      </c>
      <c r="R256" s="66" t="str">
        <v>AAPL</v>
      </c>
      <c r="S256" s="36" t="str">
        <v>Tom</v>
      </c>
      <c r="T256" s="21"/>
      <c r="U256" s="21"/>
      <c r="V256" s="21"/>
      <c r="W256" s="21"/>
      <c r="X256" s="21"/>
      <c r="Y256" s="21"/>
      <c r="Z256" s="21"/>
      <c r="AA256" s="21"/>
      <c r="AB256" s="21"/>
      <c r="AC256" s="20"/>
    </row>
    <row r="257" spans="1:29" x14ac:dyDescent="0.3">
      <c r="A257" s="18"/>
      <c r="B257" s="21"/>
      <c r="C257" s="21"/>
      <c r="D257" s="21"/>
      <c r="E257" s="21"/>
      <c r="F257" s="21"/>
      <c r="G257" s="21"/>
      <c r="H257" s="21"/>
      <c r="I257" s="21"/>
      <c r="J257" s="21"/>
      <c r="K257" s="21"/>
      <c r="L257" s="30">
        <v>39.999999999999147</v>
      </c>
      <c r="M257" s="30">
        <v>-2303.1999999999998</v>
      </c>
      <c r="N257" s="30">
        <v>2.6</v>
      </c>
      <c r="O257" s="36">
        <v>2.61</v>
      </c>
      <c r="P257" s="35" t="str">
        <v>S</v>
      </c>
      <c r="Q257" s="35">
        <v>-40</v>
      </c>
      <c r="R257" s="66" t="str">
        <v>IBM Jun17 160C</v>
      </c>
      <c r="S257" s="36" t="str">
        <v>Bob</v>
      </c>
      <c r="T257" s="21"/>
      <c r="U257" s="21"/>
      <c r="V257" s="21"/>
      <c r="W257" s="21"/>
      <c r="X257" s="21"/>
      <c r="Y257" s="21"/>
      <c r="Z257" s="21"/>
      <c r="AA257" s="21"/>
      <c r="AB257" s="21"/>
      <c r="AC257" s="20"/>
    </row>
    <row r="258" spans="1:29" x14ac:dyDescent="0.3">
      <c r="A258" s="18"/>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0"/>
    </row>
    <row r="259" spans="1:29" x14ac:dyDescent="0.3">
      <c r="A259" s="18"/>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0"/>
    </row>
    <row r="260" spans="1:29" x14ac:dyDescent="0.3">
      <c r="A260" s="18"/>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0"/>
    </row>
    <row r="261" spans="1:29" x14ac:dyDescent="0.3">
      <c r="A261" s="490" t="s">
        <v>1732</v>
      </c>
      <c r="B261" s="491"/>
      <c r="C261" s="491"/>
      <c r="D261" s="491"/>
      <c r="E261" s="491"/>
      <c r="F261" s="491"/>
      <c r="G261" s="491"/>
      <c r="H261" s="491"/>
      <c r="I261" s="491"/>
      <c r="J261" s="491"/>
      <c r="K261" s="491"/>
      <c r="L261" s="491"/>
      <c r="M261" s="491"/>
      <c r="N261" s="491"/>
      <c r="O261" s="491"/>
      <c r="P261" s="491"/>
      <c r="Q261" s="491"/>
      <c r="R261" s="491"/>
      <c r="S261" s="491"/>
      <c r="T261" s="491"/>
      <c r="U261" s="491"/>
      <c r="V261" s="491"/>
      <c r="W261" s="491"/>
      <c r="X261" s="491"/>
      <c r="Y261" s="491"/>
      <c r="Z261" s="491"/>
      <c r="AA261" s="491"/>
      <c r="AB261" s="21"/>
      <c r="AC261" s="20"/>
    </row>
    <row r="262" spans="1:29" x14ac:dyDescent="0.3">
      <c r="A262" s="18"/>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0"/>
    </row>
    <row r="263" spans="1:29" x14ac:dyDescent="0.3">
      <c r="A263" s="18"/>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0"/>
    </row>
    <row r="264" spans="1:29" x14ac:dyDescent="0.3">
      <c r="A264" s="18"/>
      <c r="B264" s="160" t="str">
        <f t="array" ref="B264:D275">_xll.U.VSORT(,"types")</f>
        <v>NAME</v>
      </c>
      <c r="C264" s="304" t="str">
        <v>VALUE</v>
      </c>
      <c r="D264" s="160" t="str">
        <v>DESCRIPTION</v>
      </c>
      <c r="E264" s="160"/>
      <c r="F264" s="160"/>
      <c r="G264" s="160"/>
      <c r="H264" s="160"/>
      <c r="I264" s="160"/>
      <c r="J264" s="160"/>
      <c r="K264" s="160"/>
      <c r="L264" s="21"/>
      <c r="M264" s="21"/>
      <c r="N264" s="21"/>
      <c r="O264" s="21"/>
      <c r="P264" s="21"/>
      <c r="Q264" s="21"/>
      <c r="R264" s="21"/>
      <c r="S264" s="21"/>
      <c r="T264" s="21"/>
      <c r="U264" s="21"/>
      <c r="V264" s="21"/>
      <c r="W264" s="21"/>
      <c r="X264" s="21"/>
      <c r="Y264" s="21"/>
      <c r="Z264" s="21"/>
      <c r="AA264" s="21"/>
      <c r="AB264" s="21"/>
      <c r="AC264" s="20"/>
    </row>
    <row r="265" spans="1:29" x14ac:dyDescent="0.3">
      <c r="A265" s="18"/>
      <c r="B265" s="160" t="str">
        <v>ascending</v>
      </c>
      <c r="C265" s="304">
        <v>1</v>
      </c>
      <c r="D265" s="160" t="str">
        <v>ascending numerically if all numbers; else ascending alphanumerically</v>
      </c>
      <c r="E265" s="160"/>
      <c r="F265" s="160"/>
      <c r="G265" s="160"/>
      <c r="H265" s="160"/>
      <c r="I265" s="160"/>
      <c r="J265" s="160"/>
      <c r="K265" s="160"/>
      <c r="L265" s="21"/>
      <c r="M265" s="21"/>
      <c r="N265" s="21"/>
      <c r="O265" s="21"/>
      <c r="P265" s="21"/>
      <c r="Q265" s="21"/>
      <c r="R265" s="21"/>
      <c r="S265" s="21"/>
      <c r="T265" s="21"/>
      <c r="U265" s="21"/>
      <c r="V265" s="21"/>
      <c r="W265" s="21"/>
      <c r="X265" s="21"/>
      <c r="Y265" s="21"/>
      <c r="Z265" s="21"/>
      <c r="AA265" s="21"/>
      <c r="AB265" s="21"/>
      <c r="AC265" s="20"/>
    </row>
    <row r="266" spans="1:29" x14ac:dyDescent="0.3">
      <c r="A266" s="18"/>
      <c r="B266" s="160" t="str">
        <v>ascending_absolute</v>
      </c>
      <c r="C266" s="304">
        <v>2</v>
      </c>
      <c r="D266" s="160" t="str">
        <v>ascending absolute value numerically if all numbers; else ascending alphanumerically</v>
      </c>
      <c r="E266" s="160"/>
      <c r="F266" s="160"/>
      <c r="G266" s="160"/>
      <c r="H266" s="160"/>
      <c r="I266" s="160"/>
      <c r="J266" s="160"/>
      <c r="K266" s="160"/>
      <c r="L266" s="21"/>
      <c r="M266" s="21"/>
      <c r="N266" s="21"/>
      <c r="O266" s="21"/>
      <c r="P266" s="21"/>
      <c r="Q266" s="21"/>
      <c r="R266" s="21"/>
      <c r="S266" s="21"/>
      <c r="T266" s="21"/>
      <c r="U266" s="21"/>
      <c r="V266" s="21"/>
      <c r="W266" s="21"/>
      <c r="X266" s="21"/>
      <c r="Y266" s="21"/>
      <c r="Z266" s="21"/>
      <c r="AA266" s="21"/>
      <c r="AB266" s="21"/>
      <c r="AC266" s="20"/>
    </row>
    <row r="267" spans="1:29" x14ac:dyDescent="0.3">
      <c r="A267" s="18"/>
      <c r="B267" s="160" t="str">
        <v>ascending_alphanumeric</v>
      </c>
      <c r="C267" s="304">
        <v>3</v>
      </c>
      <c r="D267" s="160" t="str">
        <v>ascending alphanumerically</v>
      </c>
      <c r="E267" s="160"/>
      <c r="F267" s="160"/>
      <c r="G267" s="160"/>
      <c r="H267" s="160"/>
      <c r="I267" s="160"/>
      <c r="J267" s="160"/>
      <c r="K267" s="160"/>
      <c r="L267" s="21"/>
      <c r="M267" s="21"/>
      <c r="N267" s="21"/>
      <c r="O267" s="21"/>
      <c r="P267" s="21"/>
      <c r="Q267" s="21"/>
      <c r="R267" s="21"/>
      <c r="S267" s="21"/>
      <c r="T267" s="21"/>
      <c r="U267" s="21"/>
      <c r="V267" s="21"/>
      <c r="W267" s="21"/>
      <c r="X267" s="21"/>
      <c r="Y267" s="21"/>
      <c r="Z267" s="21"/>
      <c r="AA267" s="21"/>
      <c r="AB267" s="21"/>
      <c r="AC267" s="20"/>
    </row>
    <row r="268" spans="1:29" x14ac:dyDescent="0.3">
      <c r="A268" s="18"/>
      <c r="B268" s="160" t="str">
        <v>ascending_cased_alphanumeric</v>
      </c>
      <c r="C268" s="304">
        <v>4</v>
      </c>
      <c r="D268" s="160" t="str">
        <v>ascending alphanumerically with case</v>
      </c>
      <c r="E268" s="160"/>
      <c r="F268" s="160"/>
      <c r="G268" s="160"/>
      <c r="H268" s="160"/>
      <c r="I268" s="160"/>
      <c r="J268" s="160"/>
      <c r="K268" s="160"/>
      <c r="L268" s="21"/>
      <c r="M268" s="21"/>
      <c r="N268" s="21"/>
      <c r="O268" s="21"/>
      <c r="P268" s="21"/>
      <c r="Q268" s="21"/>
      <c r="R268" s="21"/>
      <c r="S268" s="21"/>
      <c r="T268" s="21"/>
      <c r="U268" s="21"/>
      <c r="V268" s="21"/>
      <c r="W268" s="21"/>
      <c r="X268" s="21"/>
      <c r="Y268" s="21"/>
      <c r="Z268" s="21"/>
      <c r="AA268" s="21"/>
      <c r="AB268" s="21"/>
      <c r="AC268" s="20"/>
    </row>
    <row r="269" spans="1:29" x14ac:dyDescent="0.3">
      <c r="A269" s="18"/>
      <c r="B269" s="160" t="str">
        <v>ascending_length</v>
      </c>
      <c r="C269" s="304">
        <v>9</v>
      </c>
      <c r="D269" s="160" t="str">
        <v>ascending length</v>
      </c>
      <c r="E269" s="160"/>
      <c r="F269" s="160"/>
      <c r="G269" s="160"/>
      <c r="H269" s="160"/>
      <c r="I269" s="160"/>
      <c r="J269" s="160"/>
      <c r="K269" s="160"/>
      <c r="L269" s="21"/>
      <c r="M269" s="21"/>
      <c r="N269" s="21"/>
      <c r="O269" s="21"/>
      <c r="P269" s="21"/>
      <c r="Q269" s="21"/>
      <c r="R269" s="21"/>
      <c r="S269" s="21"/>
      <c r="T269" s="21"/>
      <c r="U269" s="21"/>
      <c r="V269" s="21"/>
      <c r="W269" s="21"/>
      <c r="X269" s="21"/>
      <c r="Y269" s="21"/>
      <c r="Z269" s="21"/>
      <c r="AA269" s="21"/>
      <c r="AB269" s="21"/>
      <c r="AC269" s="20"/>
    </row>
    <row r="270" spans="1:29" x14ac:dyDescent="0.3">
      <c r="A270" s="18"/>
      <c r="B270" s="160" t="str">
        <v>descending</v>
      </c>
      <c r="C270" s="304">
        <v>-1</v>
      </c>
      <c r="D270" s="160" t="str">
        <v>descending numerically if all numbers; else descending alphanumerically</v>
      </c>
      <c r="E270" s="160"/>
      <c r="F270" s="160"/>
      <c r="G270" s="160"/>
      <c r="H270" s="160"/>
      <c r="I270" s="160"/>
      <c r="J270" s="160"/>
      <c r="K270" s="160"/>
      <c r="L270" s="21"/>
      <c r="M270" s="21"/>
      <c r="N270" s="21"/>
      <c r="O270" s="21"/>
      <c r="P270" s="21"/>
      <c r="Q270" s="21"/>
      <c r="R270" s="21"/>
      <c r="S270" s="21"/>
      <c r="T270" s="21"/>
      <c r="U270" s="21"/>
      <c r="V270" s="21"/>
      <c r="W270" s="21"/>
      <c r="X270" s="21"/>
      <c r="Y270" s="21"/>
      <c r="Z270" s="21"/>
      <c r="AA270" s="21"/>
      <c r="AB270" s="21"/>
      <c r="AC270" s="20"/>
    </row>
    <row r="271" spans="1:29" x14ac:dyDescent="0.3">
      <c r="A271" s="18"/>
      <c r="B271" s="160" t="str">
        <v>descending_absolute</v>
      </c>
      <c r="C271" s="304">
        <v>-2</v>
      </c>
      <c r="D271" s="160" t="str">
        <v>descending absolute value numerically if all numbers; else descending alphanumerically</v>
      </c>
      <c r="E271" s="160"/>
      <c r="F271" s="160"/>
      <c r="G271" s="160"/>
      <c r="H271" s="160"/>
      <c r="I271" s="160"/>
      <c r="J271" s="160"/>
      <c r="K271" s="160"/>
      <c r="L271" s="21"/>
      <c r="M271" s="21"/>
      <c r="N271" s="21"/>
      <c r="O271" s="21"/>
      <c r="P271" s="21"/>
      <c r="Q271" s="21"/>
      <c r="R271" s="21"/>
      <c r="S271" s="21"/>
      <c r="T271" s="21"/>
      <c r="U271" s="21"/>
      <c r="V271" s="21"/>
      <c r="W271" s="21"/>
      <c r="X271" s="21"/>
      <c r="Y271" s="21"/>
      <c r="Z271" s="21"/>
      <c r="AA271" s="21"/>
      <c r="AB271" s="21"/>
      <c r="AC271" s="20"/>
    </row>
    <row r="272" spans="1:29" x14ac:dyDescent="0.3">
      <c r="A272" s="18"/>
      <c r="B272" s="160" t="str">
        <v>descending_alphanumeric</v>
      </c>
      <c r="C272" s="304">
        <v>-3</v>
      </c>
      <c r="D272" s="160" t="str">
        <v>descending alphanumerically</v>
      </c>
      <c r="E272" s="160"/>
      <c r="F272" s="160"/>
      <c r="G272" s="160"/>
      <c r="H272" s="160"/>
      <c r="I272" s="160"/>
      <c r="J272" s="160"/>
      <c r="K272" s="160"/>
      <c r="L272" s="21"/>
      <c r="M272" s="21"/>
      <c r="N272" s="21"/>
      <c r="O272" s="21"/>
      <c r="P272" s="21"/>
      <c r="Q272" s="21"/>
      <c r="R272" s="21"/>
      <c r="S272" s="21"/>
      <c r="T272" s="21"/>
      <c r="U272" s="21"/>
      <c r="V272" s="21"/>
      <c r="W272" s="21"/>
      <c r="X272" s="21"/>
      <c r="Y272" s="21"/>
      <c r="Z272" s="21"/>
      <c r="AA272" s="21"/>
      <c r="AB272" s="21"/>
      <c r="AC272" s="20"/>
    </row>
    <row r="273" spans="1:29" x14ac:dyDescent="0.3">
      <c r="A273" s="18"/>
      <c r="B273" s="160" t="str">
        <v>descending_cased_alphanumeric</v>
      </c>
      <c r="C273" s="304">
        <v>-4</v>
      </c>
      <c r="D273" s="160" t="str">
        <v>descending alphanumerically with case</v>
      </c>
      <c r="E273" s="160"/>
      <c r="F273" s="160"/>
      <c r="G273" s="160"/>
      <c r="H273" s="160"/>
      <c r="I273" s="160"/>
      <c r="J273" s="160"/>
      <c r="K273" s="160"/>
      <c r="L273" s="21"/>
      <c r="M273" s="21"/>
      <c r="N273" s="21"/>
      <c r="O273" s="21"/>
      <c r="P273" s="21"/>
      <c r="Q273" s="21"/>
      <c r="R273" s="21"/>
      <c r="S273" s="21"/>
      <c r="T273" s="21"/>
      <c r="U273" s="21"/>
      <c r="V273" s="21"/>
      <c r="W273" s="21"/>
      <c r="X273" s="21"/>
      <c r="Y273" s="21"/>
      <c r="Z273" s="21"/>
      <c r="AA273" s="21"/>
      <c r="AB273" s="21"/>
      <c r="AC273" s="20"/>
    </row>
    <row r="274" spans="1:29" x14ac:dyDescent="0.3">
      <c r="A274" s="18"/>
      <c r="B274" s="160" t="str">
        <v>descending_length</v>
      </c>
      <c r="C274" s="304">
        <v>-9</v>
      </c>
      <c r="D274" s="160" t="str">
        <v>descending length</v>
      </c>
      <c r="E274" s="160"/>
      <c r="F274" s="160"/>
      <c r="G274" s="160"/>
      <c r="H274" s="160"/>
      <c r="I274" s="160"/>
      <c r="J274" s="160"/>
      <c r="K274" s="160"/>
      <c r="L274" s="21"/>
      <c r="M274" s="21"/>
      <c r="N274" s="21"/>
      <c r="O274" s="21"/>
      <c r="P274" s="21"/>
      <c r="Q274" s="21"/>
      <c r="R274" s="21"/>
      <c r="S274" s="21"/>
      <c r="T274" s="21"/>
      <c r="U274" s="21"/>
      <c r="V274" s="21"/>
      <c r="W274" s="21"/>
      <c r="X274" s="21"/>
      <c r="Y274" s="21"/>
      <c r="Z274" s="21"/>
      <c r="AA274" s="21"/>
      <c r="AB274" s="21"/>
      <c r="AC274" s="20"/>
    </row>
    <row r="275" spans="1:29" x14ac:dyDescent="0.3">
      <c r="A275" s="18"/>
      <c r="B275" s="160" t="str">
        <v>list</v>
      </c>
      <c r="C275" s="304">
        <v>0</v>
      </c>
      <c r="D275" s="160" t="str">
        <v>by provided list</v>
      </c>
      <c r="E275" s="160"/>
      <c r="F275" s="160"/>
      <c r="G275" s="160"/>
      <c r="H275" s="160"/>
      <c r="I275" s="160"/>
      <c r="J275" s="160"/>
      <c r="K275" s="160"/>
      <c r="L275" s="21"/>
      <c r="M275" s="21"/>
      <c r="N275" s="21"/>
      <c r="O275" s="21"/>
      <c r="P275" s="21"/>
      <c r="Q275" s="21"/>
      <c r="R275" s="21"/>
      <c r="S275" s="21"/>
      <c r="T275" s="21"/>
      <c r="U275" s="21"/>
      <c r="V275" s="21"/>
      <c r="W275" s="21"/>
      <c r="X275" s="21"/>
      <c r="Y275" s="21"/>
      <c r="Z275" s="21"/>
      <c r="AA275" s="21"/>
      <c r="AB275" s="21"/>
      <c r="AC275" s="20"/>
    </row>
    <row r="276" spans="1:29" x14ac:dyDescent="0.3">
      <c r="A276" s="18"/>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0"/>
    </row>
    <row r="277" spans="1:29" x14ac:dyDescent="0.3">
      <c r="A277" s="18"/>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0"/>
    </row>
    <row r="278" spans="1:29" x14ac:dyDescent="0.3">
      <c r="A278" s="18"/>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0"/>
    </row>
    <row r="279" spans="1:29" ht="15" thickBot="1" x14ac:dyDescent="0.35">
      <c r="A279" s="22"/>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4"/>
    </row>
  </sheetData>
  <mergeCells count="46">
    <mergeCell ref="L101:S101"/>
    <mergeCell ref="V101:W101"/>
    <mergeCell ref="A3:AA3"/>
    <mergeCell ref="B6:I6"/>
    <mergeCell ref="L6:S6"/>
    <mergeCell ref="V6:W6"/>
    <mergeCell ref="L33:S33"/>
    <mergeCell ref="V33:X33"/>
    <mergeCell ref="L60:S60"/>
    <mergeCell ref="V60:W60"/>
    <mergeCell ref="L78:S78"/>
    <mergeCell ref="V78:W78"/>
    <mergeCell ref="AE3:AN3"/>
    <mergeCell ref="AE4:AF6"/>
    <mergeCell ref="AG4:AN6"/>
    <mergeCell ref="AE7:AF7"/>
    <mergeCell ref="AG7:AM7"/>
    <mergeCell ref="AE8:AF10"/>
    <mergeCell ref="AG8:AM10"/>
    <mergeCell ref="AN8:AN10"/>
    <mergeCell ref="AE11:AF13"/>
    <mergeCell ref="AG11:AM13"/>
    <mergeCell ref="AN11:AN13"/>
    <mergeCell ref="AN20:AN22"/>
    <mergeCell ref="AE14:AF16"/>
    <mergeCell ref="AG14:AM16"/>
    <mergeCell ref="AN14:AN16"/>
    <mergeCell ref="AE17:AF19"/>
    <mergeCell ref="AG17:AM19"/>
    <mergeCell ref="AN17:AN19"/>
    <mergeCell ref="AE20:AF22"/>
    <mergeCell ref="AG20:AM22"/>
    <mergeCell ref="A261:AA261"/>
    <mergeCell ref="L243:S243"/>
    <mergeCell ref="L158:S158"/>
    <mergeCell ref="L120:S120"/>
    <mergeCell ref="L139:S139"/>
    <mergeCell ref="A240:AA240"/>
    <mergeCell ref="L177:S177"/>
    <mergeCell ref="L196:S196"/>
    <mergeCell ref="V196:W196"/>
    <mergeCell ref="B219:C219"/>
    <mergeCell ref="L219:M219"/>
    <mergeCell ref="V219:W219"/>
    <mergeCell ref="V229:W229"/>
    <mergeCell ref="L229:M229"/>
  </mergeCell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Z94"/>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3" customWidth="1"/>
    <col min="4" max="4" width="9.21875" customWidth="1"/>
    <col min="5" max="6" width="10.21875" customWidth="1"/>
    <col min="10" max="11" width="9.21875" customWidth="1"/>
    <col min="19" max="25" width="12.77734375" customWidth="1"/>
  </cols>
  <sheetData>
    <row r="1" spans="1:26" ht="34.5" customHeight="1" thickBot="1" x14ac:dyDescent="0.35">
      <c r="A1" s="292" t="s">
        <v>1580</v>
      </c>
      <c r="B1" s="473" t="e" vm="1">
        <v>#VALUE!</v>
      </c>
      <c r="C1" s="8" t="s">
        <v>276</v>
      </c>
      <c r="D1" s="27"/>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94</v>
      </c>
      <c r="B3" s="491"/>
      <c r="C3" s="491"/>
      <c r="D3" s="491"/>
      <c r="E3" s="491"/>
      <c r="F3" s="491"/>
      <c r="G3" s="491"/>
      <c r="H3" s="491"/>
      <c r="I3" s="491"/>
      <c r="J3" s="491"/>
      <c r="K3" s="491"/>
      <c r="L3" s="491"/>
      <c r="M3" s="491"/>
      <c r="N3" s="21"/>
      <c r="O3" s="20"/>
      <c r="Q3" s="486" t="s">
        <v>3406</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488</v>
      </c>
      <c r="T4" s="487"/>
      <c r="U4" s="487"/>
      <c r="V4" s="487"/>
      <c r="W4" s="487"/>
      <c r="X4" s="487"/>
      <c r="Y4" s="487"/>
      <c r="Z4" s="487"/>
    </row>
    <row r="5" spans="1:26" ht="15" customHeight="1" x14ac:dyDescent="0.3">
      <c r="A5" s="18"/>
      <c r="B5" s="21"/>
      <c r="C5" s="21"/>
      <c r="D5" s="26"/>
      <c r="E5" s="21"/>
      <c r="F5" s="21"/>
      <c r="G5" s="21"/>
      <c r="H5" s="21"/>
      <c r="I5" s="21"/>
      <c r="J5" s="21"/>
      <c r="K5" s="21"/>
      <c r="L5" s="21"/>
      <c r="M5" s="21"/>
      <c r="N5" s="21"/>
      <c r="O5" s="20"/>
      <c r="Q5" s="487"/>
      <c r="R5" s="487"/>
      <c r="S5" s="487"/>
      <c r="T5" s="487"/>
      <c r="U5" s="487"/>
      <c r="V5" s="487"/>
      <c r="W5" s="487"/>
      <c r="X5" s="487"/>
      <c r="Y5" s="487"/>
      <c r="Z5" s="487"/>
    </row>
    <row r="6" spans="1:26" ht="15" customHeight="1" x14ac:dyDescent="0.3">
      <c r="A6" s="18"/>
      <c r="B6" s="492" t="s">
        <v>93</v>
      </c>
      <c r="C6" s="493"/>
      <c r="D6" s="26"/>
      <c r="E6" s="492" t="s">
        <v>3407</v>
      </c>
      <c r="F6" s="493"/>
      <c r="G6" s="21"/>
      <c r="H6" s="21"/>
      <c r="I6" s="21"/>
      <c r="J6" s="21"/>
      <c r="K6" s="21"/>
      <c r="L6" s="21"/>
      <c r="M6" s="21"/>
      <c r="N6" s="21"/>
      <c r="O6" s="20"/>
      <c r="Q6" s="487"/>
      <c r="R6" s="487"/>
      <c r="S6" s="487"/>
      <c r="T6" s="487"/>
      <c r="U6" s="487"/>
      <c r="V6" s="487"/>
      <c r="W6" s="487"/>
      <c r="X6" s="487"/>
      <c r="Y6" s="487"/>
      <c r="Z6" s="487"/>
    </row>
    <row r="7" spans="1:26" x14ac:dyDescent="0.3">
      <c r="A7" s="18"/>
      <c r="B7" s="42" t="s">
        <v>78</v>
      </c>
      <c r="C7" s="42">
        <v>2</v>
      </c>
      <c r="D7" s="21"/>
      <c r="E7" s="30" t="str">
        <f t="array" ref="E7:F14">_xll.U.VUNIQUE(B7:C14)</f>
        <v>a</v>
      </c>
      <c r="F7" s="30">
        <v>1</v>
      </c>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42" t="s">
        <v>77</v>
      </c>
      <c r="C8" s="42">
        <v>1</v>
      </c>
      <c r="D8" s="21"/>
      <c r="E8" s="30" t="str">
        <v>a</v>
      </c>
      <c r="F8" s="30">
        <v>2</v>
      </c>
      <c r="G8" s="21"/>
      <c r="H8" s="21"/>
      <c r="I8" s="21"/>
      <c r="J8" s="21"/>
      <c r="K8" s="21"/>
      <c r="L8" s="21"/>
      <c r="M8" s="21"/>
      <c r="N8" s="21"/>
      <c r="O8" s="20"/>
      <c r="Q8" s="487" t="s">
        <v>443</v>
      </c>
      <c r="R8" s="487"/>
      <c r="S8" s="487" t="s">
        <v>2966</v>
      </c>
      <c r="T8" s="487"/>
      <c r="U8" s="487"/>
      <c r="V8" s="487"/>
      <c r="W8" s="487"/>
      <c r="X8" s="487"/>
      <c r="Y8" s="487"/>
      <c r="Z8" s="509" t="s">
        <v>325</v>
      </c>
    </row>
    <row r="9" spans="1:26" x14ac:dyDescent="0.3">
      <c r="A9" s="18"/>
      <c r="B9" s="42" t="s">
        <v>79</v>
      </c>
      <c r="C9" s="42">
        <v>3</v>
      </c>
      <c r="D9" s="21"/>
      <c r="E9" s="30" t="str">
        <v>a</v>
      </c>
      <c r="F9" s="30">
        <v>3</v>
      </c>
      <c r="G9" s="21"/>
      <c r="H9" s="21"/>
      <c r="I9" s="21"/>
      <c r="J9" s="21"/>
      <c r="K9" s="21"/>
      <c r="L9" s="21"/>
      <c r="M9" s="21"/>
      <c r="N9" s="21"/>
      <c r="O9" s="20"/>
      <c r="Q9" s="487"/>
      <c r="R9" s="487"/>
      <c r="S9" s="487"/>
      <c r="T9" s="487"/>
      <c r="U9" s="487"/>
      <c r="V9" s="487"/>
      <c r="W9" s="487"/>
      <c r="X9" s="487"/>
      <c r="Y9" s="487"/>
      <c r="Z9" s="509"/>
    </row>
    <row r="10" spans="1:26" x14ac:dyDescent="0.3">
      <c r="A10" s="18"/>
      <c r="B10" s="42" t="s">
        <v>77</v>
      </c>
      <c r="C10" s="42">
        <v>2</v>
      </c>
      <c r="D10" s="21"/>
      <c r="E10" s="30" t="str">
        <v>b</v>
      </c>
      <c r="F10" s="30">
        <v>2</v>
      </c>
      <c r="G10" s="21"/>
      <c r="H10" s="21"/>
      <c r="I10" s="21"/>
      <c r="J10" s="21"/>
      <c r="K10" s="21"/>
      <c r="L10" s="21"/>
      <c r="M10" s="21"/>
      <c r="N10" s="21"/>
      <c r="O10" s="20"/>
      <c r="Q10" s="487"/>
      <c r="R10" s="487"/>
      <c r="S10" s="487"/>
      <c r="T10" s="487"/>
      <c r="U10" s="487"/>
      <c r="V10" s="487"/>
      <c r="W10" s="487"/>
      <c r="X10" s="487"/>
      <c r="Y10" s="487"/>
      <c r="Z10" s="509"/>
    </row>
    <row r="11" spans="1:26" x14ac:dyDescent="0.3">
      <c r="A11" s="18"/>
      <c r="B11" s="42" t="s">
        <v>92</v>
      </c>
      <c r="C11" s="42">
        <v>3</v>
      </c>
      <c r="D11" s="21"/>
      <c r="E11" s="30" t="str">
        <v>c</v>
      </c>
      <c r="F11" s="30">
        <v>3</v>
      </c>
      <c r="G11" s="21"/>
      <c r="H11" s="21"/>
      <c r="I11" s="21"/>
      <c r="J11" s="21"/>
      <c r="K11" s="21"/>
      <c r="L11" s="21"/>
      <c r="M11" s="21"/>
      <c r="N11" s="21"/>
      <c r="O11" s="20"/>
      <c r="Q11" s="484" t="s">
        <v>487</v>
      </c>
      <c r="R11" s="484"/>
      <c r="S11" s="484" t="s">
        <v>1186</v>
      </c>
      <c r="T11" s="484"/>
      <c r="U11" s="484"/>
      <c r="V11" s="484"/>
      <c r="W11" s="484"/>
      <c r="X11" s="484"/>
      <c r="Y11" s="484"/>
      <c r="Z11" s="485" t="s">
        <v>326</v>
      </c>
    </row>
    <row r="12" spans="1:26" x14ac:dyDescent="0.3">
      <c r="A12" s="18"/>
      <c r="B12" s="42" t="s">
        <v>77</v>
      </c>
      <c r="C12" s="42">
        <v>2</v>
      </c>
      <c r="D12" s="21"/>
      <c r="E12" s="30" t="str">
        <v>e</v>
      </c>
      <c r="F12" s="30">
        <v>3</v>
      </c>
      <c r="G12" s="21"/>
      <c r="H12" s="21"/>
      <c r="I12" s="21"/>
      <c r="J12" s="21"/>
      <c r="K12" s="21"/>
      <c r="L12" s="21"/>
      <c r="M12" s="21"/>
      <c r="N12" s="21"/>
      <c r="O12" s="20"/>
      <c r="Q12" s="484"/>
      <c r="R12" s="484"/>
      <c r="S12" s="484"/>
      <c r="T12" s="484"/>
      <c r="U12" s="484"/>
      <c r="V12" s="484"/>
      <c r="W12" s="484"/>
      <c r="X12" s="484"/>
      <c r="Y12" s="484"/>
      <c r="Z12" s="485"/>
    </row>
    <row r="13" spans="1:26" x14ac:dyDescent="0.3">
      <c r="A13" s="18"/>
      <c r="B13" s="42" t="s">
        <v>78</v>
      </c>
      <c r="C13" s="42">
        <v>2</v>
      </c>
      <c r="D13" s="21"/>
      <c r="E13" s="30" t="e">
        <v>#N/A</v>
      </c>
      <c r="F13" s="30" t="e">
        <v>#N/A</v>
      </c>
      <c r="G13" s="21"/>
      <c r="H13" s="21"/>
      <c r="I13" s="21"/>
      <c r="J13" s="21"/>
      <c r="K13" s="21"/>
      <c r="L13" s="21"/>
      <c r="M13" s="21"/>
      <c r="N13" s="21"/>
      <c r="O13" s="20"/>
      <c r="Q13" s="484"/>
      <c r="R13" s="484"/>
      <c r="S13" s="484"/>
      <c r="T13" s="484"/>
      <c r="U13" s="484"/>
      <c r="V13" s="484"/>
      <c r="W13" s="484"/>
      <c r="X13" s="484"/>
      <c r="Y13" s="484"/>
      <c r="Z13" s="485"/>
    </row>
    <row r="14" spans="1:26" ht="15" customHeight="1" x14ac:dyDescent="0.3">
      <c r="A14" s="18"/>
      <c r="B14" s="42" t="s">
        <v>77</v>
      </c>
      <c r="C14" s="42">
        <v>3</v>
      </c>
      <c r="D14" s="21"/>
      <c r="E14" s="30" t="e">
        <v>#N/A</v>
      </c>
      <c r="F14" s="30" t="e">
        <v>#N/A</v>
      </c>
      <c r="G14" s="21"/>
      <c r="H14" s="21"/>
      <c r="I14" s="21"/>
      <c r="J14" s="21"/>
      <c r="K14" s="21"/>
      <c r="L14" s="21"/>
      <c r="M14" s="21"/>
      <c r="N14" s="21"/>
      <c r="O14" s="20"/>
      <c r="Q14" s="484" t="s">
        <v>862</v>
      </c>
      <c r="R14" s="484"/>
      <c r="S14" s="484" t="s">
        <v>864</v>
      </c>
      <c r="T14" s="484"/>
      <c r="U14" s="484"/>
      <c r="V14" s="484"/>
      <c r="W14" s="484"/>
      <c r="X14" s="484"/>
      <c r="Y14" s="484"/>
      <c r="Z14" s="485" t="s">
        <v>326</v>
      </c>
    </row>
    <row r="15" spans="1:26" x14ac:dyDescent="0.3">
      <c r="A15" s="18"/>
      <c r="B15" s="21"/>
      <c r="C15" s="21"/>
      <c r="D15" s="21"/>
      <c r="E15" s="21"/>
      <c r="F15" s="21"/>
      <c r="G15" s="21"/>
      <c r="H15" s="21"/>
      <c r="I15" s="21"/>
      <c r="J15" s="21"/>
      <c r="K15" s="21"/>
      <c r="L15" s="21"/>
      <c r="M15" s="21"/>
      <c r="N15" s="21"/>
      <c r="O15" s="20"/>
      <c r="Q15" s="484"/>
      <c r="R15" s="484"/>
      <c r="S15" s="484"/>
      <c r="T15" s="484"/>
      <c r="U15" s="484"/>
      <c r="V15" s="484"/>
      <c r="W15" s="484"/>
      <c r="X15" s="484"/>
      <c r="Y15" s="484"/>
      <c r="Z15" s="485"/>
    </row>
    <row r="16" spans="1:26" x14ac:dyDescent="0.3">
      <c r="A16" s="18"/>
      <c r="B16" s="21"/>
      <c r="C16" s="21"/>
      <c r="D16" s="21"/>
      <c r="E16" s="492" t="s">
        <v>3407</v>
      </c>
      <c r="F16" s="493"/>
      <c r="G16" s="21"/>
      <c r="H16" s="21"/>
      <c r="I16" s="21"/>
      <c r="J16" s="21"/>
      <c r="K16" s="21"/>
      <c r="L16" s="21"/>
      <c r="M16" s="21"/>
      <c r="N16" s="21"/>
      <c r="O16" s="20"/>
      <c r="Q16" s="484"/>
      <c r="R16" s="484"/>
      <c r="S16" s="484"/>
      <c r="T16" s="484"/>
      <c r="U16" s="484"/>
      <c r="V16" s="484"/>
      <c r="W16" s="484"/>
      <c r="X16" s="484"/>
      <c r="Y16" s="484"/>
      <c r="Z16" s="485"/>
    </row>
    <row r="17" spans="1:26" ht="15" customHeight="1" x14ac:dyDescent="0.3">
      <c r="A17" s="18"/>
      <c r="B17" s="21"/>
      <c r="C17" s="21"/>
      <c r="D17" s="21"/>
      <c r="E17" s="30" t="str">
        <f t="array" ref="E17:F24">_xll.U.VUNIQUE(B7:C14,TRUE)</f>
        <v>b</v>
      </c>
      <c r="F17" s="30">
        <v>2</v>
      </c>
      <c r="G17" s="21"/>
      <c r="H17" s="21"/>
      <c r="I17" s="21"/>
      <c r="J17" s="21"/>
      <c r="K17" s="21"/>
      <c r="L17" s="21"/>
      <c r="M17" s="21"/>
      <c r="N17" s="21"/>
      <c r="O17" s="20"/>
      <c r="Q17" s="484" t="s">
        <v>863</v>
      </c>
      <c r="R17" s="484"/>
      <c r="S17" s="484" t="s">
        <v>865</v>
      </c>
      <c r="T17" s="484"/>
      <c r="U17" s="484"/>
      <c r="V17" s="484"/>
      <c r="W17" s="484"/>
      <c r="X17" s="484"/>
      <c r="Y17" s="484"/>
      <c r="Z17" s="485" t="s">
        <v>326</v>
      </c>
    </row>
    <row r="18" spans="1:26" x14ac:dyDescent="0.3">
      <c r="A18" s="18"/>
      <c r="B18" s="21"/>
      <c r="C18" s="21"/>
      <c r="D18" s="21"/>
      <c r="E18" s="30" t="str">
        <v>a</v>
      </c>
      <c r="F18" s="30">
        <v>1</v>
      </c>
      <c r="G18" s="21"/>
      <c r="H18" s="21"/>
      <c r="I18" s="21"/>
      <c r="J18" s="21"/>
      <c r="K18" s="21"/>
      <c r="L18" s="21"/>
      <c r="M18" s="21"/>
      <c r="N18" s="21"/>
      <c r="O18" s="20"/>
      <c r="Q18" s="484"/>
      <c r="R18" s="484"/>
      <c r="S18" s="484"/>
      <c r="T18" s="484"/>
      <c r="U18" s="484"/>
      <c r="V18" s="484"/>
      <c r="W18" s="484"/>
      <c r="X18" s="484"/>
      <c r="Y18" s="484"/>
      <c r="Z18" s="485"/>
    </row>
    <row r="19" spans="1:26" x14ac:dyDescent="0.3">
      <c r="A19" s="18"/>
      <c r="B19" s="21"/>
      <c r="C19" s="21"/>
      <c r="D19" s="21"/>
      <c r="E19" s="30" t="str">
        <v>c</v>
      </c>
      <c r="F19" s="30">
        <v>3</v>
      </c>
      <c r="G19" s="21"/>
      <c r="H19" s="21"/>
      <c r="I19" s="21"/>
      <c r="J19" s="21"/>
      <c r="K19" s="21"/>
      <c r="L19" s="21"/>
      <c r="M19" s="21"/>
      <c r="N19" s="21"/>
      <c r="O19" s="20"/>
      <c r="Q19" s="484"/>
      <c r="R19" s="484"/>
      <c r="S19" s="484"/>
      <c r="T19" s="484"/>
      <c r="U19" s="484"/>
      <c r="V19" s="484"/>
      <c r="W19" s="484"/>
      <c r="X19" s="484"/>
      <c r="Y19" s="484"/>
      <c r="Z19" s="485"/>
    </row>
    <row r="20" spans="1:26" ht="15" customHeight="1" x14ac:dyDescent="0.3">
      <c r="A20" s="18"/>
      <c r="B20" s="21"/>
      <c r="C20" s="21"/>
      <c r="D20" s="21"/>
      <c r="E20" s="30" t="str">
        <v>a</v>
      </c>
      <c r="F20" s="30">
        <v>2</v>
      </c>
      <c r="G20" s="21"/>
      <c r="H20" s="21"/>
      <c r="I20" s="21"/>
      <c r="J20" s="21"/>
      <c r="K20" s="21"/>
      <c r="L20" s="21"/>
      <c r="M20" s="21"/>
      <c r="N20" s="21"/>
      <c r="O20" s="20"/>
      <c r="Q20" s="126" t="s">
        <v>328</v>
      </c>
    </row>
    <row r="21" spans="1:26" x14ac:dyDescent="0.3">
      <c r="A21" s="18"/>
      <c r="B21" s="21"/>
      <c r="C21" s="21"/>
      <c r="D21" s="21"/>
      <c r="E21" s="30" t="str">
        <v>e</v>
      </c>
      <c r="F21" s="30">
        <v>3</v>
      </c>
      <c r="G21" s="21"/>
      <c r="H21" s="21"/>
      <c r="I21" s="21"/>
      <c r="J21" s="21"/>
      <c r="K21" s="21"/>
      <c r="L21" s="21"/>
      <c r="M21" s="21"/>
      <c r="N21" s="21"/>
      <c r="O21" s="20"/>
    </row>
    <row r="22" spans="1:26" x14ac:dyDescent="0.3">
      <c r="A22" s="18"/>
      <c r="B22" s="21"/>
      <c r="C22" s="21"/>
      <c r="D22" s="21"/>
      <c r="E22" s="30" t="str">
        <v>a</v>
      </c>
      <c r="F22" s="30">
        <v>3</v>
      </c>
      <c r="G22" s="21"/>
      <c r="H22" s="21"/>
      <c r="I22" s="21"/>
      <c r="J22" s="21"/>
      <c r="K22" s="21"/>
      <c r="L22" s="21"/>
      <c r="M22" s="21"/>
      <c r="N22" s="21"/>
      <c r="O22" s="20"/>
    </row>
    <row r="23" spans="1:26" x14ac:dyDescent="0.3">
      <c r="A23" s="18"/>
      <c r="B23" s="21"/>
      <c r="C23" s="21"/>
      <c r="D23" s="21"/>
      <c r="E23" s="30" t="e">
        <v>#N/A</v>
      </c>
      <c r="F23" s="30" t="e">
        <v>#N/A</v>
      </c>
      <c r="G23" s="21"/>
      <c r="H23" s="21"/>
      <c r="I23" s="21"/>
      <c r="J23" s="21"/>
      <c r="K23" s="21"/>
      <c r="L23" s="21"/>
      <c r="M23" s="21"/>
      <c r="N23" s="21"/>
      <c r="O23" s="20"/>
    </row>
    <row r="24" spans="1:26" x14ac:dyDescent="0.3">
      <c r="A24" s="18"/>
      <c r="B24" s="21"/>
      <c r="C24" s="21"/>
      <c r="D24" s="21"/>
      <c r="E24" s="30" t="e">
        <v>#N/A</v>
      </c>
      <c r="F24" s="30" t="e">
        <v>#N/A</v>
      </c>
      <c r="G24" s="21"/>
      <c r="H24" s="21"/>
      <c r="I24" s="21"/>
      <c r="J24" s="21"/>
      <c r="K24" s="21"/>
      <c r="L24" s="21"/>
      <c r="M24" s="21"/>
      <c r="N24" s="21"/>
      <c r="O24" s="20"/>
    </row>
    <row r="25" spans="1:26" x14ac:dyDescent="0.3">
      <c r="A25" s="18"/>
      <c r="B25" s="21"/>
      <c r="C25" s="21"/>
      <c r="D25" s="21"/>
      <c r="E25" s="21"/>
      <c r="F25" s="21"/>
      <c r="G25" s="21"/>
      <c r="H25" s="21"/>
      <c r="I25" s="21"/>
      <c r="J25" s="21"/>
      <c r="K25" s="21"/>
      <c r="L25" s="21"/>
      <c r="M25" s="21"/>
      <c r="N25" s="21"/>
      <c r="O25" s="20"/>
    </row>
    <row r="26" spans="1:26" x14ac:dyDescent="0.3">
      <c r="A26" s="18"/>
      <c r="B26" s="21"/>
      <c r="C26" s="21"/>
      <c r="D26" s="21"/>
      <c r="E26" s="492" t="s">
        <v>3407</v>
      </c>
      <c r="F26" s="493"/>
      <c r="G26" s="21"/>
      <c r="H26" s="21"/>
      <c r="I26" s="21"/>
      <c r="J26" s="21"/>
      <c r="K26" s="21"/>
      <c r="L26" s="21"/>
      <c r="M26" s="21"/>
      <c r="N26" s="21"/>
      <c r="O26" s="20"/>
    </row>
    <row r="27" spans="1:26" x14ac:dyDescent="0.3">
      <c r="A27" s="18"/>
      <c r="B27" s="21"/>
      <c r="C27" s="21"/>
      <c r="D27" s="21"/>
      <c r="E27" s="30" t="str">
        <f t="array" ref="E27:F34">_xll.U.VUNIQUE(B7:C14,-1)</f>
        <v>b</v>
      </c>
      <c r="F27" s="30">
        <v>2</v>
      </c>
      <c r="G27" s="21"/>
      <c r="H27" s="21"/>
      <c r="I27" s="21"/>
      <c r="J27" s="21"/>
      <c r="K27" s="21"/>
      <c r="L27" s="21"/>
      <c r="M27" s="21"/>
      <c r="N27" s="21"/>
      <c r="O27" s="20"/>
    </row>
    <row r="28" spans="1:26" x14ac:dyDescent="0.3">
      <c r="A28" s="18"/>
      <c r="B28" s="21"/>
      <c r="C28" s="21"/>
      <c r="D28" s="21"/>
      <c r="E28" s="30" t="str">
        <v>a</v>
      </c>
      <c r="F28" s="30">
        <v>1</v>
      </c>
      <c r="G28" s="21"/>
      <c r="H28" s="21"/>
      <c r="I28" s="21"/>
      <c r="J28" s="21"/>
      <c r="K28" s="21"/>
      <c r="L28" s="21"/>
      <c r="M28" s="21"/>
      <c r="N28" s="21"/>
      <c r="O28" s="20"/>
    </row>
    <row r="29" spans="1:26" x14ac:dyDescent="0.3">
      <c r="A29" s="18"/>
      <c r="B29" s="21"/>
      <c r="C29" s="21"/>
      <c r="D29" s="21"/>
      <c r="E29" s="30" t="str">
        <v>c</v>
      </c>
      <c r="F29" s="30">
        <v>3</v>
      </c>
      <c r="G29" s="21"/>
      <c r="H29" s="21"/>
      <c r="I29" s="21"/>
      <c r="J29" s="21"/>
      <c r="K29" s="21"/>
      <c r="L29" s="21"/>
      <c r="M29" s="21"/>
      <c r="N29" s="21"/>
      <c r="O29" s="20"/>
    </row>
    <row r="30" spans="1:26" x14ac:dyDescent="0.3">
      <c r="A30" s="18"/>
      <c r="B30" s="21"/>
      <c r="C30" s="21"/>
      <c r="D30" s="21"/>
      <c r="E30" s="30" t="str">
        <v>a</v>
      </c>
      <c r="F30" s="30">
        <v>2</v>
      </c>
      <c r="G30" s="21"/>
      <c r="H30" s="21"/>
      <c r="I30" s="21"/>
      <c r="J30" s="21"/>
      <c r="K30" s="21"/>
      <c r="L30" s="21"/>
      <c r="M30" s="21"/>
      <c r="N30" s="21"/>
      <c r="O30" s="20"/>
    </row>
    <row r="31" spans="1:26" x14ac:dyDescent="0.3">
      <c r="A31" s="18"/>
      <c r="B31" s="21"/>
      <c r="C31" s="21"/>
      <c r="D31" s="21"/>
      <c r="E31" s="30" t="str">
        <v>e</v>
      </c>
      <c r="F31" s="30">
        <v>3</v>
      </c>
      <c r="G31" s="21"/>
      <c r="H31" s="21"/>
      <c r="I31" s="21"/>
      <c r="J31" s="21"/>
      <c r="K31" s="21"/>
      <c r="L31" s="21"/>
      <c r="M31" s="21"/>
      <c r="N31" s="21"/>
      <c r="O31" s="20"/>
    </row>
    <row r="32" spans="1:26" x14ac:dyDescent="0.3">
      <c r="A32" s="18"/>
      <c r="B32" s="21"/>
      <c r="C32" s="21"/>
      <c r="D32" s="21"/>
      <c r="E32" s="30" t="str">
        <v>a</v>
      </c>
      <c r="F32" s="30">
        <v>3</v>
      </c>
      <c r="G32" s="21"/>
      <c r="H32" s="21"/>
      <c r="I32" s="21"/>
      <c r="J32" s="21"/>
      <c r="K32" s="21"/>
      <c r="L32" s="21"/>
      <c r="M32" s="21"/>
      <c r="N32" s="21"/>
      <c r="O32" s="20"/>
    </row>
    <row r="33" spans="1:15" x14ac:dyDescent="0.3">
      <c r="A33" s="18"/>
      <c r="B33" s="21"/>
      <c r="C33" s="21"/>
      <c r="D33" s="21"/>
      <c r="E33" s="30" t="e">
        <v>#N/A</v>
      </c>
      <c r="F33" s="30" t="e">
        <v>#N/A</v>
      </c>
      <c r="G33" s="21"/>
      <c r="H33" s="21"/>
      <c r="I33" s="21"/>
      <c r="J33" s="21"/>
      <c r="K33" s="21"/>
      <c r="L33" s="21"/>
      <c r="M33" s="21"/>
      <c r="N33" s="21"/>
      <c r="O33" s="20"/>
    </row>
    <row r="34" spans="1:15" x14ac:dyDescent="0.3">
      <c r="A34" s="18"/>
      <c r="B34" s="21"/>
      <c r="C34" s="21"/>
      <c r="D34" s="21"/>
      <c r="E34" s="30" t="e">
        <v>#N/A</v>
      </c>
      <c r="F34" s="30" t="e">
        <v>#N/A</v>
      </c>
      <c r="G34" s="21"/>
      <c r="H34" s="21"/>
      <c r="I34" s="21"/>
      <c r="J34" s="21"/>
      <c r="K34" s="21"/>
      <c r="L34" s="21"/>
      <c r="M34" s="21"/>
      <c r="N34" s="21"/>
      <c r="O34" s="20"/>
    </row>
    <row r="35" spans="1:15" x14ac:dyDescent="0.3">
      <c r="A35" s="18"/>
      <c r="B35" s="21"/>
      <c r="C35" s="21"/>
      <c r="D35" s="21"/>
      <c r="E35" s="21"/>
      <c r="F35" s="21"/>
      <c r="G35" s="21"/>
      <c r="H35" s="21"/>
      <c r="I35" s="21"/>
      <c r="J35" s="21"/>
      <c r="K35" s="21"/>
      <c r="L35" s="21"/>
      <c r="M35" s="21"/>
      <c r="N35" s="21"/>
      <c r="O35" s="20"/>
    </row>
    <row r="36" spans="1:15" x14ac:dyDescent="0.3">
      <c r="A36" s="18"/>
      <c r="B36" s="21"/>
      <c r="C36" s="21"/>
      <c r="D36" s="21"/>
      <c r="E36" s="492" t="s">
        <v>3407</v>
      </c>
      <c r="F36" s="493"/>
      <c r="G36" s="21"/>
      <c r="H36" s="21"/>
      <c r="I36" s="21"/>
      <c r="J36" s="21"/>
      <c r="K36" s="21"/>
      <c r="L36" s="21"/>
      <c r="M36" s="21"/>
      <c r="N36" s="21"/>
      <c r="O36" s="20"/>
    </row>
    <row r="37" spans="1:15" x14ac:dyDescent="0.3">
      <c r="A37" s="18"/>
      <c r="B37" s="21"/>
      <c r="C37" s="21"/>
      <c r="D37" s="21"/>
      <c r="E37" s="30" t="str">
        <f t="array" ref="E37:F44">_xll.U.PAD(_xll.U.VUNIQUE(B7:C14))</f>
        <v>a</v>
      </c>
      <c r="F37" s="30">
        <v>1</v>
      </c>
      <c r="G37" s="21"/>
      <c r="H37" s="21"/>
      <c r="I37" s="21"/>
      <c r="J37" s="21"/>
      <c r="K37" s="21"/>
      <c r="L37" s="21"/>
      <c r="M37" s="21"/>
      <c r="N37" s="21"/>
      <c r="O37" s="20"/>
    </row>
    <row r="38" spans="1:15" x14ac:dyDescent="0.3">
      <c r="A38" s="18"/>
      <c r="B38" s="21"/>
      <c r="C38" s="21"/>
      <c r="D38" s="21"/>
      <c r="E38" s="30" t="str">
        <v>a</v>
      </c>
      <c r="F38" s="30">
        <v>2</v>
      </c>
      <c r="G38" s="21"/>
      <c r="H38" s="21"/>
      <c r="I38" s="21"/>
      <c r="J38" s="21"/>
      <c r="K38" s="21"/>
      <c r="L38" s="21"/>
      <c r="M38" s="21"/>
      <c r="N38" s="21"/>
      <c r="O38" s="20"/>
    </row>
    <row r="39" spans="1:15" x14ac:dyDescent="0.3">
      <c r="A39" s="18"/>
      <c r="B39" s="21"/>
      <c r="C39" s="21"/>
      <c r="D39" s="21"/>
      <c r="E39" s="30" t="str">
        <v>a</v>
      </c>
      <c r="F39" s="30">
        <v>3</v>
      </c>
      <c r="G39" s="21"/>
      <c r="H39" s="21"/>
      <c r="I39" s="21"/>
      <c r="J39" s="21"/>
      <c r="K39" s="21"/>
      <c r="L39" s="21"/>
      <c r="M39" s="21"/>
      <c r="N39" s="21"/>
      <c r="O39" s="20"/>
    </row>
    <row r="40" spans="1:15" x14ac:dyDescent="0.3">
      <c r="A40" s="18"/>
      <c r="B40" s="21"/>
      <c r="C40" s="21"/>
      <c r="D40" s="21"/>
      <c r="E40" s="30" t="str">
        <v>b</v>
      </c>
      <c r="F40" s="30">
        <v>2</v>
      </c>
      <c r="G40" s="21"/>
      <c r="H40" s="21"/>
      <c r="I40" s="21"/>
      <c r="J40" s="21"/>
      <c r="K40" s="21"/>
      <c r="L40" s="21"/>
      <c r="M40" s="21"/>
      <c r="N40" s="21"/>
      <c r="O40" s="20"/>
    </row>
    <row r="41" spans="1:15" x14ac:dyDescent="0.3">
      <c r="A41" s="18"/>
      <c r="B41" s="21"/>
      <c r="C41" s="21"/>
      <c r="D41" s="21"/>
      <c r="E41" s="30" t="str">
        <v>c</v>
      </c>
      <c r="F41" s="30">
        <v>3</v>
      </c>
      <c r="G41" s="21"/>
      <c r="H41" s="21"/>
      <c r="I41" s="21"/>
      <c r="J41" s="21"/>
      <c r="K41" s="21"/>
      <c r="L41" s="21"/>
      <c r="M41" s="21"/>
      <c r="N41" s="21"/>
      <c r="O41" s="20"/>
    </row>
    <row r="42" spans="1:15" x14ac:dyDescent="0.3">
      <c r="A42" s="18"/>
      <c r="B42" s="21"/>
      <c r="C42" s="21"/>
      <c r="D42" s="21"/>
      <c r="E42" s="30" t="str">
        <v>e</v>
      </c>
      <c r="F42" s="30">
        <v>3</v>
      </c>
      <c r="G42" s="21"/>
      <c r="H42" s="21"/>
      <c r="I42" s="21"/>
      <c r="J42" s="21"/>
      <c r="K42" s="21"/>
      <c r="L42" s="21"/>
      <c r="M42" s="21"/>
      <c r="N42" s="21"/>
      <c r="O42" s="20"/>
    </row>
    <row r="43" spans="1:15" x14ac:dyDescent="0.3">
      <c r="A43" s="18"/>
      <c r="B43" s="21"/>
      <c r="C43" s="21"/>
      <c r="D43" s="21"/>
      <c r="E43" s="30" t="str">
        <v/>
      </c>
      <c r="F43" s="30" t="str">
        <v/>
      </c>
      <c r="G43" s="21"/>
      <c r="H43" s="21"/>
      <c r="I43" s="21"/>
      <c r="J43" s="21"/>
      <c r="K43" s="21"/>
      <c r="L43" s="21"/>
      <c r="M43" s="21"/>
      <c r="N43" s="21"/>
      <c r="O43" s="20"/>
    </row>
    <row r="44" spans="1:15" x14ac:dyDescent="0.3">
      <c r="A44" s="18"/>
      <c r="B44" s="21"/>
      <c r="C44" s="21"/>
      <c r="D44" s="21"/>
      <c r="E44" s="30" t="str">
        <v/>
      </c>
      <c r="F44" s="30" t="str">
        <v/>
      </c>
      <c r="G44" s="21"/>
      <c r="H44" s="21"/>
      <c r="I44" s="21"/>
      <c r="J44" s="21"/>
      <c r="K44" s="21"/>
      <c r="L44" s="21"/>
      <c r="M44" s="21"/>
      <c r="N44" s="21"/>
      <c r="O44" s="20"/>
    </row>
    <row r="45" spans="1:15" x14ac:dyDescent="0.3">
      <c r="A45" s="18"/>
      <c r="B45" s="21"/>
      <c r="C45" s="21"/>
      <c r="D45" s="21"/>
      <c r="E45" s="21"/>
      <c r="F45" s="21"/>
      <c r="G45" s="21"/>
      <c r="H45" s="21"/>
      <c r="I45" s="21"/>
      <c r="J45" s="21"/>
      <c r="K45" s="21"/>
      <c r="L45" s="21"/>
      <c r="M45" s="21"/>
      <c r="N45" s="21"/>
      <c r="O45" s="20"/>
    </row>
    <row r="46" spans="1:15" x14ac:dyDescent="0.3">
      <c r="A46" s="18"/>
      <c r="B46" s="492" t="s">
        <v>217</v>
      </c>
      <c r="C46" s="493"/>
      <c r="D46" s="21"/>
      <c r="E46" s="492" t="s">
        <v>3407</v>
      </c>
      <c r="F46" s="493"/>
      <c r="G46" s="21"/>
      <c r="H46" s="21"/>
      <c r="I46" s="21"/>
      <c r="J46" s="21"/>
      <c r="K46" s="21"/>
      <c r="L46" s="21"/>
      <c r="M46" s="21"/>
      <c r="N46" s="21"/>
      <c r="O46" s="20"/>
    </row>
    <row r="47" spans="1:15" x14ac:dyDescent="0.3">
      <c r="A47" s="18"/>
      <c r="B47" s="42" t="s">
        <v>78</v>
      </c>
      <c r="C47" s="42">
        <v>3</v>
      </c>
      <c r="D47" s="21"/>
      <c r="E47" s="30" t="str">
        <f t="array" ref="E47:F54">_xll.U.VUNIQUE((B7:C14,B47:C49))</f>
        <v>a</v>
      </c>
      <c r="F47" s="30">
        <v>1</v>
      </c>
      <c r="G47" s="21"/>
      <c r="H47" s="21"/>
      <c r="I47" s="21"/>
      <c r="J47" s="21"/>
      <c r="K47" s="21"/>
      <c r="L47" s="21"/>
      <c r="M47" s="21"/>
      <c r="N47" s="21"/>
      <c r="O47" s="20"/>
    </row>
    <row r="48" spans="1:15" x14ac:dyDescent="0.3">
      <c r="A48" s="18"/>
      <c r="B48" s="42" t="s">
        <v>77</v>
      </c>
      <c r="C48" s="42">
        <v>1</v>
      </c>
      <c r="D48" s="21"/>
      <c r="E48" s="30" t="str">
        <v>a</v>
      </c>
      <c r="F48" s="30">
        <v>2</v>
      </c>
      <c r="G48" s="21"/>
      <c r="H48" s="21"/>
      <c r="I48" s="21"/>
      <c r="J48" s="21"/>
      <c r="K48" s="21"/>
      <c r="L48" s="21"/>
      <c r="M48" s="21"/>
      <c r="N48" s="21"/>
      <c r="O48" s="20"/>
    </row>
    <row r="49" spans="1:15" x14ac:dyDescent="0.3">
      <c r="A49" s="18"/>
      <c r="B49" s="42" t="s">
        <v>78</v>
      </c>
      <c r="C49" s="42">
        <v>3</v>
      </c>
      <c r="D49" s="21"/>
      <c r="E49" s="30" t="str">
        <v>a</v>
      </c>
      <c r="F49" s="30">
        <v>3</v>
      </c>
      <c r="G49" s="21"/>
      <c r="H49" s="21"/>
      <c r="I49" s="21"/>
      <c r="J49" s="21"/>
      <c r="K49" s="21"/>
      <c r="L49" s="21"/>
      <c r="M49" s="21"/>
      <c r="N49" s="21"/>
      <c r="O49" s="20"/>
    </row>
    <row r="50" spans="1:15" x14ac:dyDescent="0.3">
      <c r="A50" s="18"/>
      <c r="B50" s="21"/>
      <c r="C50" s="21"/>
      <c r="D50" s="21"/>
      <c r="E50" s="30" t="str">
        <v>b</v>
      </c>
      <c r="F50" s="30">
        <v>2</v>
      </c>
      <c r="G50" s="21"/>
      <c r="H50" s="21"/>
      <c r="I50" s="21"/>
      <c r="J50" s="21"/>
      <c r="K50" s="21"/>
      <c r="L50" s="21"/>
      <c r="M50" s="21"/>
      <c r="N50" s="21"/>
      <c r="O50" s="20"/>
    </row>
    <row r="51" spans="1:15" x14ac:dyDescent="0.3">
      <c r="A51" s="18"/>
      <c r="B51" s="21"/>
      <c r="C51" s="21"/>
      <c r="D51" s="21"/>
      <c r="E51" s="30" t="str">
        <v>b</v>
      </c>
      <c r="F51" s="30">
        <v>3</v>
      </c>
      <c r="G51" s="21"/>
      <c r="H51" s="21"/>
      <c r="I51" s="21"/>
      <c r="J51" s="21"/>
      <c r="K51" s="21"/>
      <c r="L51" s="21"/>
      <c r="M51" s="21"/>
      <c r="N51" s="21"/>
      <c r="O51" s="20"/>
    </row>
    <row r="52" spans="1:15" x14ac:dyDescent="0.3">
      <c r="A52" s="18"/>
      <c r="B52" s="21"/>
      <c r="C52" s="21"/>
      <c r="D52" s="21"/>
      <c r="E52" s="30" t="str">
        <v>c</v>
      </c>
      <c r="F52" s="30">
        <v>3</v>
      </c>
      <c r="G52" s="21"/>
      <c r="H52" s="21"/>
      <c r="I52" s="21"/>
      <c r="J52" s="21"/>
      <c r="K52" s="21"/>
      <c r="L52" s="21"/>
      <c r="M52" s="21"/>
      <c r="N52" s="21"/>
      <c r="O52" s="20"/>
    </row>
    <row r="53" spans="1:15" x14ac:dyDescent="0.3">
      <c r="A53" s="18"/>
      <c r="B53" s="21"/>
      <c r="C53" s="21"/>
      <c r="D53" s="21"/>
      <c r="E53" s="30" t="str">
        <v>e</v>
      </c>
      <c r="F53" s="30">
        <v>3</v>
      </c>
      <c r="G53" s="21"/>
      <c r="H53" s="21"/>
      <c r="I53" s="21"/>
      <c r="J53" s="21"/>
      <c r="K53" s="21"/>
      <c r="L53" s="21"/>
      <c r="M53" s="21"/>
      <c r="N53" s="21"/>
      <c r="O53" s="20"/>
    </row>
    <row r="54" spans="1:15" x14ac:dyDescent="0.3">
      <c r="A54" s="18"/>
      <c r="B54" s="21"/>
      <c r="C54" s="21"/>
      <c r="D54" s="21"/>
      <c r="E54" s="30" t="e">
        <v>#N/A</v>
      </c>
      <c r="F54" s="30" t="e">
        <v>#N/A</v>
      </c>
      <c r="G54" s="21"/>
      <c r="H54" s="21"/>
      <c r="I54" s="21"/>
      <c r="J54" s="21"/>
      <c r="K54" s="21"/>
      <c r="L54" s="21"/>
      <c r="M54" s="21"/>
      <c r="N54" s="21"/>
      <c r="O54" s="20"/>
    </row>
    <row r="55" spans="1:15" x14ac:dyDescent="0.3">
      <c r="A55" s="18"/>
      <c r="B55" s="21"/>
      <c r="C55" s="21"/>
      <c r="D55" s="21"/>
      <c r="E55" s="21"/>
      <c r="F55" s="21"/>
      <c r="G55" s="21"/>
      <c r="H55" s="21"/>
      <c r="I55" s="21"/>
      <c r="J55" s="21"/>
      <c r="K55" s="21"/>
      <c r="L55" s="21"/>
      <c r="M55" s="21"/>
      <c r="N55" s="21"/>
      <c r="O55" s="20"/>
    </row>
    <row r="56" spans="1:15" x14ac:dyDescent="0.3">
      <c r="A56" s="18"/>
      <c r="B56" s="21"/>
      <c r="C56" s="21"/>
      <c r="D56" s="21"/>
      <c r="E56" s="21"/>
      <c r="F56" s="21"/>
      <c r="G56" s="21"/>
      <c r="H56" s="21"/>
      <c r="I56" s="21"/>
      <c r="J56" s="21"/>
      <c r="K56" s="21"/>
      <c r="L56" s="21"/>
      <c r="M56" s="21"/>
      <c r="N56" s="21"/>
      <c r="O56" s="20"/>
    </row>
    <row r="57" spans="1:15" x14ac:dyDescent="0.3">
      <c r="A57" s="18"/>
      <c r="B57" s="21"/>
      <c r="C57" s="21"/>
      <c r="D57" s="21"/>
      <c r="E57" s="21"/>
      <c r="F57" s="21"/>
      <c r="G57" s="21"/>
      <c r="H57" s="21"/>
      <c r="I57" s="21"/>
      <c r="J57" s="21"/>
      <c r="K57" s="21"/>
      <c r="L57" s="21"/>
      <c r="M57" s="21"/>
      <c r="N57" s="21"/>
      <c r="O57" s="20"/>
    </row>
    <row r="58" spans="1:15" x14ac:dyDescent="0.3">
      <c r="A58" s="18"/>
      <c r="B58" s="21"/>
      <c r="C58" s="21"/>
      <c r="D58" s="21"/>
      <c r="E58" s="21"/>
      <c r="F58" s="21"/>
      <c r="G58" s="21"/>
      <c r="H58" s="21"/>
      <c r="I58" s="21"/>
      <c r="J58" s="21"/>
      <c r="K58" s="21"/>
      <c r="L58" s="21"/>
      <c r="M58" s="21"/>
      <c r="N58" s="21"/>
      <c r="O58" s="20"/>
    </row>
    <row r="59" spans="1:15" x14ac:dyDescent="0.3">
      <c r="A59" s="18"/>
      <c r="B59" s="101" t="s">
        <v>867</v>
      </c>
      <c r="C59" s="21"/>
      <c r="D59" s="21"/>
      <c r="E59" s="101" t="s">
        <v>871</v>
      </c>
      <c r="F59" s="21"/>
      <c r="G59" s="101" t="s">
        <v>871</v>
      </c>
      <c r="H59" s="21"/>
      <c r="I59" s="21"/>
      <c r="J59" s="21"/>
      <c r="K59" s="21"/>
      <c r="L59" s="21"/>
      <c r="M59" s="21"/>
      <c r="N59" s="21"/>
      <c r="O59" s="20"/>
    </row>
    <row r="60" spans="1:15" x14ac:dyDescent="0.3">
      <c r="A60" s="18"/>
      <c r="B60" s="42" t="s">
        <v>161</v>
      </c>
      <c r="C60" s="21"/>
      <c r="D60" s="21"/>
      <c r="E60" s="30" t="str">
        <f t="array" ref="E60:E62">_xll.U.VUNIQUE(B60:B62)</f>
        <v>Billy</v>
      </c>
      <c r="F60" s="21"/>
      <c r="G60" s="30" t="str">
        <f t="array" ref="G60:G62">_xll.U.VUNIQUE(B60:B62,,TRUE)</f>
        <v>Billy</v>
      </c>
      <c r="H60" s="21"/>
      <c r="I60" s="21"/>
      <c r="J60" s="21"/>
      <c r="K60" s="21"/>
      <c r="L60" s="21"/>
      <c r="M60" s="21"/>
      <c r="N60" s="21"/>
      <c r="O60" s="20"/>
    </row>
    <row r="61" spans="1:15" x14ac:dyDescent="0.3">
      <c r="A61" s="18"/>
      <c r="B61" s="42" t="s">
        <v>866</v>
      </c>
      <c r="C61" s="21"/>
      <c r="D61" s="21"/>
      <c r="E61" s="30" t="str">
        <v>Tom</v>
      </c>
      <c r="F61" s="21"/>
      <c r="G61" s="30" t="str">
        <v>tom</v>
      </c>
      <c r="H61" s="21"/>
      <c r="I61" s="21"/>
      <c r="J61" s="21"/>
      <c r="K61" s="21"/>
      <c r="L61" s="21"/>
      <c r="M61" s="21"/>
      <c r="N61" s="21"/>
      <c r="O61" s="20"/>
    </row>
    <row r="62" spans="1:15" x14ac:dyDescent="0.3">
      <c r="A62" s="18"/>
      <c r="B62" s="42" t="s">
        <v>872</v>
      </c>
      <c r="C62" s="21"/>
      <c r="D62" s="21"/>
      <c r="E62" s="30" t="e">
        <v>#N/A</v>
      </c>
      <c r="F62" s="21"/>
      <c r="G62" s="30" t="str">
        <v>Tom</v>
      </c>
      <c r="H62" s="21"/>
      <c r="I62" s="21"/>
      <c r="J62" s="21"/>
      <c r="K62" s="21"/>
      <c r="L62" s="21"/>
      <c r="M62" s="21"/>
      <c r="N62" s="21"/>
      <c r="O62" s="20"/>
    </row>
    <row r="63" spans="1:15" x14ac:dyDescent="0.3">
      <c r="A63" s="18"/>
      <c r="B63" s="21"/>
      <c r="C63" s="21"/>
      <c r="D63" s="21"/>
      <c r="E63" s="21"/>
      <c r="F63" s="21"/>
      <c r="G63" s="21"/>
      <c r="H63" s="21"/>
      <c r="I63" s="21"/>
      <c r="J63" s="21"/>
      <c r="K63" s="21"/>
      <c r="L63" s="21"/>
      <c r="M63" s="21"/>
      <c r="N63" s="21"/>
      <c r="O63" s="20"/>
    </row>
    <row r="64" spans="1:15" x14ac:dyDescent="0.3">
      <c r="A64" s="18"/>
      <c r="B64" s="21"/>
      <c r="C64" s="21"/>
      <c r="D64" s="21"/>
      <c r="E64" s="21"/>
      <c r="F64" s="21"/>
      <c r="G64" s="21"/>
      <c r="H64" s="21"/>
      <c r="I64" s="21"/>
      <c r="J64" s="21"/>
      <c r="K64" s="21"/>
      <c r="L64" s="21"/>
      <c r="M64" s="21"/>
      <c r="N64" s="21"/>
      <c r="O64" s="20"/>
    </row>
    <row r="65" spans="1:15" x14ac:dyDescent="0.3">
      <c r="A65" s="18"/>
      <c r="B65" s="101" t="s">
        <v>868</v>
      </c>
      <c r="C65" s="21"/>
      <c r="D65" s="21"/>
      <c r="E65" s="101" t="s">
        <v>871</v>
      </c>
      <c r="F65" s="21"/>
      <c r="G65" s="101" t="s">
        <v>871</v>
      </c>
      <c r="H65" s="21"/>
      <c r="I65" s="21"/>
      <c r="J65" s="21"/>
      <c r="K65" s="21"/>
      <c r="L65" s="21"/>
      <c r="M65" s="21"/>
      <c r="N65" s="21"/>
      <c r="O65" s="20"/>
    </row>
    <row r="66" spans="1:15" x14ac:dyDescent="0.3">
      <c r="A66" s="18"/>
      <c r="B66" s="42">
        <v>2</v>
      </c>
      <c r="C66" s="21"/>
      <c r="D66" s="21"/>
      <c r="E66" s="30" t="str">
        <f t="array" ref="E66:E68">_xll.U.VUNIQUE(B66:B68)</f>
        <v>0</v>
      </c>
      <c r="F66" s="21"/>
      <c r="G66" s="30" t="str">
        <f t="array" ref="G66:G68">_xll.U.VUNIQUE(B66:B68,,,TRUE)</f>
        <v>0</v>
      </c>
      <c r="H66" s="21"/>
      <c r="I66" s="21"/>
      <c r="J66" s="21"/>
      <c r="K66" s="21"/>
      <c r="L66" s="21"/>
      <c r="M66" s="21"/>
      <c r="N66" s="21"/>
      <c r="O66" s="20"/>
    </row>
    <row r="67" spans="1:15" x14ac:dyDescent="0.3">
      <c r="A67" s="18"/>
      <c r="B67" s="180" t="s">
        <v>869</v>
      </c>
      <c r="C67" s="21"/>
      <c r="D67" s="21"/>
      <c r="E67" s="30" t="str">
        <v>2</v>
      </c>
      <c r="F67" s="21"/>
      <c r="G67" s="30">
        <v>2</v>
      </c>
      <c r="H67" s="21"/>
      <c r="I67" s="21"/>
      <c r="J67" s="21"/>
      <c r="K67" s="21"/>
      <c r="L67" s="21"/>
      <c r="M67" s="21"/>
      <c r="N67" s="21"/>
      <c r="O67" s="20"/>
    </row>
    <row r="68" spans="1:15" x14ac:dyDescent="0.3">
      <c r="A68" s="18"/>
      <c r="B68" s="180" t="s">
        <v>870</v>
      </c>
      <c r="C68" s="21"/>
      <c r="D68" s="21"/>
      <c r="E68" s="30" t="e">
        <v>#N/A</v>
      </c>
      <c r="F68" s="21"/>
      <c r="G68" s="30" t="str">
        <v>2</v>
      </c>
      <c r="H68" s="21"/>
      <c r="I68" s="21"/>
      <c r="J68" s="21"/>
      <c r="K68" s="21"/>
      <c r="L68" s="21"/>
      <c r="M68" s="21"/>
      <c r="N68" s="21"/>
      <c r="O68" s="20"/>
    </row>
    <row r="69" spans="1:15" x14ac:dyDescent="0.3">
      <c r="A69" s="18"/>
      <c r="B69" s="21"/>
      <c r="C69" s="21"/>
      <c r="D69" s="21"/>
      <c r="E69" s="21"/>
      <c r="F69" s="21"/>
      <c r="G69" s="21"/>
      <c r="H69" s="21"/>
      <c r="I69" s="21"/>
      <c r="J69" s="21"/>
      <c r="K69" s="21"/>
      <c r="L69" s="21"/>
      <c r="M69" s="21"/>
      <c r="N69" s="21"/>
      <c r="O69" s="20"/>
    </row>
    <row r="70" spans="1:15" x14ac:dyDescent="0.3">
      <c r="A70" s="18"/>
      <c r="B70" s="21"/>
      <c r="C70" s="21"/>
      <c r="D70" s="21"/>
      <c r="E70" s="21"/>
      <c r="F70" s="21"/>
      <c r="G70" s="21"/>
      <c r="H70" s="21"/>
      <c r="I70" s="21"/>
      <c r="J70" s="21"/>
      <c r="K70" s="21"/>
      <c r="L70" s="21"/>
      <c r="M70" s="21"/>
      <c r="N70" s="21"/>
      <c r="O70" s="20"/>
    </row>
    <row r="71" spans="1:15" x14ac:dyDescent="0.3">
      <c r="A71" s="18"/>
      <c r="B71" s="21"/>
      <c r="C71" s="21"/>
      <c r="D71" s="21"/>
      <c r="E71" s="21"/>
      <c r="F71" s="21"/>
      <c r="G71" s="21"/>
      <c r="H71" s="21"/>
      <c r="I71" s="21"/>
      <c r="J71" s="21"/>
      <c r="K71" s="21"/>
      <c r="L71" s="21"/>
      <c r="M71" s="21"/>
      <c r="N71" s="21"/>
      <c r="O71" s="20"/>
    </row>
    <row r="72" spans="1:15" x14ac:dyDescent="0.3">
      <c r="A72" s="18"/>
      <c r="B72" s="21"/>
      <c r="C72" s="21"/>
      <c r="D72" s="21"/>
      <c r="E72" s="21"/>
      <c r="F72" s="21"/>
      <c r="G72" s="21"/>
      <c r="H72" s="21"/>
      <c r="I72" s="21"/>
      <c r="J72" s="21"/>
      <c r="K72" s="21"/>
      <c r="L72" s="21"/>
      <c r="M72" s="21"/>
      <c r="N72" s="21"/>
      <c r="O72" s="20"/>
    </row>
    <row r="73" spans="1:15" x14ac:dyDescent="0.3">
      <c r="A73" s="18"/>
      <c r="B73" s="21"/>
      <c r="C73" s="21"/>
      <c r="D73" s="21"/>
      <c r="E73" s="21"/>
      <c r="F73" s="21"/>
      <c r="G73" s="21"/>
      <c r="H73" s="21"/>
      <c r="I73" s="21"/>
      <c r="J73" s="21"/>
      <c r="K73" s="21"/>
      <c r="L73" s="21"/>
      <c r="M73" s="21"/>
      <c r="N73" s="21"/>
      <c r="O73" s="20"/>
    </row>
    <row r="74" spans="1:15" x14ac:dyDescent="0.3">
      <c r="A74" s="490" t="s">
        <v>95</v>
      </c>
      <c r="B74" s="491"/>
      <c r="C74" s="491"/>
      <c r="D74" s="491"/>
      <c r="E74" s="491"/>
      <c r="F74" s="491"/>
      <c r="G74" s="491"/>
      <c r="H74" s="491"/>
      <c r="I74" s="491"/>
      <c r="J74" s="491"/>
      <c r="K74" s="491"/>
      <c r="L74" s="491"/>
      <c r="M74" s="491"/>
      <c r="N74" s="21"/>
      <c r="O74" s="20"/>
    </row>
    <row r="75" spans="1:15" x14ac:dyDescent="0.3">
      <c r="A75" s="18"/>
      <c r="B75" s="21"/>
      <c r="C75" s="21"/>
      <c r="D75" s="21"/>
      <c r="E75" s="21"/>
      <c r="F75" s="21"/>
      <c r="G75" s="21"/>
      <c r="H75" s="21"/>
      <c r="I75" s="21"/>
      <c r="J75" s="21"/>
      <c r="K75" s="21"/>
      <c r="L75" s="21"/>
      <c r="M75" s="21"/>
      <c r="N75" s="21"/>
      <c r="O75" s="20"/>
    </row>
    <row r="76" spans="1:15" x14ac:dyDescent="0.3">
      <c r="A76" s="18"/>
      <c r="B76" s="21"/>
      <c r="C76" s="21"/>
      <c r="D76" s="21"/>
      <c r="E76" s="21"/>
      <c r="F76" s="21"/>
      <c r="G76" s="21"/>
      <c r="H76" s="21"/>
      <c r="I76" s="21"/>
      <c r="J76" s="21"/>
      <c r="K76" s="21"/>
      <c r="L76" s="21"/>
      <c r="M76" s="21"/>
      <c r="N76" s="21"/>
      <c r="O76" s="20"/>
    </row>
    <row r="77" spans="1:15" x14ac:dyDescent="0.3">
      <c r="A77" s="18"/>
      <c r="B77" s="21"/>
      <c r="C77" s="21"/>
      <c r="D77" s="21"/>
      <c r="E77" s="21"/>
      <c r="F77" s="21"/>
      <c r="G77" s="21"/>
      <c r="H77" s="21"/>
      <c r="I77" s="21"/>
      <c r="J77" s="21"/>
      <c r="K77" s="21"/>
      <c r="L77" s="21"/>
      <c r="M77" s="21"/>
      <c r="N77" s="21"/>
      <c r="O77" s="20"/>
    </row>
    <row r="78" spans="1:15" x14ac:dyDescent="0.3">
      <c r="A78" s="18"/>
      <c r="B78" s="475" t="s">
        <v>96</v>
      </c>
      <c r="C78" s="475"/>
      <c r="D78" s="475"/>
      <c r="E78" s="475"/>
      <c r="F78" s="475"/>
      <c r="G78" s="475"/>
      <c r="H78" s="475"/>
      <c r="I78" s="475"/>
      <c r="J78" s="21"/>
      <c r="K78" s="21"/>
      <c r="L78" s="21"/>
      <c r="M78" s="21"/>
      <c r="N78" s="21"/>
      <c r="O78" s="20"/>
    </row>
    <row r="79" spans="1:15" x14ac:dyDescent="0.3">
      <c r="A79" s="18"/>
      <c r="B79" s="42" t="str">
        <f t="array" ref="B79:I80">TRANSPOSE(B7:C14)</f>
        <v>b</v>
      </c>
      <c r="C79" s="42" t="str">
        <v>a</v>
      </c>
      <c r="D79" s="42" t="str">
        <v>c</v>
      </c>
      <c r="E79" s="42" t="str">
        <v>a</v>
      </c>
      <c r="F79" s="42" t="str">
        <v>e</v>
      </c>
      <c r="G79" s="42" t="str">
        <v>a</v>
      </c>
      <c r="H79" s="42" t="str">
        <v>b</v>
      </c>
      <c r="I79" s="42" t="str">
        <v>a</v>
      </c>
      <c r="J79" s="21"/>
      <c r="K79" s="21"/>
      <c r="L79" s="21"/>
      <c r="M79" s="21"/>
      <c r="N79" s="21"/>
      <c r="O79" s="20"/>
    </row>
    <row r="80" spans="1:15" x14ac:dyDescent="0.3">
      <c r="A80" s="18"/>
      <c r="B80" s="42">
        <v>2</v>
      </c>
      <c r="C80" s="42">
        <v>1</v>
      </c>
      <c r="D80" s="42">
        <v>3</v>
      </c>
      <c r="E80" s="42">
        <v>2</v>
      </c>
      <c r="F80" s="42">
        <v>3</v>
      </c>
      <c r="G80" s="42">
        <v>2</v>
      </c>
      <c r="H80" s="42">
        <v>2</v>
      </c>
      <c r="I80" s="42">
        <v>3</v>
      </c>
      <c r="J80" s="21"/>
      <c r="K80" s="21"/>
      <c r="L80" s="21"/>
      <c r="M80" s="21"/>
      <c r="N80" s="21"/>
      <c r="O80" s="20"/>
    </row>
    <row r="81" spans="1:15" x14ac:dyDescent="0.3">
      <c r="A81" s="18"/>
      <c r="B81" s="21"/>
      <c r="C81" s="21"/>
      <c r="D81" s="21"/>
      <c r="E81" s="21"/>
      <c r="F81" s="21"/>
      <c r="G81" s="21"/>
      <c r="H81" s="21"/>
      <c r="I81" s="21"/>
      <c r="J81" s="21"/>
      <c r="K81" s="21"/>
      <c r="L81" s="21"/>
      <c r="M81" s="21"/>
      <c r="N81" s="21"/>
      <c r="O81" s="20"/>
    </row>
    <row r="82" spans="1:15" x14ac:dyDescent="0.3">
      <c r="A82" s="18"/>
      <c r="B82" s="475" t="s">
        <v>3408</v>
      </c>
      <c r="C82" s="475"/>
      <c r="D82" s="475"/>
      <c r="E82" s="475"/>
      <c r="F82" s="475"/>
      <c r="G82" s="475"/>
      <c r="H82" s="475"/>
      <c r="I82" s="475"/>
      <c r="J82" s="21"/>
      <c r="K82" s="21"/>
      <c r="L82" s="21"/>
      <c r="M82" s="21"/>
      <c r="N82" s="21"/>
      <c r="O82" s="20"/>
    </row>
    <row r="83" spans="1:15" x14ac:dyDescent="0.3">
      <c r="A83" s="18"/>
      <c r="B83" s="30" t="str">
        <f t="array" ref="B83:I84">_xll.U.HUNIQUE(B79:I80)</f>
        <v>a</v>
      </c>
      <c r="C83" s="30" t="str">
        <v>a</v>
      </c>
      <c r="D83" s="30" t="str">
        <v>a</v>
      </c>
      <c r="E83" s="30" t="str">
        <v>b</v>
      </c>
      <c r="F83" s="30" t="str">
        <v>c</v>
      </c>
      <c r="G83" s="30" t="str">
        <v>e</v>
      </c>
      <c r="H83" s="30" t="e">
        <v>#N/A</v>
      </c>
      <c r="I83" s="30" t="e">
        <v>#N/A</v>
      </c>
      <c r="J83" s="21"/>
      <c r="K83" s="21"/>
      <c r="L83" s="21"/>
      <c r="M83" s="21"/>
      <c r="N83" s="21"/>
      <c r="O83" s="20"/>
    </row>
    <row r="84" spans="1:15" x14ac:dyDescent="0.3">
      <c r="A84" s="18"/>
      <c r="B84" s="30">
        <v>1</v>
      </c>
      <c r="C84" s="30">
        <v>2</v>
      </c>
      <c r="D84" s="30">
        <v>3</v>
      </c>
      <c r="E84" s="30">
        <v>2</v>
      </c>
      <c r="F84" s="30">
        <v>3</v>
      </c>
      <c r="G84" s="30">
        <v>3</v>
      </c>
      <c r="H84" s="30" t="e">
        <v>#N/A</v>
      </c>
      <c r="I84" s="30" t="e">
        <v>#N/A</v>
      </c>
      <c r="J84" s="21"/>
      <c r="K84" s="21"/>
      <c r="L84" s="21"/>
      <c r="M84" s="21"/>
      <c r="N84" s="21"/>
      <c r="O84" s="20"/>
    </row>
    <row r="85" spans="1:15" x14ac:dyDescent="0.3">
      <c r="A85" s="18"/>
      <c r="B85" s="21"/>
      <c r="C85" s="21"/>
      <c r="D85" s="21"/>
      <c r="E85" s="21"/>
      <c r="F85" s="21"/>
      <c r="G85" s="21"/>
      <c r="H85" s="21"/>
      <c r="I85" s="21"/>
      <c r="J85" s="21"/>
      <c r="K85" s="21"/>
      <c r="L85" s="21"/>
      <c r="M85" s="21"/>
      <c r="N85" s="21"/>
      <c r="O85" s="20"/>
    </row>
    <row r="86" spans="1:15" x14ac:dyDescent="0.3">
      <c r="A86" s="18"/>
      <c r="B86" s="21"/>
      <c r="C86" s="21"/>
      <c r="D86" s="21"/>
      <c r="E86" s="21"/>
      <c r="F86" s="21"/>
      <c r="G86" s="21"/>
      <c r="H86" s="21"/>
      <c r="I86" s="21"/>
      <c r="J86" s="21"/>
      <c r="K86" s="21"/>
      <c r="L86" s="21"/>
      <c r="M86" s="21"/>
      <c r="N86" s="21"/>
      <c r="O86" s="20"/>
    </row>
    <row r="87" spans="1:15" x14ac:dyDescent="0.3">
      <c r="A87" s="18"/>
      <c r="B87" s="21"/>
      <c r="C87" s="21"/>
      <c r="D87" s="21"/>
      <c r="E87" s="21"/>
      <c r="F87" s="21"/>
      <c r="G87" s="21"/>
      <c r="H87" s="21"/>
      <c r="I87" s="21"/>
      <c r="J87" s="21"/>
      <c r="K87" s="21"/>
      <c r="L87" s="21"/>
      <c r="M87" s="21"/>
      <c r="N87" s="21"/>
      <c r="O87" s="20"/>
    </row>
    <row r="88" spans="1:15" x14ac:dyDescent="0.3">
      <c r="A88" s="18"/>
      <c r="B88" s="21"/>
      <c r="C88" s="21"/>
      <c r="D88" s="21"/>
      <c r="E88" s="21"/>
      <c r="F88" s="21"/>
      <c r="G88" s="21"/>
      <c r="H88" s="21"/>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x14ac:dyDescent="0.3">
      <c r="A90" s="18"/>
      <c r="B90" s="21"/>
      <c r="C90" s="21"/>
      <c r="D90" s="21"/>
      <c r="E90" s="21"/>
      <c r="F90" s="21"/>
      <c r="G90" s="21"/>
      <c r="H90" s="21"/>
      <c r="I90" s="21"/>
      <c r="J90" s="21"/>
      <c r="K90" s="21"/>
      <c r="L90" s="21"/>
      <c r="M90" s="21"/>
      <c r="N90" s="21"/>
      <c r="O90" s="20"/>
    </row>
    <row r="91" spans="1:15" x14ac:dyDescent="0.3">
      <c r="A91" s="18"/>
      <c r="B91" s="21"/>
      <c r="C91" s="21"/>
      <c r="D91" s="21"/>
      <c r="E91" s="21"/>
      <c r="F91" s="21"/>
      <c r="G91" s="21"/>
      <c r="H91" s="21"/>
      <c r="I91" s="21"/>
      <c r="J91" s="21"/>
      <c r="K91" s="21"/>
      <c r="L91" s="21"/>
      <c r="M91" s="21"/>
      <c r="N91" s="21"/>
      <c r="O91" s="20"/>
    </row>
    <row r="92" spans="1:15" x14ac:dyDescent="0.3">
      <c r="A92" s="18"/>
      <c r="B92" s="21"/>
      <c r="C92" s="21"/>
      <c r="D92" s="21"/>
      <c r="E92" s="21"/>
      <c r="F92" s="21"/>
      <c r="G92" s="21"/>
      <c r="H92" s="21"/>
      <c r="I92" s="21"/>
      <c r="J92" s="21"/>
      <c r="K92" s="21"/>
      <c r="L92" s="21"/>
      <c r="M92" s="21"/>
      <c r="N92" s="21"/>
      <c r="O92" s="20"/>
    </row>
    <row r="93" spans="1:15" x14ac:dyDescent="0.3">
      <c r="A93" s="18"/>
      <c r="B93" s="21"/>
      <c r="C93" s="21"/>
      <c r="D93" s="21"/>
      <c r="E93" s="21"/>
      <c r="F93" s="21"/>
      <c r="G93" s="21"/>
      <c r="H93" s="21"/>
      <c r="I93" s="21"/>
      <c r="J93" s="21"/>
      <c r="K93" s="21"/>
      <c r="L93" s="21"/>
      <c r="M93" s="21"/>
      <c r="N93" s="21"/>
      <c r="O93" s="20"/>
    </row>
    <row r="94" spans="1:15" ht="15" thickBot="1" x14ac:dyDescent="0.35">
      <c r="A94" s="22"/>
      <c r="B94" s="23"/>
      <c r="C94" s="23"/>
      <c r="D94" s="23"/>
      <c r="E94" s="23"/>
      <c r="F94" s="23"/>
      <c r="G94" s="23"/>
      <c r="H94" s="23"/>
      <c r="I94" s="23"/>
      <c r="J94" s="23"/>
      <c r="K94" s="23"/>
      <c r="L94" s="23"/>
      <c r="M94" s="23"/>
      <c r="N94" s="23"/>
      <c r="O94" s="24"/>
    </row>
  </sheetData>
  <mergeCells count="28">
    <mergeCell ref="A3:M3"/>
    <mergeCell ref="B82:I82"/>
    <mergeCell ref="A74:M74"/>
    <mergeCell ref="B6:C6"/>
    <mergeCell ref="E6:F6"/>
    <mergeCell ref="E16:F16"/>
    <mergeCell ref="E36:F36"/>
    <mergeCell ref="B78:I78"/>
    <mergeCell ref="B46:C46"/>
    <mergeCell ref="E46:F46"/>
    <mergeCell ref="E26:F26"/>
    <mergeCell ref="Q3:Z3"/>
    <mergeCell ref="Q4:R6"/>
    <mergeCell ref="S4:Z6"/>
    <mergeCell ref="Q7:R7"/>
    <mergeCell ref="S7:Y7"/>
    <mergeCell ref="Q8:R10"/>
    <mergeCell ref="S8:Y10"/>
    <mergeCell ref="Z8:Z10"/>
    <mergeCell ref="Q11:R13"/>
    <mergeCell ref="S11:Y13"/>
    <mergeCell ref="Z11:Z13"/>
    <mergeCell ref="Q14:R16"/>
    <mergeCell ref="S14:Y16"/>
    <mergeCell ref="Z14:Z16"/>
    <mergeCell ref="Q17:R19"/>
    <mergeCell ref="S17:Y19"/>
    <mergeCell ref="Z17:Z19"/>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D389"/>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5.21875" customWidth="1"/>
    <col min="3" max="3" width="25" customWidth="1"/>
    <col min="4" max="4" width="12.77734375" customWidth="1"/>
    <col min="5" max="5" width="13.5546875" customWidth="1"/>
    <col min="6" max="6" width="11.21875" customWidth="1"/>
    <col min="7" max="7" width="9.44140625" customWidth="1"/>
    <col min="8" max="9" width="17.77734375" customWidth="1"/>
    <col min="10" max="10" width="10.5546875" customWidth="1"/>
    <col min="11" max="11" width="10.77734375" customWidth="1"/>
    <col min="12" max="12" width="11.21875" customWidth="1"/>
    <col min="13" max="14" width="13.5546875" customWidth="1"/>
    <col min="15" max="15" width="14.21875" customWidth="1"/>
    <col min="16" max="19" width="22.21875" customWidth="1"/>
    <col min="21" max="22" width="13.21875" customWidth="1"/>
    <col min="23" max="29" width="11.77734375" customWidth="1"/>
  </cols>
  <sheetData>
    <row r="1" spans="1:30" ht="34.5" customHeight="1" thickBot="1" x14ac:dyDescent="0.35">
      <c r="A1" s="292" t="s">
        <v>1580</v>
      </c>
      <c r="B1" s="473" t="e" vm="1">
        <v>#VALUE!</v>
      </c>
      <c r="C1" s="8" t="s">
        <v>1891</v>
      </c>
      <c r="D1" s="27"/>
      <c r="E1" s="26"/>
      <c r="F1" s="26"/>
      <c r="G1" s="26"/>
      <c r="H1" s="16"/>
      <c r="I1" s="16"/>
      <c r="J1" s="16"/>
      <c r="K1" s="16"/>
      <c r="L1" s="16"/>
      <c r="M1" s="16"/>
      <c r="N1" s="16"/>
      <c r="O1" s="16"/>
      <c r="P1" s="16"/>
      <c r="Q1" s="16"/>
      <c r="R1" s="16"/>
      <c r="S1" s="19"/>
    </row>
    <row r="2" spans="1:30" ht="15" customHeight="1" x14ac:dyDescent="0.3">
      <c r="A2" s="18"/>
      <c r="B2" s="25"/>
      <c r="C2" s="25"/>
      <c r="D2" s="21"/>
      <c r="E2" s="21"/>
      <c r="F2" s="21"/>
      <c r="G2" s="21"/>
      <c r="H2" s="21"/>
      <c r="I2" s="21"/>
      <c r="J2" s="21"/>
      <c r="K2" s="21"/>
      <c r="L2" s="21"/>
      <c r="M2" s="21"/>
      <c r="N2" s="21"/>
      <c r="O2" s="21"/>
      <c r="P2" s="21"/>
      <c r="Q2" s="21"/>
      <c r="R2" s="21"/>
      <c r="S2" s="20"/>
    </row>
    <row r="3" spans="1:30" ht="15" customHeight="1" x14ac:dyDescent="0.3">
      <c r="A3" s="490" t="s">
        <v>1937</v>
      </c>
      <c r="B3" s="491"/>
      <c r="C3" s="491"/>
      <c r="D3" s="491"/>
      <c r="E3" s="491"/>
      <c r="F3" s="491"/>
      <c r="G3" s="491"/>
      <c r="H3" s="491"/>
      <c r="I3" s="491"/>
      <c r="J3" s="491"/>
      <c r="K3" s="491"/>
      <c r="L3" s="491"/>
      <c r="M3" s="491"/>
      <c r="N3" s="491"/>
      <c r="O3" s="491"/>
      <c r="P3" s="491"/>
      <c r="Q3" s="491"/>
      <c r="R3" s="491"/>
      <c r="S3" s="20"/>
      <c r="U3" s="486" t="s">
        <v>3409</v>
      </c>
      <c r="V3" s="486"/>
      <c r="W3" s="486"/>
      <c r="X3" s="486"/>
      <c r="Y3" s="486"/>
      <c r="Z3" s="486"/>
      <c r="AA3" s="486"/>
      <c r="AB3" s="486"/>
      <c r="AC3" s="486"/>
      <c r="AD3" s="486"/>
    </row>
    <row r="4" spans="1:30" ht="15" customHeight="1" x14ac:dyDescent="0.3">
      <c r="A4" s="18"/>
      <c r="B4" s="21"/>
      <c r="C4" s="21"/>
      <c r="D4" s="26"/>
      <c r="E4" s="26"/>
      <c r="F4" s="26"/>
      <c r="G4" s="26"/>
      <c r="H4" s="21"/>
      <c r="I4" s="21"/>
      <c r="J4" s="21"/>
      <c r="K4" s="21"/>
      <c r="L4" s="21"/>
      <c r="M4" s="21"/>
      <c r="N4" s="21"/>
      <c r="O4" s="21"/>
      <c r="P4" s="21"/>
      <c r="Q4" s="21"/>
      <c r="R4" s="21"/>
      <c r="S4" s="20"/>
      <c r="U4" s="487" t="s">
        <v>333</v>
      </c>
      <c r="V4" s="487"/>
      <c r="W4" s="487" t="s">
        <v>1892</v>
      </c>
      <c r="X4" s="487"/>
      <c r="Y4" s="487"/>
      <c r="Z4" s="487"/>
      <c r="AA4" s="487"/>
      <c r="AB4" s="487"/>
      <c r="AC4" s="487"/>
      <c r="AD4" s="487"/>
    </row>
    <row r="5" spans="1:30" ht="15" customHeight="1" x14ac:dyDescent="0.3">
      <c r="A5" s="18"/>
      <c r="B5" s="475" t="s">
        <v>1893</v>
      </c>
      <c r="C5" s="475"/>
      <c r="D5" s="475"/>
      <c r="E5" s="475"/>
      <c r="F5" s="21"/>
      <c r="G5" s="26"/>
      <c r="H5" s="475" t="s">
        <v>3409</v>
      </c>
      <c r="I5" s="475"/>
      <c r="J5" s="475"/>
      <c r="K5" s="475"/>
      <c r="L5" s="21"/>
      <c r="M5" s="21"/>
      <c r="N5" s="21"/>
      <c r="O5" s="21"/>
      <c r="P5" s="21"/>
      <c r="Q5" s="21"/>
      <c r="R5" s="21"/>
      <c r="S5" s="20"/>
      <c r="U5" s="487"/>
      <c r="V5" s="487"/>
      <c r="W5" s="487"/>
      <c r="X5" s="487"/>
      <c r="Y5" s="487"/>
      <c r="Z5" s="487"/>
      <c r="AA5" s="487"/>
      <c r="AB5" s="487"/>
      <c r="AC5" s="487"/>
      <c r="AD5" s="487"/>
    </row>
    <row r="6" spans="1:30" x14ac:dyDescent="0.3">
      <c r="A6" s="18"/>
      <c r="B6" s="59" t="s">
        <v>679</v>
      </c>
      <c r="C6" s="60" t="s">
        <v>1065</v>
      </c>
      <c r="D6" s="60" t="s">
        <v>1119</v>
      </c>
      <c r="E6" s="60" t="s">
        <v>1911</v>
      </c>
      <c r="F6" s="21"/>
      <c r="G6" s="21"/>
      <c r="H6" s="3" t="str">
        <f t="array" ref="H6:K11">_xll.U.REPLACE(B6:E11,M7:M8,N7)</f>
        <v>Name</v>
      </c>
      <c r="I6" s="3" t="str">
        <v>Age</v>
      </c>
      <c r="J6" s="3" t="str">
        <v>Occupation</v>
      </c>
      <c r="K6" s="3" t="str">
        <v>Weight</v>
      </c>
      <c r="L6" s="21"/>
      <c r="M6" s="3" t="s">
        <v>772</v>
      </c>
      <c r="N6" s="3" t="s">
        <v>693</v>
      </c>
      <c r="O6" s="21"/>
      <c r="P6" s="21"/>
      <c r="Q6" s="21"/>
      <c r="R6" s="21"/>
      <c r="S6" s="20"/>
      <c r="U6" s="487"/>
      <c r="V6" s="487"/>
      <c r="W6" s="487"/>
      <c r="X6" s="487"/>
      <c r="Y6" s="487"/>
      <c r="Z6" s="487"/>
      <c r="AA6" s="487"/>
      <c r="AB6" s="487"/>
      <c r="AC6" s="487"/>
      <c r="AD6" s="487"/>
    </row>
    <row r="7" spans="1:30" x14ac:dyDescent="0.3">
      <c r="A7" s="18"/>
      <c r="B7" s="42" t="s">
        <v>1912</v>
      </c>
      <c r="C7" s="324">
        <v>37</v>
      </c>
      <c r="D7" s="42" t="s">
        <v>1917</v>
      </c>
      <c r="E7" s="317">
        <v>182.4</v>
      </c>
      <c r="F7" s="21"/>
      <c r="G7" s="21"/>
      <c r="H7" s="30" t="str">
        <v>bob jones</v>
      </c>
      <c r="I7" s="36">
        <v>37</v>
      </c>
      <c r="J7" s="30" t="str">
        <v>teacher</v>
      </c>
      <c r="K7" s="318">
        <v>182.4</v>
      </c>
      <c r="L7" s="21"/>
      <c r="M7" s="181" t="s">
        <v>1919</v>
      </c>
      <c r="N7" s="181" t="s">
        <v>1923</v>
      </c>
      <c r="O7" s="21"/>
      <c r="P7" s="21"/>
      <c r="Q7" s="21"/>
      <c r="R7" s="21"/>
      <c r="S7" s="20"/>
      <c r="U7" s="483" t="s">
        <v>323</v>
      </c>
      <c r="V7" s="483"/>
      <c r="W7" s="483" t="s">
        <v>1</v>
      </c>
      <c r="X7" s="483"/>
      <c r="Y7" s="483"/>
      <c r="Z7" s="483"/>
      <c r="AA7" s="483"/>
      <c r="AB7" s="483"/>
      <c r="AC7" s="483"/>
      <c r="AD7" s="85" t="s">
        <v>324</v>
      </c>
    </row>
    <row r="8" spans="1:30" x14ac:dyDescent="0.3">
      <c r="A8" s="18"/>
      <c r="B8" s="42" t="s">
        <v>1913</v>
      </c>
      <c r="C8" s="44">
        <v>22</v>
      </c>
      <c r="D8" s="42" t="s">
        <v>1918</v>
      </c>
      <c r="E8" s="317">
        <v>114</v>
      </c>
      <c r="F8" s="21"/>
      <c r="G8" s="21"/>
      <c r="H8" s="30" t="str">
        <v>Sally Smith</v>
      </c>
      <c r="I8" s="36">
        <v>22</v>
      </c>
      <c r="J8" s="30" t="str">
        <v>engineer</v>
      </c>
      <c r="K8" s="318">
        <v>114</v>
      </c>
      <c r="L8" s="21"/>
      <c r="M8" s="181" t="s">
        <v>1922</v>
      </c>
      <c r="N8" s="21"/>
      <c r="O8" s="21"/>
      <c r="P8" s="21"/>
      <c r="Q8" s="21"/>
      <c r="R8" s="21"/>
      <c r="S8" s="20"/>
      <c r="U8" s="487" t="s">
        <v>443</v>
      </c>
      <c r="V8" s="487"/>
      <c r="W8" s="487" t="s">
        <v>1907</v>
      </c>
      <c r="X8" s="487"/>
      <c r="Y8" s="487"/>
      <c r="Z8" s="487"/>
      <c r="AA8" s="487"/>
      <c r="AB8" s="487"/>
      <c r="AC8" s="487"/>
      <c r="AD8" s="509" t="s">
        <v>325</v>
      </c>
    </row>
    <row r="9" spans="1:30" x14ac:dyDescent="0.3">
      <c r="A9" s="18"/>
      <c r="B9" s="42" t="s">
        <v>1914</v>
      </c>
      <c r="C9" s="44" t="e">
        <f>NA()</f>
        <v>#N/A</v>
      </c>
      <c r="D9" s="42" t="s">
        <v>1919</v>
      </c>
      <c r="E9" s="317">
        <v>162.80000000000001</v>
      </c>
      <c r="F9" s="21"/>
      <c r="G9" s="21"/>
      <c r="H9" s="30" t="str">
        <v>tom HOPPER</v>
      </c>
      <c r="I9" s="36" t="e">
        <v>#N/A</v>
      </c>
      <c r="J9" s="319" t="str">
        <v>scientist</v>
      </c>
      <c r="K9" s="318">
        <v>162.80000000000001</v>
      </c>
      <c r="L9" s="21"/>
      <c r="M9" s="21"/>
      <c r="N9" s="21"/>
      <c r="O9" s="21"/>
      <c r="P9" s="21"/>
      <c r="Q9" s="21"/>
      <c r="R9" s="21"/>
      <c r="S9" s="20"/>
      <c r="U9" s="487"/>
      <c r="V9" s="487"/>
      <c r="W9" s="487"/>
      <c r="X9" s="487"/>
      <c r="Y9" s="487"/>
      <c r="Z9" s="487"/>
      <c r="AA9" s="487"/>
      <c r="AB9" s="487"/>
      <c r="AC9" s="487"/>
      <c r="AD9" s="509"/>
    </row>
    <row r="10" spans="1:30" x14ac:dyDescent="0.3">
      <c r="A10" s="18"/>
      <c r="B10" s="42" t="s">
        <v>1915</v>
      </c>
      <c r="C10" s="44">
        <v>30</v>
      </c>
      <c r="D10" s="42" t="s">
        <v>1920</v>
      </c>
      <c r="E10" s="317"/>
      <c r="F10" s="21"/>
      <c r="G10" s="21"/>
      <c r="H10" s="30" t="str">
        <v>Billy Bragg</v>
      </c>
      <c r="I10" s="36">
        <v>30</v>
      </c>
      <c r="J10" s="30" t="str">
        <v>architect</v>
      </c>
      <c r="K10" s="318" t="str">
        <v/>
      </c>
      <c r="L10" s="21"/>
      <c r="M10" s="21"/>
      <c r="N10" s="21"/>
      <c r="O10" s="21"/>
      <c r="P10" s="21"/>
      <c r="Q10" s="21"/>
      <c r="R10" s="21"/>
      <c r="S10" s="20"/>
      <c r="U10" s="487"/>
      <c r="V10" s="487"/>
      <c r="W10" s="487"/>
      <c r="X10" s="487"/>
      <c r="Y10" s="487"/>
      <c r="Z10" s="487"/>
      <c r="AA10" s="487"/>
      <c r="AB10" s="487"/>
      <c r="AC10" s="487"/>
      <c r="AD10" s="509"/>
    </row>
    <row r="11" spans="1:30" x14ac:dyDescent="0.3">
      <c r="A11" s="18"/>
      <c r="B11" s="42" t="s">
        <v>1916</v>
      </c>
      <c r="C11" s="44">
        <v>50</v>
      </c>
      <c r="D11" s="42" t="s">
        <v>1921</v>
      </c>
      <c r="E11" s="317">
        <v>122.3</v>
      </c>
      <c r="F11" s="21"/>
      <c r="G11" s="21"/>
      <c r="H11" s="30" t="str">
        <v>Anna Lukin</v>
      </c>
      <c r="I11" s="36">
        <v>50</v>
      </c>
      <c r="J11" s="319" t="str">
        <v>scientist</v>
      </c>
      <c r="K11" s="318">
        <v>122.3</v>
      </c>
      <c r="L11" s="21"/>
      <c r="M11" s="21"/>
      <c r="N11" s="21"/>
      <c r="O11" s="21"/>
      <c r="P11" s="21"/>
      <c r="Q11" s="21"/>
      <c r="R11" s="21"/>
      <c r="S11" s="20"/>
      <c r="U11" s="488" t="s">
        <v>1894</v>
      </c>
      <c r="V11" s="488"/>
      <c r="W11" s="488" t="s">
        <v>3137</v>
      </c>
      <c r="X11" s="488"/>
      <c r="Y11" s="488"/>
      <c r="Z11" s="488"/>
      <c r="AA11" s="488"/>
      <c r="AB11" s="488"/>
      <c r="AC11" s="488"/>
      <c r="AD11" s="489" t="s">
        <v>325</v>
      </c>
    </row>
    <row r="12" spans="1:30" x14ac:dyDescent="0.3">
      <c r="A12" s="18"/>
      <c r="B12" s="21"/>
      <c r="C12" s="21"/>
      <c r="D12" s="21"/>
      <c r="E12" s="21"/>
      <c r="F12" s="21"/>
      <c r="G12" s="21"/>
      <c r="H12" s="21"/>
      <c r="I12" s="21"/>
      <c r="J12" s="21"/>
      <c r="K12" s="21"/>
      <c r="L12" s="21"/>
      <c r="M12" s="21"/>
      <c r="N12" s="21"/>
      <c r="O12" s="21"/>
      <c r="P12" s="21"/>
      <c r="Q12" s="21"/>
      <c r="R12" s="21"/>
      <c r="S12" s="20"/>
      <c r="U12" s="488"/>
      <c r="V12" s="488"/>
      <c r="W12" s="488"/>
      <c r="X12" s="488"/>
      <c r="Y12" s="488"/>
      <c r="Z12" s="488"/>
      <c r="AA12" s="488"/>
      <c r="AB12" s="488"/>
      <c r="AC12" s="488"/>
      <c r="AD12" s="489"/>
    </row>
    <row r="13" spans="1:30" x14ac:dyDescent="0.3">
      <c r="A13" s="18"/>
      <c r="B13" s="21"/>
      <c r="C13" s="21"/>
      <c r="D13" s="21"/>
      <c r="E13" s="21"/>
      <c r="F13" s="21"/>
      <c r="G13" s="21"/>
      <c r="H13" s="21"/>
      <c r="I13" s="21"/>
      <c r="J13" s="21"/>
      <c r="K13" s="21"/>
      <c r="L13" s="21"/>
      <c r="M13" s="21"/>
      <c r="N13" s="21"/>
      <c r="O13" s="21"/>
      <c r="P13" s="21"/>
      <c r="Q13" s="21"/>
      <c r="R13" s="21"/>
      <c r="S13" s="20"/>
      <c r="U13" s="488"/>
      <c r="V13" s="488"/>
      <c r="W13" s="488"/>
      <c r="X13" s="488"/>
      <c r="Y13" s="488"/>
      <c r="Z13" s="488"/>
      <c r="AA13" s="488"/>
      <c r="AB13" s="488"/>
      <c r="AC13" s="488"/>
      <c r="AD13" s="489"/>
    </row>
    <row r="14" spans="1:30" x14ac:dyDescent="0.3">
      <c r="A14" s="18"/>
      <c r="B14" s="21"/>
      <c r="C14" s="21"/>
      <c r="D14" s="21"/>
      <c r="E14" s="21"/>
      <c r="F14" s="21"/>
      <c r="G14" s="21"/>
      <c r="H14" s="21"/>
      <c r="I14" s="21"/>
      <c r="J14" s="21"/>
      <c r="K14" s="21"/>
      <c r="L14" s="21"/>
      <c r="M14" s="21"/>
      <c r="N14" s="21"/>
      <c r="O14" s="21"/>
      <c r="P14" s="21"/>
      <c r="Q14" s="21"/>
      <c r="R14" s="21"/>
      <c r="S14" s="20"/>
      <c r="U14" s="488" t="s">
        <v>1895</v>
      </c>
      <c r="V14" s="488"/>
      <c r="W14" s="488" t="s">
        <v>3134</v>
      </c>
      <c r="X14" s="488"/>
      <c r="Y14" s="488"/>
      <c r="Z14" s="488"/>
      <c r="AA14" s="488"/>
      <c r="AB14" s="488"/>
      <c r="AC14" s="488"/>
      <c r="AD14" s="489" t="s">
        <v>325</v>
      </c>
    </row>
    <row r="15" spans="1:30" x14ac:dyDescent="0.3">
      <c r="A15" s="18"/>
      <c r="B15" s="21"/>
      <c r="C15" s="21"/>
      <c r="D15" s="21"/>
      <c r="E15" s="21"/>
      <c r="F15" s="21"/>
      <c r="G15" s="21"/>
      <c r="H15" s="475" t="s">
        <v>3409</v>
      </c>
      <c r="I15" s="475"/>
      <c r="J15" s="475"/>
      <c r="K15" s="475"/>
      <c r="L15" s="21"/>
      <c r="M15" s="21"/>
      <c r="N15" s="21"/>
      <c r="O15" s="21"/>
      <c r="P15" s="21"/>
      <c r="Q15" s="21"/>
      <c r="R15" s="21"/>
      <c r="S15" s="20"/>
      <c r="U15" s="488"/>
      <c r="V15" s="488"/>
      <c r="W15" s="488"/>
      <c r="X15" s="488"/>
      <c r="Y15" s="488"/>
      <c r="Z15" s="488"/>
      <c r="AA15" s="488"/>
      <c r="AB15" s="488"/>
      <c r="AC15" s="488"/>
      <c r="AD15" s="489"/>
    </row>
    <row r="16" spans="1:30" x14ac:dyDescent="0.3">
      <c r="A16" s="18"/>
      <c r="B16" s="21"/>
      <c r="C16" s="21"/>
      <c r="D16" s="21"/>
      <c r="E16" s="21"/>
      <c r="F16" s="21"/>
      <c r="G16" s="21"/>
      <c r="H16" s="3" t="str">
        <f t="array" ref="H16:K21">_xll.U.REPLACE(B6:E11,M17:M18,N17)</f>
        <v>Name</v>
      </c>
      <c r="I16" s="3" t="str">
        <v>Age</v>
      </c>
      <c r="J16" s="3" t="str">
        <v>Occupation</v>
      </c>
      <c r="K16" s="3" t="str">
        <v>Weight</v>
      </c>
      <c r="L16" s="21"/>
      <c r="M16" s="3" t="s">
        <v>772</v>
      </c>
      <c r="N16" s="3" t="s">
        <v>693</v>
      </c>
      <c r="O16" s="21"/>
      <c r="P16" s="21"/>
      <c r="Q16" s="21"/>
      <c r="R16" s="21"/>
      <c r="S16" s="20"/>
      <c r="U16" s="488"/>
      <c r="V16" s="488"/>
      <c r="W16" s="488"/>
      <c r="X16" s="488"/>
      <c r="Y16" s="488"/>
      <c r="Z16" s="488"/>
      <c r="AA16" s="488"/>
      <c r="AB16" s="488"/>
      <c r="AC16" s="488"/>
      <c r="AD16" s="489"/>
    </row>
    <row r="17" spans="1:30" ht="15" customHeight="1" x14ac:dyDescent="0.3">
      <c r="A17" s="18"/>
      <c r="B17" s="21"/>
      <c r="C17" s="21"/>
      <c r="D17" s="21"/>
      <c r="E17" s="21"/>
      <c r="F17" s="21"/>
      <c r="G17" s="21"/>
      <c r="H17" s="30" t="str">
        <v>bob jones</v>
      </c>
      <c r="I17" s="36">
        <v>37</v>
      </c>
      <c r="J17" s="30" t="str">
        <v>teacher</v>
      </c>
      <c r="K17" s="318">
        <v>182.4</v>
      </c>
      <c r="L17" s="21"/>
      <c r="M17" s="181" t="s">
        <v>1919</v>
      </c>
      <c r="N17" s="181" t="s">
        <v>1923</v>
      </c>
      <c r="O17" s="21"/>
      <c r="P17" s="21"/>
      <c r="Q17" s="21"/>
      <c r="R17" s="21"/>
      <c r="S17" s="20"/>
      <c r="U17" s="484" t="s">
        <v>1896</v>
      </c>
      <c r="V17" s="484"/>
      <c r="W17" s="484" t="s">
        <v>1908</v>
      </c>
      <c r="X17" s="484"/>
      <c r="Y17" s="484"/>
      <c r="Z17" s="484"/>
      <c r="AA17" s="484"/>
      <c r="AB17" s="484"/>
      <c r="AC17" s="484"/>
      <c r="AD17" s="485" t="s">
        <v>326</v>
      </c>
    </row>
    <row r="18" spans="1:30" x14ac:dyDescent="0.3">
      <c r="A18" s="18"/>
      <c r="B18" s="21"/>
      <c r="C18" s="21"/>
      <c r="D18" s="21"/>
      <c r="E18" s="21"/>
      <c r="F18" s="21"/>
      <c r="G18" s="21"/>
      <c r="H18" s="30" t="str">
        <v>Sally Smith</v>
      </c>
      <c r="I18" s="36">
        <v>22</v>
      </c>
      <c r="J18" s="30" t="str">
        <v>engineer</v>
      </c>
      <c r="K18" s="318">
        <v>114</v>
      </c>
      <c r="L18" s="21"/>
      <c r="M18" s="181" t="s">
        <v>1924</v>
      </c>
      <c r="N18" s="21"/>
      <c r="O18" s="21"/>
      <c r="P18" s="21"/>
      <c r="Q18" s="21"/>
      <c r="R18" s="21"/>
      <c r="S18" s="20"/>
      <c r="U18" s="484"/>
      <c r="V18" s="484"/>
      <c r="W18" s="484"/>
      <c r="X18" s="484"/>
      <c r="Y18" s="484"/>
      <c r="Z18" s="484"/>
      <c r="AA18" s="484"/>
      <c r="AB18" s="484"/>
      <c r="AC18" s="484"/>
      <c r="AD18" s="485"/>
    </row>
    <row r="19" spans="1:30" x14ac:dyDescent="0.3">
      <c r="A19" s="18"/>
      <c r="B19" s="21"/>
      <c r="C19" s="21"/>
      <c r="D19" s="21"/>
      <c r="E19" s="21"/>
      <c r="F19" s="21"/>
      <c r="G19" s="21"/>
      <c r="H19" s="30" t="str">
        <v>tom HOPPER</v>
      </c>
      <c r="I19" s="36" t="e">
        <v>#N/A</v>
      </c>
      <c r="J19" s="319" t="str">
        <v>scientist</v>
      </c>
      <c r="K19" s="318">
        <v>162.80000000000001</v>
      </c>
      <c r="L19" s="21"/>
      <c r="M19" s="21"/>
      <c r="N19" s="21"/>
      <c r="O19" s="21"/>
      <c r="P19" s="21"/>
      <c r="Q19" s="21"/>
      <c r="R19" s="21"/>
      <c r="S19" s="20"/>
      <c r="U19" s="484"/>
      <c r="V19" s="484"/>
      <c r="W19" s="484"/>
      <c r="X19" s="484"/>
      <c r="Y19" s="484"/>
      <c r="Z19" s="484"/>
      <c r="AA19" s="484"/>
      <c r="AB19" s="484"/>
      <c r="AC19" s="484"/>
      <c r="AD19" s="485"/>
    </row>
    <row r="20" spans="1:30" ht="15" customHeight="1" x14ac:dyDescent="0.3">
      <c r="A20" s="18"/>
      <c r="B20" s="21"/>
      <c r="C20" s="21"/>
      <c r="D20" s="21"/>
      <c r="E20" s="21"/>
      <c r="F20" s="21"/>
      <c r="G20" s="21"/>
      <c r="H20" s="30" t="str">
        <v>Billy Bragg</v>
      </c>
      <c r="I20" s="36">
        <v>30</v>
      </c>
      <c r="J20" s="30" t="str">
        <v>architect</v>
      </c>
      <c r="K20" s="318" t="str">
        <v/>
      </c>
      <c r="L20" s="21"/>
      <c r="M20" s="21"/>
      <c r="N20" s="21"/>
      <c r="O20" s="21"/>
      <c r="P20" s="21"/>
      <c r="Q20" s="21"/>
      <c r="R20" s="21"/>
      <c r="S20" s="20"/>
      <c r="U20" s="484" t="s">
        <v>1897</v>
      </c>
      <c r="V20" s="484"/>
      <c r="W20" s="484" t="s">
        <v>1909</v>
      </c>
      <c r="X20" s="484"/>
      <c r="Y20" s="484"/>
      <c r="Z20" s="484"/>
      <c r="AA20" s="484"/>
      <c r="AB20" s="484"/>
      <c r="AC20" s="484"/>
      <c r="AD20" s="485" t="s">
        <v>326</v>
      </c>
    </row>
    <row r="21" spans="1:30" x14ac:dyDescent="0.3">
      <c r="A21" s="18"/>
      <c r="B21" s="21"/>
      <c r="C21" s="21"/>
      <c r="D21" s="21"/>
      <c r="E21" s="21"/>
      <c r="F21" s="21"/>
      <c r="G21" s="21"/>
      <c r="H21" s="30" t="str">
        <v>Anna Lukin</v>
      </c>
      <c r="I21" s="36">
        <v>50</v>
      </c>
      <c r="J21" s="322" t="str">
        <v>physicist</v>
      </c>
      <c r="K21" s="318">
        <v>122.3</v>
      </c>
      <c r="L21" s="21"/>
      <c r="M21" s="21"/>
      <c r="N21" s="21"/>
      <c r="O21" s="21"/>
      <c r="P21" s="21"/>
      <c r="Q21" s="21"/>
      <c r="R21" s="21"/>
      <c r="S21" s="20"/>
      <c r="U21" s="484"/>
      <c r="V21" s="484"/>
      <c r="W21" s="484"/>
      <c r="X21" s="484"/>
      <c r="Y21" s="484"/>
      <c r="Z21" s="484"/>
      <c r="AA21" s="484"/>
      <c r="AB21" s="484"/>
      <c r="AC21" s="484"/>
      <c r="AD21" s="485"/>
    </row>
    <row r="22" spans="1:30" x14ac:dyDescent="0.3">
      <c r="A22" s="18"/>
      <c r="B22" s="21"/>
      <c r="C22" s="21"/>
      <c r="D22" s="21"/>
      <c r="E22" s="21"/>
      <c r="F22" s="21"/>
      <c r="G22" s="21"/>
      <c r="H22" s="21"/>
      <c r="I22" s="21"/>
      <c r="J22" s="21"/>
      <c r="K22" s="21"/>
      <c r="L22" s="21"/>
      <c r="M22" s="21"/>
      <c r="N22" s="21"/>
      <c r="O22" s="21"/>
      <c r="P22" s="21"/>
      <c r="Q22" s="21"/>
      <c r="R22" s="21"/>
      <c r="S22" s="20"/>
      <c r="U22" s="484"/>
      <c r="V22" s="484"/>
      <c r="W22" s="484"/>
      <c r="X22" s="484"/>
      <c r="Y22" s="484"/>
      <c r="Z22" s="484"/>
      <c r="AA22" s="484"/>
      <c r="AB22" s="484"/>
      <c r="AC22" s="484"/>
      <c r="AD22" s="485"/>
    </row>
    <row r="23" spans="1:30" ht="15" customHeight="1" x14ac:dyDescent="0.3">
      <c r="A23" s="18"/>
      <c r="B23" s="21"/>
      <c r="C23" s="21"/>
      <c r="D23" s="21"/>
      <c r="E23" s="21"/>
      <c r="F23" s="21"/>
      <c r="G23" s="21"/>
      <c r="H23" s="21"/>
      <c r="I23" s="21"/>
      <c r="J23" s="21"/>
      <c r="K23" s="21"/>
      <c r="L23" s="21"/>
      <c r="M23" s="21"/>
      <c r="N23" s="21"/>
      <c r="O23" s="21"/>
      <c r="P23" s="21"/>
      <c r="Q23" s="21"/>
      <c r="R23" s="21"/>
      <c r="S23" s="20"/>
      <c r="U23" s="484" t="s">
        <v>1898</v>
      </c>
      <c r="V23" s="484"/>
      <c r="W23" s="484" t="s">
        <v>1910</v>
      </c>
      <c r="X23" s="484"/>
      <c r="Y23" s="484"/>
      <c r="Z23" s="484"/>
      <c r="AA23" s="484"/>
      <c r="AB23" s="484"/>
      <c r="AC23" s="484"/>
      <c r="AD23" s="485" t="s">
        <v>326</v>
      </c>
    </row>
    <row r="24" spans="1:30" x14ac:dyDescent="0.3">
      <c r="A24" s="18"/>
      <c r="B24" s="21"/>
      <c r="C24" s="21"/>
      <c r="D24" s="21"/>
      <c r="E24" s="21"/>
      <c r="F24" s="21"/>
      <c r="G24" s="21"/>
      <c r="H24" s="475" t="s">
        <v>3409</v>
      </c>
      <c r="I24" s="475"/>
      <c r="J24" s="475"/>
      <c r="K24" s="475"/>
      <c r="L24" s="21"/>
      <c r="M24" s="21"/>
      <c r="N24" s="21"/>
      <c r="O24" s="21"/>
      <c r="P24" s="21"/>
      <c r="Q24" s="21"/>
      <c r="R24" s="21"/>
      <c r="S24" s="20"/>
      <c r="U24" s="484"/>
      <c r="V24" s="484"/>
      <c r="W24" s="484"/>
      <c r="X24" s="484"/>
      <c r="Y24" s="484"/>
      <c r="Z24" s="484"/>
      <c r="AA24" s="484"/>
      <c r="AB24" s="484"/>
      <c r="AC24" s="484"/>
      <c r="AD24" s="485"/>
    </row>
    <row r="25" spans="1:30" x14ac:dyDescent="0.3">
      <c r="A25" s="18"/>
      <c r="B25" s="21"/>
      <c r="C25" s="21"/>
      <c r="D25" s="21"/>
      <c r="E25" s="21"/>
      <c r="F25" s="21"/>
      <c r="G25" s="21"/>
      <c r="H25" s="3" t="str">
        <f t="array" ref="H25:K30">_xll.U.REPLACE(B6:E11,M26:N27,O26)</f>
        <v>Name</v>
      </c>
      <c r="I25" s="12" t="str">
        <v>replaced</v>
      </c>
      <c r="J25" s="3" t="str">
        <v>Occupation</v>
      </c>
      <c r="K25" s="3" t="str">
        <v>Weight</v>
      </c>
      <c r="L25" s="21"/>
      <c r="M25" s="494" t="s">
        <v>772</v>
      </c>
      <c r="N25" s="495"/>
      <c r="O25" s="3" t="s">
        <v>693</v>
      </c>
      <c r="P25" s="21"/>
      <c r="Q25" s="21"/>
      <c r="R25" s="21"/>
      <c r="S25" s="20"/>
      <c r="U25" s="484"/>
      <c r="V25" s="484"/>
      <c r="W25" s="484"/>
      <c r="X25" s="484"/>
      <c r="Y25" s="484"/>
      <c r="Z25" s="484"/>
      <c r="AA25" s="484"/>
      <c r="AB25" s="484"/>
      <c r="AC25" s="484"/>
      <c r="AD25" s="485"/>
    </row>
    <row r="26" spans="1:30" x14ac:dyDescent="0.3">
      <c r="A26" s="18"/>
      <c r="B26" s="21"/>
      <c r="C26" s="21"/>
      <c r="D26" s="21"/>
      <c r="E26" s="21"/>
      <c r="F26" s="21"/>
      <c r="G26" s="21"/>
      <c r="H26" s="30" t="str">
        <v>bob jones</v>
      </c>
      <c r="I26" s="36">
        <v>37</v>
      </c>
      <c r="J26" s="30" t="str">
        <v>teacher</v>
      </c>
      <c r="K26" s="318">
        <v>182.4</v>
      </c>
      <c r="L26" s="21"/>
      <c r="M26" s="181">
        <v>20</v>
      </c>
      <c r="N26" s="181">
        <v>35</v>
      </c>
      <c r="O26" s="181" t="s">
        <v>1925</v>
      </c>
      <c r="P26" s="21"/>
      <c r="Q26" s="21"/>
      <c r="R26" s="21"/>
      <c r="S26" s="20"/>
      <c r="U26" s="484" t="s">
        <v>1899</v>
      </c>
      <c r="V26" s="484"/>
      <c r="W26" s="484" t="s">
        <v>3135</v>
      </c>
      <c r="X26" s="484"/>
      <c r="Y26" s="484"/>
      <c r="Z26" s="484"/>
      <c r="AA26" s="484"/>
      <c r="AB26" s="484"/>
      <c r="AC26" s="484"/>
      <c r="AD26" s="485" t="s">
        <v>326</v>
      </c>
    </row>
    <row r="27" spans="1:30" x14ac:dyDescent="0.3">
      <c r="A27" s="18"/>
      <c r="B27" s="21"/>
      <c r="C27" s="21"/>
      <c r="D27" s="21"/>
      <c r="E27" s="21"/>
      <c r="F27" s="21"/>
      <c r="G27" s="21"/>
      <c r="H27" s="30" t="str">
        <v>Sally Smith</v>
      </c>
      <c r="I27" s="320" t="str">
        <v>replaced</v>
      </c>
      <c r="J27" s="30" t="str">
        <v>engineer</v>
      </c>
      <c r="K27" s="318">
        <v>114</v>
      </c>
      <c r="L27" s="21"/>
      <c r="M27" s="181" t="s">
        <v>1926</v>
      </c>
      <c r="N27" s="181" t="s">
        <v>1927</v>
      </c>
      <c r="O27" s="21"/>
      <c r="P27" s="21"/>
      <c r="Q27" s="21"/>
      <c r="R27" s="21"/>
      <c r="S27" s="20"/>
      <c r="U27" s="484"/>
      <c r="V27" s="484"/>
      <c r="W27" s="484"/>
      <c r="X27" s="484"/>
      <c r="Y27" s="484"/>
      <c r="Z27" s="484"/>
      <c r="AA27" s="484"/>
      <c r="AB27" s="484"/>
      <c r="AC27" s="484"/>
      <c r="AD27" s="485"/>
    </row>
    <row r="28" spans="1:30" x14ac:dyDescent="0.3">
      <c r="A28" s="18"/>
      <c r="B28" s="21"/>
      <c r="C28" s="21"/>
      <c r="D28" s="21"/>
      <c r="E28" s="21"/>
      <c r="F28" s="21"/>
      <c r="G28" s="21"/>
      <c r="H28" s="30" t="str">
        <v>tom HOPPER</v>
      </c>
      <c r="I28" s="36" t="e">
        <v>#N/A</v>
      </c>
      <c r="J28" s="1" t="str">
        <v>chemist</v>
      </c>
      <c r="K28" s="318">
        <v>162.80000000000001</v>
      </c>
      <c r="L28" s="21"/>
      <c r="M28" s="21"/>
      <c r="N28" s="21"/>
      <c r="O28" s="21"/>
      <c r="P28" s="21"/>
      <c r="Q28" s="21"/>
      <c r="R28" s="21"/>
      <c r="S28" s="20"/>
      <c r="U28" s="484"/>
      <c r="V28" s="484"/>
      <c r="W28" s="484"/>
      <c r="X28" s="484"/>
      <c r="Y28" s="484"/>
      <c r="Z28" s="484"/>
      <c r="AA28" s="484"/>
      <c r="AB28" s="484"/>
      <c r="AC28" s="484"/>
      <c r="AD28" s="485"/>
    </row>
    <row r="29" spans="1:30" x14ac:dyDescent="0.3">
      <c r="A29" s="18"/>
      <c r="B29" s="21"/>
      <c r="C29" s="21"/>
      <c r="D29" s="21"/>
      <c r="E29" s="21"/>
      <c r="F29" s="21"/>
      <c r="G29" s="21"/>
      <c r="H29" s="319" t="str">
        <v>replaced</v>
      </c>
      <c r="I29" s="320" t="str">
        <v>replaced</v>
      </c>
      <c r="J29" s="1" t="str">
        <v>replaced</v>
      </c>
      <c r="K29" s="318" t="str">
        <v/>
      </c>
      <c r="L29" s="21"/>
      <c r="M29" s="21"/>
      <c r="N29" s="21"/>
      <c r="O29" s="21"/>
      <c r="P29" s="21"/>
      <c r="Q29" s="21"/>
      <c r="R29" s="21"/>
      <c r="S29" s="20"/>
      <c r="U29" s="484" t="s">
        <v>1900</v>
      </c>
      <c r="V29" s="484"/>
      <c r="W29" s="484" t="s">
        <v>3136</v>
      </c>
      <c r="X29" s="484"/>
      <c r="Y29" s="484"/>
      <c r="Z29" s="484"/>
      <c r="AA29" s="484"/>
      <c r="AB29" s="484"/>
      <c r="AC29" s="484"/>
      <c r="AD29" s="485" t="s">
        <v>326</v>
      </c>
    </row>
    <row r="30" spans="1:30" x14ac:dyDescent="0.3">
      <c r="A30" s="18"/>
      <c r="B30" s="21"/>
      <c r="C30" s="21"/>
      <c r="D30" s="21"/>
      <c r="E30" s="21"/>
      <c r="F30" s="21"/>
      <c r="G30" s="21"/>
      <c r="H30" s="319" t="str">
        <v>replaced</v>
      </c>
      <c r="I30" s="321">
        <v>50</v>
      </c>
      <c r="J30" s="1" t="str">
        <v>physicist</v>
      </c>
      <c r="K30" s="318">
        <v>122.3</v>
      </c>
      <c r="L30" s="21"/>
      <c r="M30" s="21"/>
      <c r="N30" s="21"/>
      <c r="O30" s="21"/>
      <c r="P30" s="21"/>
      <c r="Q30" s="21"/>
      <c r="R30" s="21"/>
      <c r="S30" s="20"/>
      <c r="U30" s="484"/>
      <c r="V30" s="484"/>
      <c r="W30" s="484"/>
      <c r="X30" s="484"/>
      <c r="Y30" s="484"/>
      <c r="Z30" s="484"/>
      <c r="AA30" s="484"/>
      <c r="AB30" s="484"/>
      <c r="AC30" s="484"/>
      <c r="AD30" s="485"/>
    </row>
    <row r="31" spans="1:30" x14ac:dyDescent="0.3">
      <c r="A31" s="18"/>
      <c r="B31" s="21"/>
      <c r="C31" s="21"/>
      <c r="D31" s="21"/>
      <c r="E31" s="21"/>
      <c r="F31" s="21"/>
      <c r="G31" s="21"/>
      <c r="H31" s="21"/>
      <c r="I31" s="21"/>
      <c r="J31" s="21"/>
      <c r="K31" s="21"/>
      <c r="L31" s="21"/>
      <c r="M31" s="21"/>
      <c r="N31" s="21"/>
      <c r="O31" s="21"/>
      <c r="P31" s="21"/>
      <c r="Q31" s="21"/>
      <c r="R31" s="21"/>
      <c r="S31" s="20"/>
      <c r="U31" s="484"/>
      <c r="V31" s="484"/>
      <c r="W31" s="484"/>
      <c r="X31" s="484"/>
      <c r="Y31" s="484"/>
      <c r="Z31" s="484"/>
      <c r="AA31" s="484"/>
      <c r="AB31" s="484"/>
      <c r="AC31" s="484"/>
      <c r="AD31" s="485"/>
    </row>
    <row r="32" spans="1:30" x14ac:dyDescent="0.3">
      <c r="A32" s="18"/>
      <c r="B32" s="21"/>
      <c r="C32" s="21"/>
      <c r="D32" s="21"/>
      <c r="E32" s="21"/>
      <c r="F32" s="21"/>
      <c r="G32" s="21"/>
      <c r="H32" s="21"/>
      <c r="I32" s="21"/>
      <c r="J32" s="21"/>
      <c r="K32" s="21"/>
      <c r="L32" s="21"/>
      <c r="M32" s="21"/>
      <c r="N32" s="21"/>
      <c r="O32" s="21"/>
      <c r="P32" s="21"/>
      <c r="Q32" s="21"/>
      <c r="R32" s="21"/>
      <c r="S32" s="20"/>
      <c r="U32" s="126" t="s">
        <v>328</v>
      </c>
    </row>
    <row r="33" spans="1:19" x14ac:dyDescent="0.3">
      <c r="A33" s="18"/>
      <c r="B33" s="21"/>
      <c r="C33" s="21"/>
      <c r="D33" s="21"/>
      <c r="E33" s="21"/>
      <c r="F33" s="21"/>
      <c r="G33" s="21"/>
      <c r="H33" s="475" t="s">
        <v>3409</v>
      </c>
      <c r="I33" s="475"/>
      <c r="J33" s="475"/>
      <c r="K33" s="475"/>
      <c r="L33" s="21"/>
      <c r="M33" s="21"/>
      <c r="N33" s="21"/>
      <c r="O33" s="21"/>
      <c r="P33" s="21"/>
      <c r="Q33" s="21"/>
      <c r="R33" s="21"/>
      <c r="S33" s="20"/>
    </row>
    <row r="34" spans="1:19" x14ac:dyDescent="0.3">
      <c r="A34" s="18"/>
      <c r="B34" s="21"/>
      <c r="C34" s="21"/>
      <c r="D34" s="21"/>
      <c r="E34" s="21"/>
      <c r="F34" s="21"/>
      <c r="G34" s="21"/>
      <c r="H34" s="3" t="str">
        <f t="array" ref="H34:K39">_xll.U.REPLACE(B6:E11,M35:N36,O35,,M39)</f>
        <v>Name</v>
      </c>
      <c r="I34" s="3" t="str">
        <v>Age</v>
      </c>
      <c r="J34" s="3" t="str">
        <v>Occupation</v>
      </c>
      <c r="K34" s="3" t="str">
        <v>Weight</v>
      </c>
      <c r="L34" s="21"/>
      <c r="M34" s="494" t="s">
        <v>772</v>
      </c>
      <c r="N34" s="495"/>
      <c r="O34" s="3" t="s">
        <v>693</v>
      </c>
      <c r="P34" s="21"/>
      <c r="Q34" s="21"/>
      <c r="R34" s="21"/>
      <c r="S34" s="20"/>
    </row>
    <row r="35" spans="1:19" x14ac:dyDescent="0.3">
      <c r="A35" s="18"/>
      <c r="B35" s="21"/>
      <c r="C35" s="21"/>
      <c r="D35" s="21"/>
      <c r="E35" s="21"/>
      <c r="F35" s="21"/>
      <c r="G35" s="21"/>
      <c r="H35" s="30" t="str">
        <v>bob jones</v>
      </c>
      <c r="I35" s="36">
        <v>37</v>
      </c>
      <c r="J35" s="30" t="str">
        <v>teacher</v>
      </c>
      <c r="K35" s="318">
        <v>182.4</v>
      </c>
      <c r="L35" s="21"/>
      <c r="M35" s="181">
        <v>20</v>
      </c>
      <c r="N35" s="181">
        <v>35</v>
      </c>
      <c r="O35" s="181" t="s">
        <v>1925</v>
      </c>
      <c r="P35" s="21"/>
      <c r="Q35" s="21"/>
      <c r="R35" s="21"/>
      <c r="S35" s="20"/>
    </row>
    <row r="36" spans="1:19" x14ac:dyDescent="0.3">
      <c r="A36" s="18"/>
      <c r="B36" s="21"/>
      <c r="C36" s="21"/>
      <c r="D36" s="21"/>
      <c r="E36" s="21"/>
      <c r="F36" s="21"/>
      <c r="G36" s="21"/>
      <c r="H36" s="30" t="str">
        <v>Sally Smith</v>
      </c>
      <c r="I36" s="320" t="str">
        <v>replaced</v>
      </c>
      <c r="J36" s="30" t="str">
        <v>engineer</v>
      </c>
      <c r="K36" s="318">
        <v>114</v>
      </c>
      <c r="L36" s="21"/>
      <c r="M36" s="181" t="s">
        <v>1926</v>
      </c>
      <c r="N36" s="181" t="s">
        <v>1927</v>
      </c>
      <c r="O36" s="21"/>
      <c r="P36" s="21"/>
      <c r="Q36" s="21"/>
      <c r="R36" s="21"/>
      <c r="S36" s="20"/>
    </row>
    <row r="37" spans="1:19" x14ac:dyDescent="0.3">
      <c r="A37" s="18"/>
      <c r="B37" s="21"/>
      <c r="C37" s="21"/>
      <c r="D37" s="21"/>
      <c r="E37" s="21"/>
      <c r="F37" s="21"/>
      <c r="G37" s="21"/>
      <c r="H37" s="30" t="str">
        <v>tom HOPPER</v>
      </c>
      <c r="I37" s="36" t="e">
        <v>#N/A</v>
      </c>
      <c r="J37" s="1" t="str">
        <v>chemist</v>
      </c>
      <c r="K37" s="318">
        <v>162.80000000000001</v>
      </c>
      <c r="L37" s="21"/>
      <c r="M37" s="21"/>
      <c r="N37" s="21"/>
      <c r="O37" s="21"/>
      <c r="P37" s="21"/>
      <c r="Q37" s="21"/>
      <c r="R37" s="21"/>
      <c r="S37" s="20"/>
    </row>
    <row r="38" spans="1:19" x14ac:dyDescent="0.3">
      <c r="A38" s="18"/>
      <c r="B38" s="21"/>
      <c r="C38" s="21"/>
      <c r="D38" s="21"/>
      <c r="E38" s="21"/>
      <c r="F38" s="21"/>
      <c r="G38" s="21"/>
      <c r="H38" s="319" t="str">
        <v>replaced</v>
      </c>
      <c r="I38" s="320" t="str">
        <v>replaced</v>
      </c>
      <c r="J38" s="1" t="str">
        <v>replaced</v>
      </c>
      <c r="K38" s="318" t="str">
        <v/>
      </c>
      <c r="L38" s="21"/>
      <c r="M38" s="3" t="s">
        <v>1928</v>
      </c>
      <c r="N38" s="21"/>
      <c r="O38" s="21"/>
      <c r="P38" s="21"/>
      <c r="Q38" s="21"/>
      <c r="R38" s="21"/>
      <c r="S38" s="20"/>
    </row>
    <row r="39" spans="1:19" x14ac:dyDescent="0.3">
      <c r="A39" s="18"/>
      <c r="B39" s="21"/>
      <c r="C39" s="21"/>
      <c r="D39" s="21"/>
      <c r="E39" s="21"/>
      <c r="F39" s="21"/>
      <c r="G39" s="21"/>
      <c r="H39" s="319" t="str">
        <v>replaced</v>
      </c>
      <c r="I39" s="321">
        <v>50</v>
      </c>
      <c r="J39" s="1" t="str">
        <v>physicist</v>
      </c>
      <c r="K39" s="318">
        <v>122.3</v>
      </c>
      <c r="L39" s="21"/>
      <c r="M39" s="181">
        <v>2</v>
      </c>
      <c r="N39" s="21"/>
      <c r="O39" s="21"/>
      <c r="P39" s="21"/>
      <c r="Q39" s="21"/>
      <c r="R39" s="21"/>
      <c r="S39" s="20"/>
    </row>
    <row r="40" spans="1:19" x14ac:dyDescent="0.3">
      <c r="A40" s="18"/>
      <c r="B40" s="21"/>
      <c r="C40" s="21"/>
      <c r="D40" s="21"/>
      <c r="E40" s="21"/>
      <c r="F40" s="21"/>
      <c r="G40" s="21"/>
      <c r="H40" s="21"/>
      <c r="I40" s="21"/>
      <c r="J40" s="21"/>
      <c r="K40" s="21"/>
      <c r="L40" s="21"/>
      <c r="M40" s="21"/>
      <c r="N40" s="21"/>
      <c r="O40" s="21"/>
      <c r="P40" s="21"/>
      <c r="Q40" s="21"/>
      <c r="R40" s="21"/>
      <c r="S40" s="20"/>
    </row>
    <row r="41" spans="1:19" x14ac:dyDescent="0.3">
      <c r="A41" s="18"/>
      <c r="B41" s="21"/>
      <c r="C41" s="21"/>
      <c r="D41" s="21"/>
      <c r="E41" s="21"/>
      <c r="F41" s="21"/>
      <c r="G41" s="21"/>
      <c r="H41" s="21"/>
      <c r="I41" s="21"/>
      <c r="J41" s="21"/>
      <c r="K41" s="21"/>
      <c r="L41" s="21"/>
      <c r="M41" s="21"/>
      <c r="N41" s="21"/>
      <c r="O41" s="21"/>
      <c r="P41" s="21"/>
      <c r="Q41" s="21"/>
      <c r="R41" s="21"/>
      <c r="S41" s="20"/>
    </row>
    <row r="42" spans="1:19" x14ac:dyDescent="0.3">
      <c r="A42" s="18"/>
      <c r="B42" s="21"/>
      <c r="C42" s="21"/>
      <c r="D42" s="21"/>
      <c r="E42" s="21"/>
      <c r="F42" s="21"/>
      <c r="G42" s="21"/>
      <c r="H42" s="475" t="s">
        <v>3409</v>
      </c>
      <c r="I42" s="475"/>
      <c r="J42" s="475"/>
      <c r="K42" s="475"/>
      <c r="L42" s="21"/>
      <c r="M42" s="21"/>
      <c r="N42" s="21"/>
      <c r="O42" s="21"/>
      <c r="P42" s="21"/>
      <c r="Q42" s="21"/>
      <c r="R42" s="21"/>
      <c r="S42" s="20"/>
    </row>
    <row r="43" spans="1:19" x14ac:dyDescent="0.3">
      <c r="A43" s="18"/>
      <c r="B43" s="21"/>
      <c r="C43" s="21"/>
      <c r="D43" s="21"/>
      <c r="E43" s="21"/>
      <c r="F43" s="21"/>
      <c r="G43" s="21"/>
      <c r="H43" s="3" t="str">
        <f t="array" ref="H43:K48">_xll.U.REPLACE(B6:E11,M44:M45,N44)</f>
        <v>Name</v>
      </c>
      <c r="I43" s="3" t="str">
        <v>Age</v>
      </c>
      <c r="J43" s="3" t="str">
        <v>Occupation</v>
      </c>
      <c r="K43" s="3" t="str">
        <v>Weight</v>
      </c>
      <c r="L43" s="21"/>
      <c r="M43" s="3" t="s">
        <v>772</v>
      </c>
      <c r="N43" s="3" t="s">
        <v>693</v>
      </c>
      <c r="O43" s="21"/>
      <c r="P43" s="21"/>
      <c r="Q43" s="21"/>
      <c r="R43" s="21"/>
      <c r="S43" s="20"/>
    </row>
    <row r="44" spans="1:19" x14ac:dyDescent="0.3">
      <c r="A44" s="18"/>
      <c r="B44" s="21"/>
      <c r="C44" s="21"/>
      <c r="D44" s="21"/>
      <c r="E44" s="21"/>
      <c r="F44" s="21"/>
      <c r="G44" s="21"/>
      <c r="H44" s="30" t="str">
        <v>bob jones</v>
      </c>
      <c r="I44" s="37">
        <v>37</v>
      </c>
      <c r="J44" s="30" t="str">
        <v>teacher</v>
      </c>
      <c r="K44" s="318">
        <v>182.4</v>
      </c>
      <c r="L44" s="21"/>
      <c r="M44" s="244" t="s">
        <v>1929</v>
      </c>
      <c r="N44" s="181" t="s">
        <v>1925</v>
      </c>
      <c r="O44" s="21"/>
      <c r="P44" s="21"/>
      <c r="Q44" s="21"/>
      <c r="R44" s="21"/>
      <c r="S44" s="20"/>
    </row>
    <row r="45" spans="1:19" x14ac:dyDescent="0.3">
      <c r="A45" s="18"/>
      <c r="B45" s="21"/>
      <c r="C45" s="21"/>
      <c r="D45" s="21"/>
      <c r="E45" s="21"/>
      <c r="F45" s="21"/>
      <c r="G45" s="21"/>
      <c r="H45" s="30" t="str">
        <v>Sally Smith</v>
      </c>
      <c r="I45" s="36">
        <v>22</v>
      </c>
      <c r="J45" s="30" t="str">
        <v>engineer</v>
      </c>
      <c r="K45" s="318">
        <v>114</v>
      </c>
      <c r="L45" s="21"/>
      <c r="M45" s="244" t="s">
        <v>1930</v>
      </c>
      <c r="N45" s="21"/>
      <c r="O45" s="21"/>
      <c r="P45" s="21"/>
      <c r="Q45" s="21"/>
      <c r="R45" s="21"/>
      <c r="S45" s="20"/>
    </row>
    <row r="46" spans="1:19" x14ac:dyDescent="0.3">
      <c r="A46" s="18"/>
      <c r="B46" s="21"/>
      <c r="C46" s="21"/>
      <c r="D46" s="21"/>
      <c r="E46" s="21"/>
      <c r="F46" s="21"/>
      <c r="G46" s="21"/>
      <c r="H46" s="30" t="str">
        <v>tom HOPPER</v>
      </c>
      <c r="I46" s="37" t="e">
        <v>#N/A</v>
      </c>
      <c r="J46" s="1" t="str">
        <v>chemist</v>
      </c>
      <c r="K46" s="318">
        <v>162.80000000000001</v>
      </c>
      <c r="L46" s="21"/>
      <c r="M46" s="21"/>
      <c r="N46" s="21"/>
      <c r="O46" s="21"/>
      <c r="P46" s="21"/>
      <c r="Q46" s="21"/>
      <c r="R46" s="21"/>
      <c r="S46" s="20"/>
    </row>
    <row r="47" spans="1:19" x14ac:dyDescent="0.3">
      <c r="A47" s="18"/>
      <c r="B47" s="21"/>
      <c r="C47" s="21"/>
      <c r="D47" s="21"/>
      <c r="E47" s="21"/>
      <c r="F47" s="21"/>
      <c r="G47" s="21"/>
      <c r="H47" s="30" t="str">
        <v>Billy Bragg</v>
      </c>
      <c r="I47" s="36">
        <v>30</v>
      </c>
      <c r="J47" s="1" t="str">
        <v>architect</v>
      </c>
      <c r="K47" s="318" t="str">
        <v/>
      </c>
      <c r="L47" s="21"/>
      <c r="M47" s="21"/>
      <c r="N47" s="21"/>
      <c r="O47" s="21"/>
      <c r="P47" s="21"/>
      <c r="Q47" s="21"/>
      <c r="R47" s="21"/>
      <c r="S47" s="20"/>
    </row>
    <row r="48" spans="1:19" x14ac:dyDescent="0.3">
      <c r="A48" s="18"/>
      <c r="B48" s="21"/>
      <c r="C48" s="21"/>
      <c r="D48" s="21"/>
      <c r="E48" s="21"/>
      <c r="F48" s="21"/>
      <c r="G48" s="21"/>
      <c r="H48" s="30" t="str">
        <v>Anna Lukin</v>
      </c>
      <c r="I48" s="36">
        <v>50</v>
      </c>
      <c r="J48" s="1" t="str">
        <v>physicist</v>
      </c>
      <c r="K48" s="318">
        <v>122.3</v>
      </c>
      <c r="L48" s="21"/>
      <c r="M48" s="21"/>
      <c r="N48" s="21"/>
      <c r="O48" s="21"/>
      <c r="P48" s="21"/>
      <c r="Q48" s="21"/>
      <c r="R48" s="21"/>
      <c r="S48" s="20"/>
    </row>
    <row r="49" spans="1:19" x14ac:dyDescent="0.3">
      <c r="A49" s="18"/>
      <c r="B49" s="21"/>
      <c r="C49" s="21"/>
      <c r="D49" s="21"/>
      <c r="E49" s="21"/>
      <c r="F49" s="21"/>
      <c r="G49" s="21"/>
      <c r="H49" s="21"/>
      <c r="I49" s="21"/>
      <c r="J49" s="21"/>
      <c r="K49" s="21"/>
      <c r="L49" s="21"/>
      <c r="M49" s="21"/>
      <c r="N49" s="21"/>
      <c r="O49" s="21"/>
      <c r="P49" s="21"/>
      <c r="Q49" s="21"/>
      <c r="R49" s="21"/>
      <c r="S49" s="20"/>
    </row>
    <row r="50" spans="1:19" x14ac:dyDescent="0.3">
      <c r="A50" s="18"/>
      <c r="B50" s="21"/>
      <c r="C50" s="21"/>
      <c r="D50" s="21"/>
      <c r="E50" s="21"/>
      <c r="F50" s="21"/>
      <c r="G50" s="21"/>
      <c r="H50" s="21"/>
      <c r="I50" s="21"/>
      <c r="J50" s="21"/>
      <c r="K50" s="21"/>
      <c r="L50" s="21"/>
      <c r="M50" s="21"/>
      <c r="N50" s="21"/>
      <c r="O50" s="21"/>
      <c r="P50" s="21"/>
      <c r="Q50" s="21"/>
      <c r="R50" s="21"/>
      <c r="S50" s="20"/>
    </row>
    <row r="51" spans="1:19" x14ac:dyDescent="0.3">
      <c r="A51" s="18"/>
      <c r="B51" s="21"/>
      <c r="C51" s="21"/>
      <c r="D51" s="21"/>
      <c r="E51" s="21"/>
      <c r="F51" s="21"/>
      <c r="G51" s="21"/>
      <c r="H51" s="475" t="s">
        <v>3409</v>
      </c>
      <c r="I51" s="475"/>
      <c r="J51" s="475"/>
      <c r="K51" s="475"/>
      <c r="L51" s="21"/>
      <c r="M51" s="21"/>
      <c r="N51" s="21"/>
      <c r="O51" s="21"/>
      <c r="P51" s="21"/>
      <c r="Q51" s="21"/>
      <c r="R51" s="21"/>
      <c r="S51" s="20"/>
    </row>
    <row r="52" spans="1:19" x14ac:dyDescent="0.3">
      <c r="A52" s="18"/>
      <c r="B52" s="21"/>
      <c r="C52" s="21"/>
      <c r="D52" s="21"/>
      <c r="E52" s="21"/>
      <c r="F52" s="21"/>
      <c r="G52" s="21"/>
      <c r="H52" s="3" t="str">
        <f t="array" ref="H52:K57">_xll.U.REPLACE(B6:E11,M53:M54,N53,TRUE)</f>
        <v>Name</v>
      </c>
      <c r="I52" s="3" t="str">
        <v>Age</v>
      </c>
      <c r="J52" s="3" t="str">
        <v>Occupation</v>
      </c>
      <c r="K52" s="3" t="str">
        <v>Weight</v>
      </c>
      <c r="L52" s="21"/>
      <c r="M52" s="3" t="s">
        <v>772</v>
      </c>
      <c r="N52" s="3" t="s">
        <v>693</v>
      </c>
      <c r="O52" s="21"/>
      <c r="P52" s="21"/>
      <c r="Q52" s="21"/>
      <c r="R52" s="21"/>
      <c r="S52" s="20"/>
    </row>
    <row r="53" spans="1:19" x14ac:dyDescent="0.3">
      <c r="A53" s="18"/>
      <c r="B53" s="21"/>
      <c r="C53" s="21"/>
      <c r="D53" s="21"/>
      <c r="E53" s="21"/>
      <c r="F53" s="21"/>
      <c r="G53" s="21"/>
      <c r="H53" s="30" t="str">
        <v>bob jones</v>
      </c>
      <c r="I53" s="320" t="str">
        <v>replaced</v>
      </c>
      <c r="J53" s="30" t="str">
        <v>teacher</v>
      </c>
      <c r="K53" s="318">
        <v>182.4</v>
      </c>
      <c r="L53" s="21"/>
      <c r="M53" s="244" t="s">
        <v>1929</v>
      </c>
      <c r="N53" s="181" t="s">
        <v>1925</v>
      </c>
      <c r="O53" s="21"/>
      <c r="P53" s="21"/>
      <c r="Q53" s="21"/>
      <c r="R53" s="21"/>
      <c r="S53" s="20"/>
    </row>
    <row r="54" spans="1:19" x14ac:dyDescent="0.3">
      <c r="A54" s="18"/>
      <c r="B54" s="21"/>
      <c r="C54" s="21"/>
      <c r="D54" s="21"/>
      <c r="E54" s="21"/>
      <c r="F54" s="21"/>
      <c r="G54" s="21"/>
      <c r="H54" s="30" t="str">
        <v>Sally Smith</v>
      </c>
      <c r="I54" s="36">
        <v>22</v>
      </c>
      <c r="J54" s="30" t="str">
        <v>engineer</v>
      </c>
      <c r="K54" s="318">
        <v>114</v>
      </c>
      <c r="L54" s="21"/>
      <c r="M54" s="244" t="s">
        <v>1930</v>
      </c>
      <c r="N54" s="21"/>
      <c r="O54" s="21"/>
      <c r="P54" s="21"/>
      <c r="Q54" s="21"/>
      <c r="R54" s="21"/>
      <c r="S54" s="20"/>
    </row>
    <row r="55" spans="1:19" x14ac:dyDescent="0.3">
      <c r="A55" s="18"/>
      <c r="B55" s="21"/>
      <c r="C55" s="21"/>
      <c r="D55" s="21"/>
      <c r="E55" s="21"/>
      <c r="F55" s="21"/>
      <c r="G55" s="21"/>
      <c r="H55" s="30" t="str">
        <v>tom HOPPER</v>
      </c>
      <c r="I55" s="320" t="str">
        <v>replaced</v>
      </c>
      <c r="J55" s="1" t="str">
        <v>chemist</v>
      </c>
      <c r="K55" s="318">
        <v>162.80000000000001</v>
      </c>
      <c r="L55" s="21"/>
      <c r="M55" s="21"/>
      <c r="N55" s="21"/>
      <c r="O55" s="21"/>
      <c r="P55" s="21"/>
      <c r="Q55" s="21"/>
      <c r="R55" s="21"/>
      <c r="S55" s="20"/>
    </row>
    <row r="56" spans="1:19" x14ac:dyDescent="0.3">
      <c r="A56" s="18"/>
      <c r="B56" s="21"/>
      <c r="C56" s="21"/>
      <c r="D56" s="21"/>
      <c r="E56" s="21"/>
      <c r="F56" s="21"/>
      <c r="G56" s="21"/>
      <c r="H56" s="30" t="str">
        <v>Billy Bragg</v>
      </c>
      <c r="I56" s="36">
        <v>30</v>
      </c>
      <c r="J56" s="1" t="str">
        <v>architect</v>
      </c>
      <c r="K56" s="318" t="str">
        <v/>
      </c>
      <c r="L56" s="21"/>
      <c r="M56" s="21"/>
      <c r="N56" s="21"/>
      <c r="O56" s="21"/>
      <c r="P56" s="21"/>
      <c r="Q56" s="21"/>
      <c r="R56" s="21"/>
      <c r="S56" s="20"/>
    </row>
    <row r="57" spans="1:19" x14ac:dyDescent="0.3">
      <c r="A57" s="18"/>
      <c r="B57" s="21"/>
      <c r="C57" s="21"/>
      <c r="D57" s="21"/>
      <c r="E57" s="21"/>
      <c r="F57" s="21"/>
      <c r="G57" s="21"/>
      <c r="H57" s="30" t="str">
        <v>Anna Lukin</v>
      </c>
      <c r="I57" s="36">
        <v>50</v>
      </c>
      <c r="J57" s="1" t="str">
        <v>physicist</v>
      </c>
      <c r="K57" s="318">
        <v>122.3</v>
      </c>
      <c r="L57" s="21"/>
      <c r="M57" s="21"/>
      <c r="N57" s="21"/>
      <c r="O57" s="21"/>
      <c r="P57" s="21"/>
      <c r="Q57" s="21"/>
      <c r="R57" s="21"/>
      <c r="S57" s="20"/>
    </row>
    <row r="58" spans="1:19" x14ac:dyDescent="0.3">
      <c r="A58" s="18"/>
      <c r="B58" s="21"/>
      <c r="C58" s="21"/>
      <c r="D58" s="21"/>
      <c r="E58" s="21"/>
      <c r="F58" s="21"/>
      <c r="G58" s="21"/>
      <c r="H58" s="21"/>
      <c r="I58" s="21"/>
      <c r="J58" s="21"/>
      <c r="K58" s="21"/>
      <c r="L58" s="21"/>
      <c r="M58" s="21"/>
      <c r="N58" s="21"/>
      <c r="O58" s="21"/>
      <c r="P58" s="21"/>
      <c r="Q58" s="21"/>
      <c r="R58" s="21"/>
      <c r="S58" s="20"/>
    </row>
    <row r="59" spans="1:19" x14ac:dyDescent="0.3">
      <c r="A59" s="18"/>
      <c r="B59" s="21"/>
      <c r="C59" s="21"/>
      <c r="D59" s="21"/>
      <c r="E59" s="21"/>
      <c r="F59" s="21"/>
      <c r="G59" s="21"/>
      <c r="H59" s="21"/>
      <c r="I59" s="21"/>
      <c r="J59" s="21"/>
      <c r="K59" s="21"/>
      <c r="L59" s="21"/>
      <c r="M59" s="21"/>
      <c r="N59" s="21"/>
      <c r="O59" s="21"/>
      <c r="P59" s="21"/>
      <c r="Q59" s="21"/>
      <c r="R59" s="21"/>
      <c r="S59" s="20"/>
    </row>
    <row r="60" spans="1:19" x14ac:dyDescent="0.3">
      <c r="A60" s="18"/>
      <c r="B60" s="21"/>
      <c r="C60" s="21"/>
      <c r="D60" s="21"/>
      <c r="E60" s="21"/>
      <c r="F60" s="21"/>
      <c r="G60" s="21"/>
      <c r="H60" s="475" t="s">
        <v>3409</v>
      </c>
      <c r="I60" s="475"/>
      <c r="J60" s="475"/>
      <c r="K60" s="475"/>
      <c r="L60" s="21"/>
      <c r="M60" s="21"/>
      <c r="N60" s="21"/>
      <c r="O60" s="21"/>
      <c r="P60" s="21"/>
      <c r="Q60" s="21"/>
      <c r="R60" s="21"/>
      <c r="S60" s="20"/>
    </row>
    <row r="61" spans="1:19" x14ac:dyDescent="0.3">
      <c r="A61" s="18"/>
      <c r="B61" s="21"/>
      <c r="C61" s="21"/>
      <c r="D61" s="21"/>
      <c r="E61" s="21"/>
      <c r="F61" s="21"/>
      <c r="G61" s="21"/>
      <c r="H61" s="3" t="str">
        <f t="array" ref="H61:K66">_xll.U.REPLACE(B6:E11,M62:M63,N62)</f>
        <v>Name</v>
      </c>
      <c r="I61" s="3" t="str">
        <v>Age</v>
      </c>
      <c r="J61" s="3" t="str">
        <v>Occupation</v>
      </c>
      <c r="K61" s="3" t="str">
        <v>Weight</v>
      </c>
      <c r="L61" s="21"/>
      <c r="M61" s="3" t="s">
        <v>772</v>
      </c>
      <c r="N61" s="3" t="s">
        <v>693</v>
      </c>
      <c r="O61" s="21"/>
      <c r="P61" s="21"/>
      <c r="Q61" s="21"/>
      <c r="R61" s="21"/>
      <c r="S61" s="20"/>
    </row>
    <row r="62" spans="1:19" x14ac:dyDescent="0.3">
      <c r="A62" s="18"/>
      <c r="B62" s="21"/>
      <c r="C62" s="21"/>
      <c r="D62" s="21"/>
      <c r="E62" s="21"/>
      <c r="F62" s="21"/>
      <c r="G62" s="21"/>
      <c r="H62" s="30" t="str">
        <v>bob jones</v>
      </c>
      <c r="I62" s="36">
        <v>37</v>
      </c>
      <c r="J62" s="30" t="str">
        <v>teacher</v>
      </c>
      <c r="K62" s="318">
        <v>182.4</v>
      </c>
      <c r="L62" s="21"/>
      <c r="M62" s="244" t="s">
        <v>1931</v>
      </c>
      <c r="N62" s="181" t="s">
        <v>1933</v>
      </c>
      <c r="O62" s="21"/>
      <c r="P62" s="21"/>
      <c r="Q62" s="21"/>
      <c r="R62" s="21"/>
      <c r="S62" s="20"/>
    </row>
    <row r="63" spans="1:19" x14ac:dyDescent="0.3">
      <c r="A63" s="18"/>
      <c r="B63" s="21"/>
      <c r="C63" s="21"/>
      <c r="D63" s="21"/>
      <c r="E63" s="21"/>
      <c r="F63" s="21"/>
      <c r="G63" s="21"/>
      <c r="H63" s="319" t="str">
        <v>Ms.</v>
      </c>
      <c r="I63" s="36">
        <v>22</v>
      </c>
      <c r="J63" s="30" t="str">
        <v>engineer</v>
      </c>
      <c r="K63" s="318">
        <v>114</v>
      </c>
      <c r="L63" s="21"/>
      <c r="M63" s="244" t="s">
        <v>1932</v>
      </c>
      <c r="N63" s="21"/>
      <c r="O63" s="21"/>
      <c r="P63" s="21"/>
      <c r="Q63" s="21"/>
      <c r="R63" s="21"/>
      <c r="S63" s="20"/>
    </row>
    <row r="64" spans="1:19" x14ac:dyDescent="0.3">
      <c r="A64" s="18"/>
      <c r="B64" s="21"/>
      <c r="C64" s="21"/>
      <c r="D64" s="21"/>
      <c r="E64" s="21"/>
      <c r="F64" s="21"/>
      <c r="G64" s="21"/>
      <c r="H64" s="30" t="str">
        <v>tom HOPPER</v>
      </c>
      <c r="I64" s="36" t="e">
        <v>#N/A</v>
      </c>
      <c r="J64" s="1" t="str">
        <v>chemist</v>
      </c>
      <c r="K64" s="318">
        <v>162.80000000000001</v>
      </c>
      <c r="L64" s="21"/>
      <c r="M64" s="21"/>
      <c r="N64" s="21"/>
      <c r="O64" s="21"/>
      <c r="P64" s="21"/>
      <c r="Q64" s="21"/>
      <c r="R64" s="21"/>
      <c r="S64" s="20"/>
    </row>
    <row r="65" spans="1:19" x14ac:dyDescent="0.3">
      <c r="A65" s="18"/>
      <c r="B65" s="21"/>
      <c r="C65" s="21"/>
      <c r="D65" s="21"/>
      <c r="E65" s="21"/>
      <c r="F65" s="21"/>
      <c r="G65" s="21"/>
      <c r="H65" s="30" t="str">
        <v>Billy Bragg</v>
      </c>
      <c r="I65" s="36">
        <v>30</v>
      </c>
      <c r="J65" s="1" t="str">
        <v>architect</v>
      </c>
      <c r="K65" s="318" t="str">
        <v/>
      </c>
      <c r="L65" s="21"/>
      <c r="M65" s="21"/>
      <c r="N65" s="21"/>
      <c r="O65" s="21"/>
      <c r="P65" s="21"/>
      <c r="Q65" s="21"/>
      <c r="R65" s="21"/>
      <c r="S65" s="20"/>
    </row>
    <row r="66" spans="1:19" x14ac:dyDescent="0.3">
      <c r="A66" s="18"/>
      <c r="B66" s="21"/>
      <c r="C66" s="21"/>
      <c r="D66" s="21"/>
      <c r="E66" s="21"/>
      <c r="F66" s="21"/>
      <c r="G66" s="21"/>
      <c r="H66" s="319" t="str">
        <v>Ms.</v>
      </c>
      <c r="I66" s="36">
        <v>50</v>
      </c>
      <c r="J66" s="1" t="str">
        <v>physicist</v>
      </c>
      <c r="K66" s="318">
        <v>122.3</v>
      </c>
      <c r="L66" s="21"/>
      <c r="M66" s="21"/>
      <c r="N66" s="21"/>
      <c r="O66" s="21"/>
      <c r="P66" s="21"/>
      <c r="Q66" s="21"/>
      <c r="R66" s="21"/>
      <c r="S66" s="20"/>
    </row>
    <row r="67" spans="1:19" x14ac:dyDescent="0.3">
      <c r="A67" s="18"/>
      <c r="B67" s="21"/>
      <c r="C67" s="21"/>
      <c r="D67" s="21"/>
      <c r="E67" s="21"/>
      <c r="F67" s="21"/>
      <c r="G67" s="21"/>
      <c r="H67" s="21"/>
      <c r="I67" s="21"/>
      <c r="J67" s="21"/>
      <c r="K67" s="21"/>
      <c r="L67" s="21"/>
      <c r="M67" s="21"/>
      <c r="N67" s="21"/>
      <c r="O67" s="21"/>
      <c r="P67" s="21"/>
      <c r="Q67" s="21"/>
      <c r="R67" s="21"/>
      <c r="S67" s="20"/>
    </row>
    <row r="68" spans="1:19" x14ac:dyDescent="0.3">
      <c r="A68" s="18"/>
      <c r="B68" s="21"/>
      <c r="C68" s="21"/>
      <c r="D68" s="21"/>
      <c r="E68" s="21"/>
      <c r="F68" s="21"/>
      <c r="G68" s="21"/>
      <c r="H68" s="21"/>
      <c r="I68" s="21"/>
      <c r="J68" s="21"/>
      <c r="K68" s="21"/>
      <c r="L68" s="21"/>
      <c r="M68" s="21"/>
      <c r="N68" s="21"/>
      <c r="O68" s="21"/>
      <c r="P68" s="21"/>
      <c r="Q68" s="21"/>
      <c r="R68" s="21"/>
      <c r="S68" s="20"/>
    </row>
    <row r="69" spans="1:19" x14ac:dyDescent="0.3">
      <c r="A69" s="18"/>
      <c r="B69" s="21"/>
      <c r="C69" s="21"/>
      <c r="D69" s="21"/>
      <c r="E69" s="21"/>
      <c r="F69" s="21"/>
      <c r="G69" s="21"/>
      <c r="H69" s="475" t="s">
        <v>3409</v>
      </c>
      <c r="I69" s="475"/>
      <c r="J69" s="475"/>
      <c r="K69" s="475"/>
      <c r="L69" s="21"/>
      <c r="M69" s="21"/>
      <c r="N69" s="21"/>
      <c r="O69" s="21"/>
      <c r="P69" s="21"/>
      <c r="Q69" s="21"/>
      <c r="R69" s="21"/>
      <c r="S69" s="20"/>
    </row>
    <row r="70" spans="1:19" x14ac:dyDescent="0.3">
      <c r="A70" s="18"/>
      <c r="B70" s="21"/>
      <c r="C70" s="21"/>
      <c r="D70" s="21"/>
      <c r="E70" s="21"/>
      <c r="F70" s="21"/>
      <c r="G70" s="21"/>
      <c r="H70" s="3" t="str">
        <f t="array" ref="H70:K75">_xll.U.REPLACE(B6:E11,M71:M73,N71)</f>
        <v>Name</v>
      </c>
      <c r="I70" s="3" t="str">
        <v>Age</v>
      </c>
      <c r="J70" s="3" t="str">
        <v>Occupation</v>
      </c>
      <c r="K70" s="3" t="str">
        <v>Weight</v>
      </c>
      <c r="L70" s="21"/>
      <c r="M70" s="3" t="s">
        <v>772</v>
      </c>
      <c r="N70" s="3" t="s">
        <v>693</v>
      </c>
      <c r="O70" s="21"/>
      <c r="P70" s="21"/>
      <c r="Q70" s="21"/>
      <c r="R70" s="21"/>
      <c r="S70" s="20"/>
    </row>
    <row r="71" spans="1:19" x14ac:dyDescent="0.3">
      <c r="A71" s="18"/>
      <c r="B71" s="21"/>
      <c r="C71" s="21"/>
      <c r="D71" s="21"/>
      <c r="E71" s="21"/>
      <c r="F71" s="21"/>
      <c r="G71" s="21"/>
      <c r="H71" s="30" t="str">
        <v>bob jones</v>
      </c>
      <c r="I71" s="36">
        <v>37</v>
      </c>
      <c r="J71" s="30" t="str">
        <v>teacher</v>
      </c>
      <c r="K71" s="318">
        <v>182.4</v>
      </c>
      <c r="L71" s="21"/>
      <c r="M71" s="244" t="s">
        <v>1936</v>
      </c>
      <c r="N71" s="181" t="s">
        <v>1934</v>
      </c>
      <c r="O71" s="21"/>
      <c r="P71" s="21"/>
      <c r="Q71" s="21"/>
      <c r="R71" s="21"/>
      <c r="S71" s="20"/>
    </row>
    <row r="72" spans="1:19" x14ac:dyDescent="0.3">
      <c r="A72" s="18"/>
      <c r="B72" s="21"/>
      <c r="C72" s="21"/>
      <c r="D72" s="21"/>
      <c r="E72" s="21"/>
      <c r="F72" s="21"/>
      <c r="G72" s="21"/>
      <c r="H72" s="319" t="str">
        <v>Ms. Smith</v>
      </c>
      <c r="I72" s="36">
        <v>22</v>
      </c>
      <c r="J72" s="30" t="str">
        <v>engineer</v>
      </c>
      <c r="K72" s="318">
        <v>114</v>
      </c>
      <c r="L72" s="21"/>
      <c r="M72" s="244" t="s">
        <v>1932</v>
      </c>
      <c r="N72" s="21"/>
      <c r="O72" s="21"/>
      <c r="P72" s="21"/>
      <c r="Q72" s="21"/>
      <c r="R72" s="21"/>
      <c r="S72" s="20"/>
    </row>
    <row r="73" spans="1:19" x14ac:dyDescent="0.3">
      <c r="A73" s="18"/>
      <c r="B73" s="21"/>
      <c r="C73" s="21"/>
      <c r="D73" s="21"/>
      <c r="E73" s="21"/>
      <c r="F73" s="21"/>
      <c r="G73" s="21"/>
      <c r="H73" s="30" t="str">
        <v>tom HOPPER</v>
      </c>
      <c r="I73" s="36" t="e">
        <v>#N/A</v>
      </c>
      <c r="J73" s="1" t="str">
        <v>chemist</v>
      </c>
      <c r="K73" s="318">
        <v>162.80000000000001</v>
      </c>
      <c r="L73" s="21"/>
      <c r="M73" s="244" t="s">
        <v>1935</v>
      </c>
      <c r="N73" s="21"/>
      <c r="O73" s="21"/>
      <c r="P73" s="21"/>
      <c r="Q73" s="21"/>
      <c r="R73" s="21"/>
      <c r="S73" s="20"/>
    </row>
    <row r="74" spans="1:19" x14ac:dyDescent="0.3">
      <c r="A74" s="18"/>
      <c r="B74" s="21"/>
      <c r="C74" s="21"/>
      <c r="D74" s="21"/>
      <c r="E74" s="21"/>
      <c r="F74" s="21"/>
      <c r="G74" s="21"/>
      <c r="H74" s="319" t="str">
        <v>BillyMs.g</v>
      </c>
      <c r="I74" s="36">
        <v>30</v>
      </c>
      <c r="J74" s="1" t="str">
        <v>architect</v>
      </c>
      <c r="K74" s="318" t="str">
        <v/>
      </c>
      <c r="L74" s="21"/>
      <c r="M74" s="106"/>
      <c r="N74" s="21"/>
      <c r="O74" s="21"/>
      <c r="P74" s="21"/>
      <c r="Q74" s="21"/>
      <c r="R74" s="21"/>
      <c r="S74" s="20"/>
    </row>
    <row r="75" spans="1:19" x14ac:dyDescent="0.3">
      <c r="A75" s="18"/>
      <c r="B75" s="21"/>
      <c r="C75" s="21"/>
      <c r="D75" s="21"/>
      <c r="E75" s="21"/>
      <c r="F75" s="21"/>
      <c r="G75" s="21"/>
      <c r="H75" s="319" t="str">
        <v>Ms.</v>
      </c>
      <c r="I75" s="36">
        <v>50</v>
      </c>
      <c r="J75" s="1" t="str">
        <v>physicist</v>
      </c>
      <c r="K75" s="318">
        <v>122.3</v>
      </c>
      <c r="L75" s="21"/>
      <c r="M75" s="21"/>
      <c r="N75" s="21"/>
      <c r="O75" s="21"/>
      <c r="P75" s="21"/>
      <c r="Q75" s="21"/>
      <c r="R75" s="21"/>
      <c r="S75" s="20"/>
    </row>
    <row r="76" spans="1:19" x14ac:dyDescent="0.3">
      <c r="A76" s="18"/>
      <c r="B76" s="21"/>
      <c r="C76" s="21"/>
      <c r="D76" s="21"/>
      <c r="E76" s="21"/>
      <c r="F76" s="21"/>
      <c r="G76" s="21"/>
      <c r="H76" s="21"/>
      <c r="I76" s="21"/>
      <c r="J76" s="21"/>
      <c r="K76" s="21"/>
      <c r="L76" s="21"/>
      <c r="M76" s="21"/>
      <c r="N76" s="21"/>
      <c r="O76" s="21"/>
      <c r="P76" s="21"/>
      <c r="Q76" s="21"/>
      <c r="R76" s="21"/>
      <c r="S76" s="20"/>
    </row>
    <row r="77" spans="1:19" x14ac:dyDescent="0.3">
      <c r="A77" s="18"/>
      <c r="B77" s="21"/>
      <c r="C77" s="21"/>
      <c r="D77" s="21"/>
      <c r="E77" s="21"/>
      <c r="F77" s="21"/>
      <c r="G77" s="21"/>
      <c r="H77" s="21"/>
      <c r="I77" s="21"/>
      <c r="J77" s="21"/>
      <c r="K77" s="21"/>
      <c r="L77" s="21"/>
      <c r="M77" s="21"/>
      <c r="N77" s="21"/>
      <c r="O77" s="21"/>
      <c r="P77" s="21"/>
      <c r="Q77" s="21"/>
      <c r="R77" s="21"/>
      <c r="S77" s="20"/>
    </row>
    <row r="78" spans="1:19" x14ac:dyDescent="0.3">
      <c r="A78" s="18"/>
      <c r="B78" s="21"/>
      <c r="C78" s="21"/>
      <c r="D78" s="21"/>
      <c r="E78" s="21"/>
      <c r="F78" s="21"/>
      <c r="G78" s="21"/>
      <c r="H78" s="21"/>
      <c r="I78" s="21"/>
      <c r="J78" s="21"/>
      <c r="K78" s="21"/>
      <c r="L78" s="21"/>
      <c r="M78" s="21"/>
      <c r="N78" s="21"/>
      <c r="O78" s="21"/>
      <c r="P78" s="21"/>
      <c r="Q78" s="21"/>
      <c r="R78" s="21"/>
      <c r="S78" s="20"/>
    </row>
    <row r="79" spans="1:19" x14ac:dyDescent="0.3">
      <c r="A79" s="18"/>
      <c r="B79" s="21"/>
      <c r="C79" s="21"/>
      <c r="D79" s="21"/>
      <c r="E79" s="21"/>
      <c r="F79" s="21"/>
      <c r="G79" s="21"/>
      <c r="H79" s="21"/>
      <c r="I79" s="21"/>
      <c r="J79" s="21"/>
      <c r="K79" s="21"/>
      <c r="L79" s="21"/>
      <c r="M79" s="21"/>
      <c r="N79" s="21"/>
      <c r="O79" s="21"/>
      <c r="P79" s="21"/>
      <c r="Q79" s="21"/>
      <c r="R79" s="21"/>
      <c r="S79" s="20"/>
    </row>
    <row r="80" spans="1:19" x14ac:dyDescent="0.3">
      <c r="A80" s="18"/>
      <c r="B80" s="21"/>
      <c r="C80" s="21"/>
      <c r="D80" s="21"/>
      <c r="E80" s="21"/>
      <c r="F80" s="21"/>
      <c r="G80" s="21"/>
      <c r="H80" s="21"/>
      <c r="I80" s="21"/>
      <c r="J80" s="21"/>
      <c r="K80" s="21"/>
      <c r="L80" s="21"/>
      <c r="M80" s="21"/>
      <c r="N80" s="21"/>
      <c r="O80" s="21"/>
      <c r="P80" s="21"/>
      <c r="Q80" s="21"/>
      <c r="R80" s="21"/>
      <c r="S80" s="20"/>
    </row>
    <row r="81" spans="1:19" x14ac:dyDescent="0.3">
      <c r="A81" s="18"/>
      <c r="B81" s="21"/>
      <c r="C81" s="21"/>
      <c r="D81" s="21"/>
      <c r="E81" s="21"/>
      <c r="F81" s="21"/>
      <c r="G81" s="21"/>
      <c r="H81" s="21"/>
      <c r="I81" s="21"/>
      <c r="J81" s="21"/>
      <c r="K81" s="21"/>
      <c r="L81" s="21"/>
      <c r="M81" s="21"/>
      <c r="N81" s="21"/>
      <c r="O81" s="21"/>
      <c r="P81" s="21"/>
      <c r="Q81" s="21"/>
      <c r="R81" s="21"/>
      <c r="S81" s="20"/>
    </row>
    <row r="82" spans="1:19" x14ac:dyDescent="0.3">
      <c r="A82" s="18"/>
      <c r="B82" s="21"/>
      <c r="C82" s="21"/>
      <c r="D82" s="21"/>
      <c r="E82" s="21"/>
      <c r="F82" s="21"/>
      <c r="G82" s="21"/>
      <c r="H82" s="21"/>
      <c r="I82" s="21"/>
      <c r="J82" s="21"/>
      <c r="K82" s="21"/>
      <c r="L82" s="21"/>
      <c r="M82" s="21"/>
      <c r="N82" s="21"/>
      <c r="O82" s="21"/>
      <c r="P82" s="21"/>
      <c r="Q82" s="21"/>
      <c r="R82" s="21"/>
      <c r="S82" s="20"/>
    </row>
    <row r="83" spans="1:19" x14ac:dyDescent="0.3">
      <c r="A83" s="18"/>
      <c r="B83" s="21"/>
      <c r="C83" s="21"/>
      <c r="D83" s="21"/>
      <c r="E83" s="21"/>
      <c r="F83" s="21"/>
      <c r="G83" s="21"/>
      <c r="H83" s="21"/>
      <c r="I83" s="21"/>
      <c r="J83" s="21"/>
      <c r="K83" s="21"/>
      <c r="L83" s="21"/>
      <c r="M83" s="21"/>
      <c r="N83" s="21"/>
      <c r="O83" s="21"/>
      <c r="P83" s="21"/>
      <c r="Q83" s="21"/>
      <c r="R83" s="21"/>
      <c r="S83" s="20"/>
    </row>
    <row r="84" spans="1:19" x14ac:dyDescent="0.3">
      <c r="A84" s="18"/>
      <c r="B84" s="21"/>
      <c r="C84" s="21"/>
      <c r="D84" s="21"/>
      <c r="E84" s="21"/>
      <c r="F84" s="21"/>
      <c r="G84" s="21"/>
      <c r="H84" s="21"/>
      <c r="I84" s="21"/>
      <c r="J84" s="21"/>
      <c r="K84" s="21"/>
      <c r="L84" s="21"/>
      <c r="M84" s="21"/>
      <c r="N84" s="21"/>
      <c r="O84" s="21"/>
      <c r="P84" s="21"/>
      <c r="Q84" s="21"/>
      <c r="R84" s="21"/>
      <c r="S84" s="20"/>
    </row>
    <row r="85" spans="1:19" x14ac:dyDescent="0.3">
      <c r="A85" s="18"/>
      <c r="B85" s="21"/>
      <c r="C85" s="21"/>
      <c r="D85" s="21"/>
      <c r="E85" s="21"/>
      <c r="F85" s="21"/>
      <c r="G85" s="21"/>
      <c r="H85" s="492" t="s">
        <v>3409</v>
      </c>
      <c r="I85" s="529"/>
      <c r="J85" s="529"/>
      <c r="K85" s="493"/>
      <c r="L85" s="21"/>
      <c r="M85" s="21"/>
      <c r="N85" s="21"/>
      <c r="O85" s="21"/>
      <c r="P85" s="21"/>
      <c r="Q85" s="21"/>
      <c r="R85" s="21"/>
      <c r="S85" s="20"/>
    </row>
    <row r="86" spans="1:19" x14ac:dyDescent="0.3">
      <c r="A86" s="18"/>
      <c r="B86" s="21"/>
      <c r="C86" s="21"/>
      <c r="D86" s="21"/>
      <c r="E86" s="21"/>
      <c r="F86" s="21"/>
      <c r="G86" s="21"/>
      <c r="H86" s="3" t="str">
        <f t="array" ref="H86:K91">_xll.U.REPLACE(B6:E11,M87,N87)</f>
        <v>Name</v>
      </c>
      <c r="I86" s="3" t="str">
        <v>Age</v>
      </c>
      <c r="J86" s="3" t="str">
        <v>Occupation</v>
      </c>
      <c r="K86" s="3" t="str">
        <v>Weight</v>
      </c>
      <c r="L86" s="21"/>
      <c r="M86" s="3" t="s">
        <v>772</v>
      </c>
      <c r="N86" s="3" t="s">
        <v>693</v>
      </c>
      <c r="O86" s="21"/>
      <c r="P86" s="21"/>
      <c r="Q86" s="21"/>
      <c r="R86" s="21"/>
      <c r="S86" s="20"/>
    </row>
    <row r="87" spans="1:19" x14ac:dyDescent="0.3">
      <c r="A87" s="18"/>
      <c r="B87" s="21"/>
      <c r="C87" s="21"/>
      <c r="D87" s="21"/>
      <c r="E87" s="21"/>
      <c r="F87" s="21"/>
      <c r="G87" s="21"/>
      <c r="H87" s="319" t="str">
        <v>surname: jones</v>
      </c>
      <c r="I87" s="325">
        <v>37</v>
      </c>
      <c r="J87" s="1" t="str">
        <v>teacher</v>
      </c>
      <c r="K87" s="325">
        <v>182.4</v>
      </c>
      <c r="L87" s="21"/>
      <c r="M87" s="244" t="s">
        <v>1941</v>
      </c>
      <c r="N87" s="181" t="s">
        <v>1942</v>
      </c>
      <c r="O87" s="21"/>
      <c r="P87" s="21"/>
      <c r="Q87" s="21"/>
      <c r="R87" s="21"/>
      <c r="S87" s="20"/>
    </row>
    <row r="88" spans="1:19" x14ac:dyDescent="0.3">
      <c r="A88" s="18"/>
      <c r="B88" s="21"/>
      <c r="C88" s="21"/>
      <c r="D88" s="21"/>
      <c r="E88" s="21"/>
      <c r="F88" s="21"/>
      <c r="G88" s="21"/>
      <c r="H88" s="319" t="str">
        <v>surname: Smith</v>
      </c>
      <c r="I88" s="325">
        <v>22</v>
      </c>
      <c r="J88" s="1" t="str">
        <v>engineer</v>
      </c>
      <c r="K88" s="325">
        <v>114</v>
      </c>
      <c r="L88" s="21"/>
      <c r="M88" s="21"/>
      <c r="N88" s="21"/>
      <c r="O88" s="21"/>
      <c r="P88" s="21"/>
      <c r="Q88" s="21"/>
      <c r="R88" s="21"/>
      <c r="S88" s="20"/>
    </row>
    <row r="89" spans="1:19" x14ac:dyDescent="0.3">
      <c r="A89" s="18"/>
      <c r="B89" s="21"/>
      <c r="C89" s="21"/>
      <c r="D89" s="21"/>
      <c r="E89" s="21"/>
      <c r="F89" s="21"/>
      <c r="G89" s="21"/>
      <c r="H89" s="319" t="str">
        <v>surname: HOPPER</v>
      </c>
      <c r="I89" s="321" t="e">
        <v>#N/A</v>
      </c>
      <c r="J89" s="1" t="str">
        <v>chemist</v>
      </c>
      <c r="K89" s="325">
        <v>162.80000000000001</v>
      </c>
      <c r="L89" s="21"/>
      <c r="M89" s="21"/>
      <c r="N89" s="21"/>
      <c r="O89" s="21"/>
      <c r="P89" s="21"/>
      <c r="Q89" s="21"/>
      <c r="R89" s="21"/>
      <c r="S89" s="20"/>
    </row>
    <row r="90" spans="1:19" x14ac:dyDescent="0.3">
      <c r="A90" s="18"/>
      <c r="B90" s="21"/>
      <c r="C90" s="21"/>
      <c r="D90" s="21"/>
      <c r="E90" s="21"/>
      <c r="F90" s="21"/>
      <c r="G90" s="21"/>
      <c r="H90" s="319" t="str">
        <v>surname: Bragg</v>
      </c>
      <c r="I90" s="325">
        <v>30</v>
      </c>
      <c r="J90" s="1" t="str">
        <v>architect</v>
      </c>
      <c r="K90" s="325" t="str">
        <v/>
      </c>
      <c r="L90" s="21"/>
      <c r="M90" s="21"/>
      <c r="N90" s="21"/>
      <c r="O90" s="21"/>
      <c r="P90" s="21"/>
      <c r="Q90" s="21"/>
      <c r="R90" s="21"/>
      <c r="S90" s="20"/>
    </row>
    <row r="91" spans="1:19" x14ac:dyDescent="0.3">
      <c r="A91" s="18"/>
      <c r="B91" s="21"/>
      <c r="C91" s="21"/>
      <c r="D91" s="21"/>
      <c r="E91" s="21"/>
      <c r="F91" s="21"/>
      <c r="G91" s="21"/>
      <c r="H91" s="319" t="str">
        <v>surname: Lukin</v>
      </c>
      <c r="I91" s="325">
        <v>50</v>
      </c>
      <c r="J91" s="1" t="str">
        <v>physicist</v>
      </c>
      <c r="K91" s="325">
        <v>122.3</v>
      </c>
      <c r="L91" s="21"/>
      <c r="M91" s="106"/>
      <c r="N91" s="21"/>
      <c r="O91" s="21"/>
      <c r="P91" s="21"/>
      <c r="Q91" s="21"/>
      <c r="R91" s="21"/>
      <c r="S91" s="20"/>
    </row>
    <row r="92" spans="1:19" x14ac:dyDescent="0.3">
      <c r="A92" s="18"/>
      <c r="B92" s="21"/>
      <c r="C92" s="21"/>
      <c r="D92" s="21"/>
      <c r="E92" s="21"/>
      <c r="F92" s="21"/>
      <c r="G92" s="21"/>
      <c r="H92" s="21"/>
      <c r="I92" s="21"/>
      <c r="J92" s="21"/>
      <c r="K92" s="21"/>
      <c r="L92" s="21"/>
      <c r="M92" s="21"/>
      <c r="N92" s="21"/>
      <c r="O92" s="21"/>
      <c r="P92" s="21"/>
      <c r="Q92" s="21"/>
      <c r="R92" s="21"/>
      <c r="S92" s="20"/>
    </row>
    <row r="93" spans="1:19" x14ac:dyDescent="0.3">
      <c r="A93" s="18"/>
      <c r="B93" s="21"/>
      <c r="C93" s="21"/>
      <c r="D93" s="21"/>
      <c r="E93" s="21"/>
      <c r="F93" s="21"/>
      <c r="G93" s="21"/>
      <c r="H93" s="21"/>
      <c r="I93" s="21"/>
      <c r="J93" s="21"/>
      <c r="K93" s="21"/>
      <c r="L93" s="21"/>
      <c r="M93" s="21"/>
      <c r="N93" s="21"/>
      <c r="O93" s="21"/>
      <c r="P93" s="21"/>
      <c r="Q93" s="21"/>
      <c r="R93" s="21"/>
      <c r="S93" s="20"/>
    </row>
    <row r="94" spans="1:19" x14ac:dyDescent="0.3">
      <c r="A94" s="18"/>
      <c r="B94" s="21"/>
      <c r="C94" s="21"/>
      <c r="D94" s="21"/>
      <c r="E94" s="21"/>
      <c r="F94" s="21"/>
      <c r="G94" s="21"/>
      <c r="H94" s="21"/>
      <c r="I94" s="21"/>
      <c r="J94" s="21"/>
      <c r="K94" s="21"/>
      <c r="L94" s="21"/>
      <c r="M94" s="106"/>
      <c r="N94" s="21"/>
      <c r="O94" s="21"/>
      <c r="P94" s="21"/>
      <c r="Q94" s="21"/>
      <c r="R94" s="21"/>
      <c r="S94" s="20"/>
    </row>
    <row r="95" spans="1:19" x14ac:dyDescent="0.3">
      <c r="A95" s="18"/>
      <c r="B95" s="21"/>
      <c r="C95" s="21"/>
      <c r="D95" s="21"/>
      <c r="E95" s="21"/>
      <c r="F95" s="21"/>
      <c r="G95" s="21"/>
      <c r="H95" s="21"/>
      <c r="I95" s="21"/>
      <c r="J95" s="21"/>
      <c r="K95" s="21"/>
      <c r="L95" s="21"/>
      <c r="M95" s="106"/>
      <c r="N95" s="21"/>
      <c r="O95" s="21"/>
      <c r="P95" s="21"/>
      <c r="Q95" s="21"/>
      <c r="R95" s="21"/>
      <c r="S95" s="20"/>
    </row>
    <row r="96" spans="1:19" x14ac:dyDescent="0.3">
      <c r="A96" s="18"/>
      <c r="B96" s="21"/>
      <c r="C96" s="21"/>
      <c r="D96" s="21"/>
      <c r="E96" s="21"/>
      <c r="F96" s="21"/>
      <c r="G96" s="21"/>
      <c r="H96" s="492" t="s">
        <v>3409</v>
      </c>
      <c r="I96" s="529"/>
      <c r="J96" s="529"/>
      <c r="K96" s="493"/>
      <c r="L96" s="21"/>
      <c r="M96" s="21"/>
      <c r="N96" s="21"/>
      <c r="O96" s="21"/>
      <c r="P96" s="21"/>
      <c r="Q96" s="21"/>
      <c r="R96" s="21"/>
      <c r="S96" s="20"/>
    </row>
    <row r="97" spans="1:19" x14ac:dyDescent="0.3">
      <c r="A97" s="18"/>
      <c r="B97" s="21"/>
      <c r="C97" s="21"/>
      <c r="D97" s="21"/>
      <c r="E97" s="21"/>
      <c r="F97" s="21"/>
      <c r="G97" s="21"/>
      <c r="H97" s="3" t="str">
        <f t="array" ref="H97:K102">_xll.U.REPLACE(B6:E11,N97,N98,,N100,N99,,N99)</f>
        <v>Name</v>
      </c>
      <c r="I97" s="3" t="str">
        <v>Age</v>
      </c>
      <c r="J97" s="3" t="str">
        <v>Occupation</v>
      </c>
      <c r="K97" s="3" t="str">
        <v>Weight</v>
      </c>
      <c r="L97" s="21"/>
      <c r="M97" s="3" t="s">
        <v>772</v>
      </c>
      <c r="N97" s="244" t="s">
        <v>1943</v>
      </c>
      <c r="O97" s="21"/>
      <c r="P97" s="21"/>
      <c r="Q97" s="21"/>
      <c r="R97" s="21"/>
      <c r="S97" s="20"/>
    </row>
    <row r="98" spans="1:19" x14ac:dyDescent="0.3">
      <c r="A98" s="18"/>
      <c r="B98" s="21"/>
      <c r="C98" s="21"/>
      <c r="D98" s="21"/>
      <c r="E98" s="21"/>
      <c r="F98" s="21"/>
      <c r="G98" s="21"/>
      <c r="H98" s="319" t="str">
        <v>Jones, Bob</v>
      </c>
      <c r="I98" s="325">
        <v>37</v>
      </c>
      <c r="J98" s="1" t="str">
        <v>teacher</v>
      </c>
      <c r="K98" s="325">
        <v>182.4</v>
      </c>
      <c r="L98" s="21"/>
      <c r="M98" s="3" t="s">
        <v>693</v>
      </c>
      <c r="N98" s="181" t="s">
        <v>1945</v>
      </c>
      <c r="O98" s="21"/>
      <c r="P98" s="21"/>
      <c r="Q98" s="21"/>
      <c r="R98" s="21"/>
      <c r="S98" s="20"/>
    </row>
    <row r="99" spans="1:19" x14ac:dyDescent="0.3">
      <c r="A99" s="18"/>
      <c r="B99" s="21"/>
      <c r="C99" s="21"/>
      <c r="D99" s="21"/>
      <c r="E99" s="21"/>
      <c r="F99" s="21"/>
      <c r="G99" s="21"/>
      <c r="H99" s="319" t="str">
        <v>Smith, Sally</v>
      </c>
      <c r="I99" s="325">
        <v>22</v>
      </c>
      <c r="J99" s="1" t="str">
        <v>engineer</v>
      </c>
      <c r="K99" s="325">
        <v>114</v>
      </c>
      <c r="L99" s="21"/>
      <c r="M99" s="3" t="s">
        <v>1944</v>
      </c>
      <c r="N99" s="181" t="s">
        <v>679</v>
      </c>
      <c r="O99" s="21"/>
      <c r="P99" s="21"/>
      <c r="Q99" s="21"/>
      <c r="R99" s="21"/>
      <c r="S99" s="20"/>
    </row>
    <row r="100" spans="1:19" x14ac:dyDescent="0.3">
      <c r="A100" s="18"/>
      <c r="B100" s="21"/>
      <c r="C100" s="21"/>
      <c r="D100" s="21"/>
      <c r="E100" s="21"/>
      <c r="F100" s="21"/>
      <c r="G100" s="21"/>
      <c r="H100" s="319" t="str">
        <v>Hopper, Tom</v>
      </c>
      <c r="I100" s="321" t="e">
        <v>#N/A</v>
      </c>
      <c r="J100" s="1" t="str">
        <v>chemist</v>
      </c>
      <c r="K100" s="325">
        <v>162.80000000000001</v>
      </c>
      <c r="L100" s="21"/>
      <c r="M100" s="3" t="s">
        <v>1928</v>
      </c>
      <c r="N100" s="181">
        <v>2</v>
      </c>
      <c r="O100" s="21"/>
      <c r="P100" s="21"/>
      <c r="Q100" s="21"/>
      <c r="R100" s="21"/>
      <c r="S100" s="20"/>
    </row>
    <row r="101" spans="1:19" x14ac:dyDescent="0.3">
      <c r="A101" s="18"/>
      <c r="B101" s="21"/>
      <c r="C101" s="21"/>
      <c r="D101" s="21"/>
      <c r="E101" s="21"/>
      <c r="F101" s="21"/>
      <c r="G101" s="21"/>
      <c r="H101" s="319" t="str">
        <v>Bragg, Billy</v>
      </c>
      <c r="I101" s="325">
        <v>30</v>
      </c>
      <c r="J101" s="1" t="str">
        <v>architect</v>
      </c>
      <c r="K101" s="325" t="str">
        <v/>
      </c>
      <c r="L101" s="21"/>
      <c r="M101" s="106"/>
      <c r="N101" s="21"/>
      <c r="O101" s="21"/>
      <c r="P101" s="21"/>
      <c r="Q101" s="21"/>
      <c r="R101" s="21"/>
      <c r="S101" s="20"/>
    </row>
    <row r="102" spans="1:19" x14ac:dyDescent="0.3">
      <c r="A102" s="18"/>
      <c r="B102" s="21"/>
      <c r="C102" s="21"/>
      <c r="D102" s="21"/>
      <c r="E102" s="21"/>
      <c r="F102" s="21"/>
      <c r="G102" s="21"/>
      <c r="H102" s="319" t="str">
        <v>Lukin, Anna</v>
      </c>
      <c r="I102" s="325">
        <v>50</v>
      </c>
      <c r="J102" s="1" t="str">
        <v>physicist</v>
      </c>
      <c r="K102" s="325">
        <v>122.3</v>
      </c>
      <c r="L102" s="21"/>
      <c r="M102" s="106"/>
      <c r="N102" s="21"/>
      <c r="O102" s="21"/>
      <c r="P102" s="21"/>
      <c r="Q102" s="21"/>
      <c r="R102" s="21"/>
      <c r="S102" s="20"/>
    </row>
    <row r="103" spans="1:19" x14ac:dyDescent="0.3">
      <c r="A103" s="18"/>
      <c r="B103" s="21"/>
      <c r="C103" s="21"/>
      <c r="D103" s="21"/>
      <c r="E103" s="21"/>
      <c r="F103" s="21"/>
      <c r="G103" s="21"/>
      <c r="H103" s="21"/>
      <c r="I103" s="21"/>
      <c r="J103" s="21"/>
      <c r="K103" s="21"/>
      <c r="L103" s="21"/>
      <c r="M103" s="21"/>
      <c r="N103" s="21"/>
      <c r="O103" s="21"/>
      <c r="P103" s="21"/>
      <c r="Q103" s="21"/>
      <c r="R103" s="21"/>
      <c r="S103" s="20"/>
    </row>
    <row r="104" spans="1:19" x14ac:dyDescent="0.3">
      <c r="A104" s="18"/>
      <c r="B104" s="21"/>
      <c r="C104" s="21"/>
      <c r="D104" s="21"/>
      <c r="E104" s="21"/>
      <c r="F104" s="21"/>
      <c r="G104" s="21"/>
      <c r="H104" s="21"/>
      <c r="I104" s="21"/>
      <c r="J104" s="21"/>
      <c r="K104" s="21"/>
      <c r="L104" s="21"/>
      <c r="M104" s="21"/>
      <c r="N104" s="21"/>
      <c r="O104" s="21"/>
      <c r="P104" s="21"/>
      <c r="Q104" s="21"/>
      <c r="R104" s="21"/>
      <c r="S104" s="20"/>
    </row>
    <row r="105" spans="1:19" x14ac:dyDescent="0.3">
      <c r="A105" s="18"/>
      <c r="B105" s="21"/>
      <c r="C105" s="21"/>
      <c r="D105" s="21"/>
      <c r="E105" s="21"/>
      <c r="F105" s="21"/>
      <c r="G105" s="21"/>
      <c r="H105" s="21"/>
      <c r="I105" s="21"/>
      <c r="J105" s="21"/>
      <c r="K105" s="21"/>
      <c r="L105" s="21"/>
      <c r="M105" s="21"/>
      <c r="N105" s="21"/>
      <c r="O105" s="21"/>
      <c r="P105" s="21"/>
      <c r="Q105" s="21"/>
      <c r="R105" s="21"/>
      <c r="S105" s="20"/>
    </row>
    <row r="106" spans="1:19" x14ac:dyDescent="0.3">
      <c r="A106" s="18"/>
      <c r="B106" s="21"/>
      <c r="C106" s="21"/>
      <c r="D106" s="21"/>
      <c r="E106" s="21"/>
      <c r="F106" s="21"/>
      <c r="G106" s="21"/>
      <c r="H106" s="21"/>
      <c r="I106" s="21"/>
      <c r="J106" s="21"/>
      <c r="K106" s="21"/>
      <c r="L106" s="21"/>
      <c r="M106" s="21"/>
      <c r="N106" s="21"/>
      <c r="O106" s="21"/>
      <c r="P106" s="21"/>
      <c r="Q106" s="21"/>
      <c r="R106" s="21"/>
      <c r="S106" s="20"/>
    </row>
    <row r="107" spans="1:19" x14ac:dyDescent="0.3">
      <c r="A107" s="18"/>
      <c r="B107" s="21"/>
      <c r="C107" s="21"/>
      <c r="D107" s="21"/>
      <c r="E107" s="21"/>
      <c r="F107" s="21"/>
      <c r="G107" s="21"/>
      <c r="H107" s="21"/>
      <c r="I107" s="21"/>
      <c r="J107" s="21"/>
      <c r="K107" s="21"/>
      <c r="L107" s="21"/>
      <c r="M107" s="21"/>
      <c r="N107" s="21"/>
      <c r="O107" s="21"/>
      <c r="P107" s="21"/>
      <c r="Q107" s="21"/>
      <c r="R107" s="21"/>
      <c r="S107" s="20"/>
    </row>
    <row r="108" spans="1:19" x14ac:dyDescent="0.3">
      <c r="A108" s="18"/>
      <c r="B108" s="21"/>
      <c r="C108" s="21"/>
      <c r="D108" s="21"/>
      <c r="E108" s="21"/>
      <c r="F108" s="21"/>
      <c r="G108" s="21"/>
      <c r="H108" s="21"/>
      <c r="I108" s="21"/>
      <c r="J108" s="21"/>
      <c r="K108" s="21"/>
      <c r="L108" s="21"/>
      <c r="M108" s="21"/>
      <c r="N108" s="21"/>
      <c r="O108" s="21"/>
      <c r="P108" s="21"/>
      <c r="Q108" s="21"/>
      <c r="R108" s="21"/>
      <c r="S108" s="20"/>
    </row>
    <row r="109" spans="1:19" x14ac:dyDescent="0.3">
      <c r="A109" s="18"/>
      <c r="B109" s="21"/>
      <c r="C109" s="21"/>
      <c r="D109" s="21"/>
      <c r="E109" s="21"/>
      <c r="F109" s="21"/>
      <c r="G109" s="21"/>
      <c r="H109" s="475" t="s">
        <v>3409</v>
      </c>
      <c r="I109" s="475"/>
      <c r="J109" s="475"/>
      <c r="K109" s="475"/>
      <c r="L109" s="21"/>
      <c r="M109" s="21"/>
      <c r="N109" s="21"/>
      <c r="O109" s="21"/>
      <c r="P109" s="21"/>
      <c r="Q109" s="21"/>
      <c r="R109" s="21"/>
      <c r="S109" s="20"/>
    </row>
    <row r="110" spans="1:19" x14ac:dyDescent="0.3">
      <c r="A110" s="18"/>
      <c r="B110" s="21"/>
      <c r="C110" s="21"/>
      <c r="D110" s="21"/>
      <c r="E110" s="21"/>
      <c r="F110" s="21"/>
      <c r="G110" s="21"/>
      <c r="H110" s="3" t="str">
        <f t="array" ref="H110:K115">_xll.U.REPLACE(B6:E11,M111,N111)</f>
        <v>Name</v>
      </c>
      <c r="I110" s="3" t="str">
        <v>Age</v>
      </c>
      <c r="J110" s="3" t="str">
        <v>Occupation</v>
      </c>
      <c r="K110" s="3" t="str">
        <v>Weight</v>
      </c>
      <c r="L110" s="21"/>
      <c r="M110" s="3" t="s">
        <v>772</v>
      </c>
      <c r="N110" s="3" t="s">
        <v>693</v>
      </c>
      <c r="O110" s="21"/>
      <c r="P110" s="21"/>
      <c r="Q110" s="21"/>
      <c r="R110" s="21"/>
      <c r="S110" s="20"/>
    </row>
    <row r="111" spans="1:19" x14ac:dyDescent="0.3">
      <c r="A111" s="18"/>
      <c r="B111" s="21"/>
      <c r="C111" s="21"/>
      <c r="D111" s="21"/>
      <c r="E111" s="21"/>
      <c r="F111" s="21"/>
      <c r="G111" s="21"/>
      <c r="H111" s="319" t="str">
        <v>Bob Jones</v>
      </c>
      <c r="I111" s="36">
        <v>37</v>
      </c>
      <c r="J111" s="319" t="str">
        <v>Teacher</v>
      </c>
      <c r="K111" s="318">
        <v>182.4</v>
      </c>
      <c r="L111" s="21"/>
      <c r="M111" s="244" t="s">
        <v>1810</v>
      </c>
      <c r="N111" s="181" t="s">
        <v>1938</v>
      </c>
      <c r="O111" s="21"/>
      <c r="P111" s="21"/>
      <c r="Q111" s="21"/>
      <c r="R111" s="21"/>
      <c r="S111" s="20"/>
    </row>
    <row r="112" spans="1:19" x14ac:dyDescent="0.3">
      <c r="A112" s="18"/>
      <c r="B112" s="21"/>
      <c r="C112" s="21"/>
      <c r="D112" s="21"/>
      <c r="E112" s="21"/>
      <c r="F112" s="21"/>
      <c r="G112" s="21"/>
      <c r="H112" s="30" t="str">
        <v>Sally Smith</v>
      </c>
      <c r="I112" s="36">
        <v>22</v>
      </c>
      <c r="J112" s="319" t="str">
        <v>Engineer</v>
      </c>
      <c r="K112" s="318">
        <v>114</v>
      </c>
      <c r="L112" s="21"/>
      <c r="M112" s="21"/>
      <c r="N112" s="21"/>
      <c r="O112" s="21"/>
      <c r="P112" s="21"/>
      <c r="Q112" s="21"/>
      <c r="R112" s="21"/>
      <c r="S112" s="20"/>
    </row>
    <row r="113" spans="1:19" x14ac:dyDescent="0.3">
      <c r="A113" s="18"/>
      <c r="B113" s="21"/>
      <c r="C113" s="21"/>
      <c r="D113" s="21"/>
      <c r="E113" s="21"/>
      <c r="F113" s="21"/>
      <c r="G113" s="21"/>
      <c r="H113" s="319" t="str">
        <v>Tom Hopper</v>
      </c>
      <c r="I113" s="36" t="e">
        <v>#N/A</v>
      </c>
      <c r="J113" s="319" t="str">
        <v>Chemist</v>
      </c>
      <c r="K113" s="318">
        <v>162.80000000000001</v>
      </c>
      <c r="L113" s="21"/>
      <c r="M113" s="21"/>
      <c r="N113" s="21"/>
      <c r="O113" s="21"/>
      <c r="P113" s="21"/>
      <c r="Q113" s="21"/>
      <c r="R113" s="21"/>
      <c r="S113" s="20"/>
    </row>
    <row r="114" spans="1:19" x14ac:dyDescent="0.3">
      <c r="A114" s="18"/>
      <c r="B114" s="21"/>
      <c r="C114" s="21"/>
      <c r="D114" s="21"/>
      <c r="E114" s="21"/>
      <c r="F114" s="21"/>
      <c r="G114" s="21"/>
      <c r="H114" s="30" t="str">
        <v>Billy Bragg</v>
      </c>
      <c r="I114" s="36">
        <v>30</v>
      </c>
      <c r="J114" s="319" t="str">
        <v>Architect</v>
      </c>
      <c r="K114" s="318" t="str">
        <v/>
      </c>
      <c r="L114" s="21"/>
      <c r="M114" s="106"/>
      <c r="N114" s="21"/>
      <c r="O114" s="21"/>
      <c r="P114" s="21"/>
      <c r="Q114" s="21"/>
      <c r="R114" s="21"/>
      <c r="S114" s="20"/>
    </row>
    <row r="115" spans="1:19" x14ac:dyDescent="0.3">
      <c r="A115" s="18"/>
      <c r="B115" s="21"/>
      <c r="C115" s="21"/>
      <c r="D115" s="21"/>
      <c r="E115" s="21"/>
      <c r="F115" s="21"/>
      <c r="G115" s="21"/>
      <c r="H115" s="30" t="str">
        <v>Anna Lukin</v>
      </c>
      <c r="I115" s="36">
        <v>50</v>
      </c>
      <c r="J115" s="319" t="str">
        <v>Physicist</v>
      </c>
      <c r="K115" s="318">
        <v>122.3</v>
      </c>
      <c r="L115" s="21"/>
      <c r="M115" s="21"/>
      <c r="N115" s="21"/>
      <c r="O115" s="21"/>
      <c r="P115" s="21"/>
      <c r="Q115" s="21"/>
      <c r="R115" s="21"/>
      <c r="S115" s="20"/>
    </row>
    <row r="116" spans="1:19" x14ac:dyDescent="0.3">
      <c r="A116" s="18"/>
      <c r="B116" s="21"/>
      <c r="C116" s="21"/>
      <c r="D116" s="21"/>
      <c r="E116" s="21"/>
      <c r="F116" s="21"/>
      <c r="G116" s="21"/>
      <c r="H116" s="21"/>
      <c r="I116" s="21"/>
      <c r="J116" s="21"/>
      <c r="K116" s="21"/>
      <c r="L116" s="21"/>
      <c r="M116" s="21"/>
      <c r="N116" s="21"/>
      <c r="O116" s="21"/>
      <c r="P116" s="21"/>
      <c r="Q116" s="21"/>
      <c r="R116" s="21"/>
      <c r="S116" s="20"/>
    </row>
    <row r="117" spans="1:19" x14ac:dyDescent="0.3">
      <c r="A117" s="18"/>
      <c r="B117" s="21"/>
      <c r="C117" s="21"/>
      <c r="D117" s="21"/>
      <c r="E117" s="21"/>
      <c r="F117" s="21"/>
      <c r="G117" s="21"/>
      <c r="H117" s="21"/>
      <c r="I117" s="21"/>
      <c r="J117" s="21"/>
      <c r="K117" s="21"/>
      <c r="L117" s="21"/>
      <c r="M117" s="21"/>
      <c r="N117" s="21"/>
      <c r="O117" s="21"/>
      <c r="P117" s="21"/>
      <c r="Q117" s="21"/>
      <c r="R117" s="21"/>
      <c r="S117" s="20"/>
    </row>
    <row r="118" spans="1:19" x14ac:dyDescent="0.3">
      <c r="A118" s="18"/>
      <c r="B118" s="21"/>
      <c r="C118" s="21"/>
      <c r="D118" s="21"/>
      <c r="E118" s="21"/>
      <c r="F118" s="21"/>
      <c r="G118" s="21"/>
      <c r="H118" s="21"/>
      <c r="I118" s="21"/>
      <c r="J118" s="21"/>
      <c r="K118" s="21"/>
      <c r="L118" s="21"/>
      <c r="M118" s="21"/>
      <c r="N118" s="21"/>
      <c r="O118" s="21"/>
      <c r="P118" s="21"/>
      <c r="Q118" s="21"/>
      <c r="R118" s="21"/>
      <c r="S118" s="20"/>
    </row>
    <row r="119" spans="1:19" x14ac:dyDescent="0.3">
      <c r="A119" s="18"/>
      <c r="B119" s="21"/>
      <c r="C119" s="21"/>
      <c r="D119" s="21"/>
      <c r="E119" s="21"/>
      <c r="F119" s="21"/>
      <c r="G119" s="21"/>
      <c r="H119" s="21"/>
      <c r="I119" s="21"/>
      <c r="J119" s="21"/>
      <c r="K119" s="21"/>
      <c r="L119" s="21"/>
      <c r="M119" s="21"/>
      <c r="N119" s="21"/>
      <c r="O119" s="21"/>
      <c r="P119" s="21"/>
      <c r="Q119" s="21"/>
      <c r="R119" s="21"/>
      <c r="S119" s="20"/>
    </row>
    <row r="120" spans="1:19" x14ac:dyDescent="0.3">
      <c r="A120" s="18"/>
      <c r="B120" s="21"/>
      <c r="C120" s="21"/>
      <c r="D120" s="21"/>
      <c r="E120" s="21"/>
      <c r="F120" s="21"/>
      <c r="G120" s="21"/>
      <c r="H120" s="21"/>
      <c r="I120" s="21"/>
      <c r="J120" s="21"/>
      <c r="K120" s="21"/>
      <c r="L120" s="21"/>
      <c r="M120" s="21"/>
      <c r="N120" s="21"/>
      <c r="O120" s="21"/>
      <c r="P120" s="21"/>
      <c r="Q120" s="21"/>
      <c r="R120" s="21"/>
      <c r="S120" s="20"/>
    </row>
    <row r="121" spans="1:19" x14ac:dyDescent="0.3">
      <c r="A121" s="18"/>
      <c r="B121" s="21"/>
      <c r="C121" s="21"/>
      <c r="D121" s="21"/>
      <c r="E121" s="21"/>
      <c r="F121" s="21"/>
      <c r="G121" s="21"/>
      <c r="H121" s="475" t="s">
        <v>3409</v>
      </c>
      <c r="I121" s="475"/>
      <c r="J121" s="475"/>
      <c r="K121" s="475"/>
      <c r="L121" s="21"/>
      <c r="M121" s="21"/>
      <c r="N121" s="21"/>
      <c r="O121" s="21"/>
      <c r="P121" s="21"/>
      <c r="Q121" s="21"/>
      <c r="R121" s="21"/>
      <c r="S121" s="20"/>
    </row>
    <row r="122" spans="1:19" x14ac:dyDescent="0.3">
      <c r="A122" s="18"/>
      <c r="B122" s="21"/>
      <c r="C122" s="21"/>
      <c r="D122" s="21"/>
      <c r="E122" s="21"/>
      <c r="F122" s="21"/>
      <c r="G122" s="21"/>
      <c r="H122" s="3" t="str">
        <f t="array" ref="H122:K127">_xll.U.REPLACE(B6:E11,M123,N123)</f>
        <v>Name</v>
      </c>
      <c r="I122" s="3" t="str">
        <v>Age</v>
      </c>
      <c r="J122" s="3" t="str">
        <v>Occupation</v>
      </c>
      <c r="K122" s="3" t="str">
        <v>Weight</v>
      </c>
      <c r="L122" s="21"/>
      <c r="M122" s="3" t="s">
        <v>772</v>
      </c>
      <c r="N122" s="3" t="s">
        <v>693</v>
      </c>
      <c r="O122" s="21"/>
      <c r="P122" s="21"/>
      <c r="Q122" s="21"/>
      <c r="R122" s="21"/>
      <c r="S122" s="20"/>
    </row>
    <row r="123" spans="1:19" x14ac:dyDescent="0.3">
      <c r="A123" s="18"/>
      <c r="B123" s="21"/>
      <c r="C123" s="21"/>
      <c r="D123" s="21"/>
      <c r="E123" s="21"/>
      <c r="F123" s="21"/>
      <c r="G123" s="21"/>
      <c r="H123" s="30" t="str">
        <v>bob jones</v>
      </c>
      <c r="I123" s="323">
        <v>74.099999999999994</v>
      </c>
      <c r="J123" s="30" t="str">
        <v>teacher</v>
      </c>
      <c r="K123" s="323">
        <v>364.90000000000003</v>
      </c>
      <c r="L123" s="21"/>
      <c r="M123" s="244" t="s">
        <v>208</v>
      </c>
      <c r="N123" s="181" t="s">
        <v>1939</v>
      </c>
      <c r="O123" s="21"/>
      <c r="P123" s="21"/>
      <c r="Q123" s="21"/>
      <c r="R123" s="21"/>
      <c r="S123" s="20"/>
    </row>
    <row r="124" spans="1:19" x14ac:dyDescent="0.3">
      <c r="A124" s="18"/>
      <c r="B124" s="21"/>
      <c r="C124" s="21"/>
      <c r="D124" s="21"/>
      <c r="E124" s="21"/>
      <c r="F124" s="21"/>
      <c r="G124" s="21"/>
      <c r="H124" s="30" t="str">
        <v>Sally Smith</v>
      </c>
      <c r="I124" s="323">
        <v>44.1</v>
      </c>
      <c r="J124" s="30" t="str">
        <v>engineer</v>
      </c>
      <c r="K124" s="323">
        <v>228.1</v>
      </c>
      <c r="L124" s="21"/>
      <c r="M124" s="21"/>
      <c r="N124" s="21"/>
      <c r="O124" s="21"/>
      <c r="P124" s="21"/>
      <c r="Q124" s="21"/>
      <c r="R124" s="21"/>
      <c r="S124" s="20"/>
    </row>
    <row r="125" spans="1:19" x14ac:dyDescent="0.3">
      <c r="A125" s="18"/>
      <c r="B125" s="21"/>
      <c r="C125" s="21"/>
      <c r="D125" s="21"/>
      <c r="E125" s="21"/>
      <c r="F125" s="21"/>
      <c r="G125" s="21"/>
      <c r="H125" s="30" t="str">
        <v>tom HOPPER</v>
      </c>
      <c r="I125" s="36" t="e">
        <v>#N/A</v>
      </c>
      <c r="J125" s="1" t="str">
        <v>chemist</v>
      </c>
      <c r="K125" s="323">
        <v>325.70000000000005</v>
      </c>
      <c r="L125" s="21"/>
      <c r="M125" s="21"/>
      <c r="N125" s="21"/>
      <c r="O125" s="21"/>
      <c r="P125" s="21"/>
      <c r="Q125" s="21"/>
      <c r="R125" s="21"/>
      <c r="S125" s="20"/>
    </row>
    <row r="126" spans="1:19" x14ac:dyDescent="0.3">
      <c r="A126" s="18"/>
      <c r="B126" s="21"/>
      <c r="C126" s="21"/>
      <c r="D126" s="21"/>
      <c r="E126" s="21"/>
      <c r="F126" s="21"/>
      <c r="G126" s="21"/>
      <c r="H126" s="30" t="str">
        <v>Billy Bragg</v>
      </c>
      <c r="I126" s="323">
        <v>60.1</v>
      </c>
      <c r="J126" s="1" t="str">
        <v>architect</v>
      </c>
      <c r="K126" s="318" t="str">
        <v/>
      </c>
      <c r="L126" s="21"/>
      <c r="M126" s="106"/>
      <c r="N126" s="21"/>
      <c r="O126" s="21"/>
      <c r="P126" s="21"/>
      <c r="Q126" s="21"/>
      <c r="R126" s="21"/>
      <c r="S126" s="20"/>
    </row>
    <row r="127" spans="1:19" x14ac:dyDescent="0.3">
      <c r="A127" s="18"/>
      <c r="B127" s="21"/>
      <c r="C127" s="21"/>
      <c r="D127" s="21"/>
      <c r="E127" s="21"/>
      <c r="F127" s="21"/>
      <c r="G127" s="21"/>
      <c r="H127" s="30" t="str">
        <v>Anna Lukin</v>
      </c>
      <c r="I127" s="323">
        <v>100.1</v>
      </c>
      <c r="J127" s="1" t="str">
        <v>physicist</v>
      </c>
      <c r="K127" s="323">
        <v>244.7</v>
      </c>
      <c r="L127" s="21"/>
      <c r="M127" s="21"/>
      <c r="N127" s="21"/>
      <c r="O127" s="21"/>
      <c r="P127" s="21"/>
      <c r="Q127" s="21"/>
      <c r="R127" s="21"/>
      <c r="S127" s="20"/>
    </row>
    <row r="128" spans="1:19" x14ac:dyDescent="0.3">
      <c r="A128" s="18"/>
      <c r="B128" s="21"/>
      <c r="C128" s="21"/>
      <c r="D128" s="21"/>
      <c r="E128" s="21"/>
      <c r="F128" s="21"/>
      <c r="G128" s="21"/>
      <c r="H128" s="21"/>
      <c r="I128" s="21"/>
      <c r="J128" s="21"/>
      <c r="K128" s="21"/>
      <c r="L128" s="21"/>
      <c r="M128" s="21"/>
      <c r="N128" s="21"/>
      <c r="O128" s="21"/>
      <c r="P128" s="21"/>
      <c r="Q128" s="21"/>
      <c r="R128" s="21"/>
      <c r="S128" s="20"/>
    </row>
    <row r="129" spans="1:19" x14ac:dyDescent="0.3">
      <c r="A129" s="18"/>
      <c r="B129" s="21"/>
      <c r="C129" s="21"/>
      <c r="D129" s="21"/>
      <c r="E129" s="21"/>
      <c r="F129" s="21"/>
      <c r="G129" s="21"/>
      <c r="H129" s="21"/>
      <c r="I129" s="21"/>
      <c r="J129" s="21"/>
      <c r="K129" s="21"/>
      <c r="L129" s="21"/>
      <c r="M129" s="21"/>
      <c r="N129" s="21"/>
      <c r="O129" s="21"/>
      <c r="P129" s="21"/>
      <c r="Q129" s="21"/>
      <c r="R129" s="21"/>
      <c r="S129" s="20"/>
    </row>
    <row r="130" spans="1:19" x14ac:dyDescent="0.3">
      <c r="A130" s="18"/>
      <c r="B130" s="21"/>
      <c r="C130" s="21"/>
      <c r="D130" s="21"/>
      <c r="E130" s="21"/>
      <c r="F130" s="21"/>
      <c r="G130" s="21"/>
      <c r="H130" s="21"/>
      <c r="I130" s="21"/>
      <c r="J130" s="21"/>
      <c r="K130" s="21"/>
      <c r="L130" s="21"/>
      <c r="M130" s="21"/>
      <c r="N130" s="21"/>
      <c r="O130" s="21"/>
      <c r="P130" s="21"/>
      <c r="Q130" s="21"/>
      <c r="R130" s="21"/>
      <c r="S130" s="20"/>
    </row>
    <row r="131" spans="1:19" x14ac:dyDescent="0.3">
      <c r="A131" s="18"/>
      <c r="B131" s="21"/>
      <c r="C131" s="21"/>
      <c r="D131" s="21"/>
      <c r="E131" s="21"/>
      <c r="F131" s="21"/>
      <c r="G131" s="21"/>
      <c r="H131" s="492" t="s">
        <v>3409</v>
      </c>
      <c r="I131" s="529"/>
      <c r="J131" s="529"/>
      <c r="K131" s="493"/>
      <c r="L131" s="21"/>
      <c r="M131" s="21"/>
      <c r="N131" s="21"/>
      <c r="O131" s="21"/>
      <c r="P131" s="21"/>
      <c r="Q131" s="21"/>
      <c r="R131" s="21"/>
      <c r="S131" s="20"/>
    </row>
    <row r="132" spans="1:19" x14ac:dyDescent="0.3">
      <c r="A132" s="18"/>
      <c r="B132" s="21"/>
      <c r="C132" s="21"/>
      <c r="D132" s="21"/>
      <c r="E132" s="21"/>
      <c r="F132" s="21"/>
      <c r="G132" s="21"/>
      <c r="H132" s="3" t="str">
        <f t="array" ref="H132:K137">_xll.U.REPLACE(B6:E11,M133,N133)</f>
        <v>Name</v>
      </c>
      <c r="I132" s="3" t="str">
        <v>Age</v>
      </c>
      <c r="J132" s="3" t="str">
        <v>Occupation</v>
      </c>
      <c r="K132" s="3" t="str">
        <v>Weight</v>
      </c>
      <c r="L132" s="21"/>
      <c r="M132" s="3" t="s">
        <v>772</v>
      </c>
      <c r="N132" s="3" t="s">
        <v>693</v>
      </c>
      <c r="O132" s="21"/>
      <c r="P132" s="21"/>
      <c r="Q132" s="21"/>
      <c r="R132" s="21"/>
      <c r="S132" s="20"/>
    </row>
    <row r="133" spans="1:19" x14ac:dyDescent="0.3">
      <c r="A133" s="18"/>
      <c r="B133" s="21"/>
      <c r="C133" s="21"/>
      <c r="D133" s="21"/>
      <c r="E133" s="21"/>
      <c r="F133" s="21"/>
      <c r="G133" s="21"/>
      <c r="H133" s="30" t="str">
        <v>bob jones</v>
      </c>
      <c r="I133" s="318">
        <v>37</v>
      </c>
      <c r="J133" s="319" t="str">
        <v>replaced</v>
      </c>
      <c r="K133" s="318">
        <v>182.4</v>
      </c>
      <c r="L133" s="21"/>
      <c r="M133" s="244" t="s">
        <v>1940</v>
      </c>
      <c r="N133" s="181" t="s">
        <v>1925</v>
      </c>
      <c r="O133" s="21"/>
      <c r="P133" s="21"/>
      <c r="Q133" s="21"/>
      <c r="R133" s="21"/>
      <c r="S133" s="20"/>
    </row>
    <row r="134" spans="1:19" x14ac:dyDescent="0.3">
      <c r="A134" s="18"/>
      <c r="B134" s="21"/>
      <c r="C134" s="21"/>
      <c r="D134" s="21"/>
      <c r="E134" s="21"/>
      <c r="F134" s="21"/>
      <c r="G134" s="21"/>
      <c r="H134" s="30" t="str">
        <v>Sally Smith</v>
      </c>
      <c r="I134" s="323" t="str">
        <v>replaced</v>
      </c>
      <c r="J134" s="30" t="str">
        <v>engineer</v>
      </c>
      <c r="K134" s="318">
        <v>114</v>
      </c>
      <c r="L134" s="21"/>
      <c r="M134" s="21"/>
      <c r="N134" s="21"/>
      <c r="O134" s="21"/>
      <c r="P134" s="21"/>
      <c r="Q134" s="21"/>
      <c r="R134" s="21"/>
      <c r="S134" s="20"/>
    </row>
    <row r="135" spans="1:19" x14ac:dyDescent="0.3">
      <c r="A135" s="18"/>
      <c r="B135" s="21"/>
      <c r="C135" s="21"/>
      <c r="D135" s="21"/>
      <c r="E135" s="21"/>
      <c r="F135" s="21"/>
      <c r="G135" s="21"/>
      <c r="H135" s="30" t="str">
        <v>tom HOPPER</v>
      </c>
      <c r="I135" s="36" t="e">
        <v>#N/A</v>
      </c>
      <c r="J135" s="1" t="str">
        <v>chemist</v>
      </c>
      <c r="K135" s="318">
        <v>162.80000000000001</v>
      </c>
      <c r="L135" s="21"/>
      <c r="M135" s="21"/>
      <c r="N135" s="21"/>
      <c r="O135" s="21"/>
      <c r="P135" s="21"/>
      <c r="Q135" s="21"/>
      <c r="R135" s="21"/>
      <c r="S135" s="20"/>
    </row>
    <row r="136" spans="1:19" x14ac:dyDescent="0.3">
      <c r="A136" s="18"/>
      <c r="B136" s="21"/>
      <c r="C136" s="21"/>
      <c r="D136" s="21"/>
      <c r="E136" s="21"/>
      <c r="F136" s="21"/>
      <c r="G136" s="21"/>
      <c r="H136" s="30" t="str">
        <v>Billy Bragg</v>
      </c>
      <c r="I136" s="323" t="str">
        <v>replaced</v>
      </c>
      <c r="J136" s="1" t="str">
        <v>architect</v>
      </c>
      <c r="K136" s="318" t="str">
        <v/>
      </c>
      <c r="L136" s="21"/>
      <c r="M136" s="106"/>
      <c r="N136" s="21"/>
      <c r="O136" s="21"/>
      <c r="P136" s="21"/>
      <c r="Q136" s="21"/>
      <c r="R136" s="21"/>
      <c r="S136" s="20"/>
    </row>
    <row r="137" spans="1:19" x14ac:dyDescent="0.3">
      <c r="A137" s="18"/>
      <c r="B137" s="21"/>
      <c r="C137" s="21"/>
      <c r="D137" s="21"/>
      <c r="E137" s="21"/>
      <c r="F137" s="21"/>
      <c r="G137" s="21"/>
      <c r="H137" s="30" t="str">
        <v>Anna Lukin</v>
      </c>
      <c r="I137" s="318">
        <v>50</v>
      </c>
      <c r="J137" s="1" t="str">
        <v>physicist</v>
      </c>
      <c r="K137" s="318">
        <v>122.3</v>
      </c>
      <c r="L137" s="21"/>
      <c r="M137" s="21"/>
      <c r="N137" s="21"/>
      <c r="O137" s="21"/>
      <c r="P137" s="21"/>
      <c r="Q137" s="21"/>
      <c r="R137" s="21"/>
      <c r="S137" s="20"/>
    </row>
    <row r="138" spans="1:19" x14ac:dyDescent="0.3">
      <c r="A138" s="18"/>
      <c r="B138" s="21"/>
      <c r="C138" s="21"/>
      <c r="D138" s="21"/>
      <c r="E138" s="21"/>
      <c r="F138" s="21"/>
      <c r="G138" s="21"/>
      <c r="H138" s="21"/>
      <c r="I138" s="21"/>
      <c r="J138" s="21"/>
      <c r="K138" s="21"/>
      <c r="L138" s="21"/>
      <c r="M138" s="21"/>
      <c r="N138" s="21"/>
      <c r="O138" s="21"/>
      <c r="P138" s="21"/>
      <c r="Q138" s="21"/>
      <c r="R138" s="21"/>
      <c r="S138" s="20"/>
    </row>
    <row r="139" spans="1:19" x14ac:dyDescent="0.3">
      <c r="A139" s="18"/>
      <c r="B139" s="21"/>
      <c r="C139" s="21"/>
      <c r="D139" s="21"/>
      <c r="E139" s="21"/>
      <c r="F139" s="21"/>
      <c r="G139" s="21"/>
      <c r="H139" s="21"/>
      <c r="I139" s="21"/>
      <c r="J139" s="21"/>
      <c r="K139" s="21"/>
      <c r="L139" s="21"/>
      <c r="M139" s="21"/>
      <c r="N139" s="21"/>
      <c r="O139" s="21"/>
      <c r="P139" s="21"/>
      <c r="Q139" s="21"/>
      <c r="R139" s="21"/>
      <c r="S139" s="20"/>
    </row>
    <row r="140" spans="1:19" x14ac:dyDescent="0.3">
      <c r="A140" s="18"/>
      <c r="B140" s="21"/>
      <c r="C140" s="21"/>
      <c r="D140" s="21"/>
      <c r="E140" s="21"/>
      <c r="F140" s="21"/>
      <c r="G140" s="21"/>
      <c r="H140" s="21"/>
      <c r="I140" s="21"/>
      <c r="J140" s="21"/>
      <c r="K140" s="21"/>
      <c r="L140" s="21"/>
      <c r="M140" s="21"/>
      <c r="N140" s="21"/>
      <c r="O140" s="21"/>
      <c r="P140" s="21"/>
      <c r="Q140" s="21"/>
      <c r="R140" s="21"/>
      <c r="S140" s="20"/>
    </row>
    <row r="141" spans="1:19" x14ac:dyDescent="0.3">
      <c r="A141" s="18"/>
      <c r="B141" s="21"/>
      <c r="C141" s="21"/>
      <c r="D141" s="21"/>
      <c r="E141" s="21"/>
      <c r="F141" s="21"/>
      <c r="G141" s="21"/>
      <c r="H141" s="21"/>
      <c r="I141" s="21"/>
      <c r="J141" s="21"/>
      <c r="K141" s="21"/>
      <c r="L141" s="21"/>
      <c r="M141" s="21"/>
      <c r="N141" s="21"/>
      <c r="O141" s="21"/>
      <c r="P141" s="21"/>
      <c r="Q141" s="21"/>
      <c r="R141" s="21"/>
      <c r="S141" s="20"/>
    </row>
    <row r="142" spans="1:19" x14ac:dyDescent="0.3">
      <c r="A142" s="18"/>
      <c r="B142" s="21"/>
      <c r="C142" s="3" t="s">
        <v>1946</v>
      </c>
      <c r="D142" s="520" t="s">
        <v>1</v>
      </c>
      <c r="E142" s="520"/>
      <c r="F142" s="520"/>
      <c r="G142" s="520"/>
      <c r="H142" s="520"/>
      <c r="I142" s="520"/>
      <c r="J142" s="520"/>
      <c r="K142" s="21"/>
      <c r="L142" s="21"/>
      <c r="M142" s="21"/>
      <c r="N142" s="21"/>
      <c r="O142" s="21"/>
      <c r="P142" s="21"/>
      <c r="Q142" s="21"/>
      <c r="R142" s="21"/>
      <c r="S142" s="20"/>
    </row>
    <row r="143" spans="1:19" x14ac:dyDescent="0.3">
      <c r="A143" s="18"/>
      <c r="B143" s="21"/>
      <c r="C143" s="30" t="s">
        <v>1947</v>
      </c>
      <c r="D143" s="250" t="s">
        <v>1963</v>
      </c>
      <c r="E143" s="112"/>
      <c r="F143" s="112"/>
      <c r="G143" s="112"/>
      <c r="H143" s="112"/>
      <c r="I143" s="112"/>
      <c r="J143" s="113"/>
      <c r="K143" s="21"/>
      <c r="L143" s="21"/>
      <c r="M143" s="21"/>
      <c r="N143" s="21"/>
      <c r="O143" s="21"/>
      <c r="P143" s="21"/>
      <c r="Q143" s="21"/>
      <c r="R143" s="21"/>
      <c r="S143" s="20"/>
    </row>
    <row r="144" spans="1:19" x14ac:dyDescent="0.3">
      <c r="A144" s="18"/>
      <c r="B144" s="21"/>
      <c r="C144" s="30" t="s">
        <v>1948</v>
      </c>
      <c r="D144" s="250" t="s">
        <v>1964</v>
      </c>
      <c r="E144" s="112"/>
      <c r="F144" s="112"/>
      <c r="G144" s="112"/>
      <c r="H144" s="112"/>
      <c r="I144" s="112"/>
      <c r="J144" s="113"/>
      <c r="K144" s="21"/>
      <c r="L144" s="21"/>
      <c r="M144" s="21"/>
      <c r="N144" s="21"/>
      <c r="O144" s="21"/>
      <c r="P144" s="21"/>
      <c r="Q144" s="21"/>
      <c r="R144" s="21"/>
      <c r="S144" s="20"/>
    </row>
    <row r="145" spans="1:19" x14ac:dyDescent="0.3">
      <c r="A145" s="18"/>
      <c r="B145" s="21"/>
      <c r="C145" s="30" t="s">
        <v>1949</v>
      </c>
      <c r="D145" s="250" t="s">
        <v>1965</v>
      </c>
      <c r="E145" s="112"/>
      <c r="F145" s="112"/>
      <c r="G145" s="112"/>
      <c r="H145" s="112"/>
      <c r="I145" s="112"/>
      <c r="J145" s="113"/>
      <c r="K145" s="21"/>
      <c r="L145" s="21"/>
      <c r="M145" s="21"/>
      <c r="N145" s="21"/>
      <c r="O145" s="21"/>
      <c r="P145" s="21"/>
      <c r="Q145" s="21"/>
      <c r="R145" s="21"/>
      <c r="S145" s="20"/>
    </row>
    <row r="146" spans="1:19" x14ac:dyDescent="0.3">
      <c r="A146" s="18"/>
      <c r="B146" s="21"/>
      <c r="C146" s="30" t="s">
        <v>1938</v>
      </c>
      <c r="D146" s="250" t="s">
        <v>1966</v>
      </c>
      <c r="E146" s="112"/>
      <c r="F146" s="112"/>
      <c r="G146" s="112"/>
      <c r="H146" s="112"/>
      <c r="I146" s="112"/>
      <c r="J146" s="113"/>
      <c r="K146" s="21"/>
      <c r="L146" s="21"/>
      <c r="M146" s="21"/>
      <c r="N146" s="21"/>
      <c r="O146" s="21"/>
      <c r="P146" s="21"/>
      <c r="Q146" s="21"/>
      <c r="R146" s="21"/>
      <c r="S146" s="20"/>
    </row>
    <row r="147" spans="1:19" x14ac:dyDescent="0.3">
      <c r="A147" s="18"/>
      <c r="B147" s="21"/>
      <c r="C147" s="30" t="s">
        <v>1950</v>
      </c>
      <c r="D147" s="250" t="s">
        <v>1967</v>
      </c>
      <c r="E147" s="112"/>
      <c r="F147" s="112"/>
      <c r="G147" s="112"/>
      <c r="H147" s="112"/>
      <c r="I147" s="112"/>
      <c r="J147" s="113"/>
      <c r="K147" s="21"/>
      <c r="L147" s="21"/>
      <c r="M147" s="21"/>
      <c r="N147" s="21"/>
      <c r="O147" s="21"/>
      <c r="P147" s="21"/>
      <c r="Q147" s="21"/>
      <c r="R147" s="21"/>
      <c r="S147" s="20"/>
    </row>
    <row r="148" spans="1:19" x14ac:dyDescent="0.3">
      <c r="A148" s="18"/>
      <c r="B148" s="21"/>
      <c r="C148" s="30" t="s">
        <v>1951</v>
      </c>
      <c r="D148" s="250" t="s">
        <v>1968</v>
      </c>
      <c r="E148" s="112"/>
      <c r="F148" s="112"/>
      <c r="G148" s="112"/>
      <c r="H148" s="112"/>
      <c r="I148" s="112"/>
      <c r="J148" s="113"/>
      <c r="K148" s="21"/>
      <c r="L148" s="21"/>
      <c r="M148" s="21"/>
      <c r="N148" s="21"/>
      <c r="O148" s="21"/>
      <c r="P148" s="21"/>
      <c r="Q148" s="21"/>
      <c r="R148" s="21"/>
      <c r="S148" s="20"/>
    </row>
    <row r="149" spans="1:19" x14ac:dyDescent="0.3">
      <c r="A149" s="18"/>
      <c r="B149" s="21"/>
      <c r="C149" s="30" t="s">
        <v>2001</v>
      </c>
      <c r="D149" s="250" t="s">
        <v>2043</v>
      </c>
      <c r="E149" s="112"/>
      <c r="F149" s="112"/>
      <c r="G149" s="112"/>
      <c r="H149" s="112"/>
      <c r="I149" s="112"/>
      <c r="J149" s="113"/>
      <c r="K149" s="21"/>
      <c r="L149" s="21"/>
      <c r="M149" s="21"/>
      <c r="N149" s="21"/>
      <c r="O149" s="21"/>
      <c r="P149" s="21"/>
      <c r="Q149" s="21"/>
      <c r="R149" s="21"/>
      <c r="S149" s="20"/>
    </row>
    <row r="150" spans="1:19" x14ac:dyDescent="0.3">
      <c r="A150" s="18"/>
      <c r="B150" s="21"/>
      <c r="C150" s="30" t="s">
        <v>1956</v>
      </c>
      <c r="D150" s="250" t="s">
        <v>1969</v>
      </c>
      <c r="E150" s="112"/>
      <c r="F150" s="112"/>
      <c r="G150" s="112"/>
      <c r="H150" s="112"/>
      <c r="I150" s="112"/>
      <c r="J150" s="113"/>
      <c r="K150" s="21"/>
      <c r="L150" s="21"/>
      <c r="M150" s="21"/>
      <c r="N150" s="21"/>
      <c r="O150" s="21"/>
      <c r="P150" s="21"/>
      <c r="Q150" s="21"/>
      <c r="R150" s="21"/>
      <c r="S150" s="20"/>
    </row>
    <row r="151" spans="1:19" x14ac:dyDescent="0.3">
      <c r="A151" s="18"/>
      <c r="B151" s="21"/>
      <c r="C151" s="30" t="s">
        <v>1953</v>
      </c>
      <c r="D151" s="250" t="s">
        <v>1970</v>
      </c>
      <c r="E151" s="112"/>
      <c r="F151" s="112"/>
      <c r="G151" s="112"/>
      <c r="H151" s="112"/>
      <c r="I151" s="112"/>
      <c r="J151" s="113"/>
      <c r="K151" s="21"/>
      <c r="L151" s="21"/>
      <c r="M151" s="21"/>
      <c r="N151" s="21"/>
      <c r="O151" s="21"/>
      <c r="P151" s="21"/>
      <c r="Q151" s="21"/>
      <c r="R151" s="21"/>
      <c r="S151" s="20"/>
    </row>
    <row r="152" spans="1:19" x14ac:dyDescent="0.3">
      <c r="A152" s="18"/>
      <c r="B152" s="21"/>
      <c r="C152" s="30" t="s">
        <v>1952</v>
      </c>
      <c r="D152" s="250" t="s">
        <v>1971</v>
      </c>
      <c r="E152" s="112"/>
      <c r="F152" s="112"/>
      <c r="G152" s="112"/>
      <c r="H152" s="112"/>
      <c r="I152" s="112"/>
      <c r="J152" s="113"/>
      <c r="K152" s="21"/>
      <c r="L152" s="21"/>
      <c r="M152" s="21"/>
      <c r="N152" s="21"/>
      <c r="O152" s="21"/>
      <c r="P152" s="21"/>
      <c r="Q152" s="21"/>
      <c r="R152" s="21"/>
      <c r="S152" s="20"/>
    </row>
    <row r="153" spans="1:19" x14ac:dyDescent="0.3">
      <c r="A153" s="18"/>
      <c r="B153" s="21"/>
      <c r="C153" s="30" t="s">
        <v>1955</v>
      </c>
      <c r="D153" s="250" t="s">
        <v>1972</v>
      </c>
      <c r="E153" s="112"/>
      <c r="F153" s="112"/>
      <c r="G153" s="112"/>
      <c r="H153" s="112"/>
      <c r="I153" s="112"/>
      <c r="J153" s="113"/>
      <c r="K153" s="21"/>
      <c r="L153" s="21"/>
      <c r="M153" s="21"/>
      <c r="N153" s="21"/>
      <c r="O153" s="21"/>
      <c r="P153" s="21"/>
      <c r="Q153" s="21"/>
      <c r="R153" s="21"/>
      <c r="S153" s="20"/>
    </row>
    <row r="154" spans="1:19" x14ac:dyDescent="0.3">
      <c r="A154" s="18"/>
      <c r="B154" s="21"/>
      <c r="C154" s="30" t="s">
        <v>1954</v>
      </c>
      <c r="D154" s="250" t="s">
        <v>1973</v>
      </c>
      <c r="E154" s="112"/>
      <c r="F154" s="112"/>
      <c r="G154" s="112"/>
      <c r="H154" s="112"/>
      <c r="I154" s="112"/>
      <c r="J154" s="113"/>
      <c r="K154" s="21"/>
      <c r="L154" s="21"/>
      <c r="M154" s="21"/>
      <c r="N154" s="21"/>
      <c r="O154" s="21"/>
      <c r="P154" s="21"/>
      <c r="Q154" s="21"/>
      <c r="R154" s="21"/>
      <c r="S154" s="20"/>
    </row>
    <row r="155" spans="1:19" x14ac:dyDescent="0.3">
      <c r="A155" s="18"/>
      <c r="B155" s="21"/>
      <c r="C155" s="30" t="s">
        <v>2041</v>
      </c>
      <c r="D155" s="250" t="s">
        <v>2042</v>
      </c>
      <c r="E155" s="112"/>
      <c r="F155" s="112"/>
      <c r="G155" s="112"/>
      <c r="H155" s="112"/>
      <c r="I155" s="112"/>
      <c r="J155" s="113"/>
      <c r="K155" s="21"/>
      <c r="L155" s="21"/>
      <c r="M155" s="21"/>
      <c r="N155" s="21"/>
      <c r="O155" s="21"/>
      <c r="P155" s="21"/>
      <c r="Q155" s="21"/>
      <c r="R155" s="21"/>
      <c r="S155" s="20"/>
    </row>
    <row r="156" spans="1:19" x14ac:dyDescent="0.3">
      <c r="A156" s="18"/>
      <c r="B156" s="21"/>
      <c r="C156" s="30" t="s">
        <v>2046</v>
      </c>
      <c r="D156" s="250" t="s">
        <v>2047</v>
      </c>
      <c r="E156" s="112"/>
      <c r="F156" s="112"/>
      <c r="G156" s="112"/>
      <c r="H156" s="112"/>
      <c r="I156" s="112"/>
      <c r="J156" s="113"/>
      <c r="K156" s="21"/>
      <c r="L156" s="21"/>
      <c r="M156" s="106"/>
      <c r="N156" s="21"/>
      <c r="O156" s="21"/>
      <c r="P156" s="21"/>
      <c r="Q156" s="21"/>
      <c r="R156" s="21"/>
      <c r="S156" s="20"/>
    </row>
    <row r="157" spans="1:19" x14ac:dyDescent="0.3">
      <c r="A157" s="18"/>
      <c r="B157" s="21"/>
      <c r="C157" s="30" t="s">
        <v>2048</v>
      </c>
      <c r="D157" s="250" t="s">
        <v>2052</v>
      </c>
      <c r="E157" s="112"/>
      <c r="F157" s="112"/>
      <c r="G157" s="112"/>
      <c r="H157" s="112"/>
      <c r="I157" s="112"/>
      <c r="J157" s="113"/>
      <c r="K157" s="21"/>
      <c r="L157" s="21"/>
      <c r="M157" s="106"/>
      <c r="N157" s="21"/>
      <c r="O157" s="21"/>
      <c r="P157" s="21"/>
      <c r="Q157" s="21"/>
      <c r="R157" s="21"/>
      <c r="S157" s="20"/>
    </row>
    <row r="158" spans="1:19" x14ac:dyDescent="0.3">
      <c r="A158" s="18"/>
      <c r="B158" s="21"/>
      <c r="C158" s="30" t="s">
        <v>2049</v>
      </c>
      <c r="D158" s="250" t="s">
        <v>2050</v>
      </c>
      <c r="E158" s="112"/>
      <c r="F158" s="112"/>
      <c r="G158" s="112"/>
      <c r="H158" s="112"/>
      <c r="I158" s="112"/>
      <c r="J158" s="113"/>
      <c r="K158" s="21"/>
      <c r="L158" s="21"/>
      <c r="M158" s="21"/>
      <c r="N158" s="21"/>
      <c r="O158" s="21"/>
      <c r="P158" s="21"/>
      <c r="Q158" s="21"/>
      <c r="R158" s="21"/>
      <c r="S158" s="20"/>
    </row>
    <row r="159" spans="1:19" x14ac:dyDescent="0.3">
      <c r="A159" s="18"/>
      <c r="B159" s="21"/>
      <c r="C159" s="30" t="s">
        <v>2051</v>
      </c>
      <c r="D159" s="250" t="s">
        <v>2053</v>
      </c>
      <c r="E159" s="112"/>
      <c r="F159" s="112"/>
      <c r="G159" s="112"/>
      <c r="H159" s="112"/>
      <c r="I159" s="112"/>
      <c r="J159" s="113"/>
      <c r="K159" s="21"/>
      <c r="L159" s="21"/>
      <c r="M159" s="21"/>
      <c r="N159" s="21"/>
      <c r="O159" s="21"/>
      <c r="P159" s="21"/>
      <c r="Q159" s="21"/>
      <c r="R159" s="21"/>
      <c r="S159" s="20"/>
    </row>
    <row r="160" spans="1:19" x14ac:dyDescent="0.3">
      <c r="A160" s="18"/>
      <c r="B160" s="21"/>
      <c r="C160" s="30" t="s">
        <v>1957</v>
      </c>
      <c r="D160" s="250" t="s">
        <v>2044</v>
      </c>
      <c r="E160" s="112"/>
      <c r="F160" s="112"/>
      <c r="G160" s="112"/>
      <c r="H160" s="112"/>
      <c r="I160" s="112"/>
      <c r="J160" s="113"/>
      <c r="K160" s="21"/>
      <c r="L160" s="21"/>
      <c r="M160" s="21"/>
      <c r="N160" s="21"/>
      <c r="O160" s="21"/>
      <c r="P160" s="21"/>
      <c r="Q160" s="21"/>
      <c r="R160" s="21"/>
      <c r="S160" s="20"/>
    </row>
    <row r="161" spans="1:19" x14ac:dyDescent="0.3">
      <c r="A161" s="18"/>
      <c r="B161" s="21"/>
      <c r="C161" s="30" t="s">
        <v>1958</v>
      </c>
      <c r="D161" s="250" t="s">
        <v>1974</v>
      </c>
      <c r="E161" s="112"/>
      <c r="F161" s="112"/>
      <c r="G161" s="112"/>
      <c r="H161" s="112"/>
      <c r="I161" s="112"/>
      <c r="J161" s="113"/>
      <c r="K161" s="21"/>
      <c r="L161" s="21"/>
      <c r="M161" s="21"/>
      <c r="N161" s="21"/>
      <c r="O161" s="21"/>
      <c r="P161" s="21"/>
      <c r="Q161" s="21"/>
      <c r="R161" s="21"/>
      <c r="S161" s="20"/>
    </row>
    <row r="162" spans="1:19" x14ac:dyDescent="0.3">
      <c r="A162" s="18"/>
      <c r="B162" s="21"/>
      <c r="C162" s="30" t="s">
        <v>1959</v>
      </c>
      <c r="D162" s="250" t="s">
        <v>1975</v>
      </c>
      <c r="E162" s="112"/>
      <c r="F162" s="112"/>
      <c r="G162" s="112"/>
      <c r="H162" s="112"/>
      <c r="I162" s="112"/>
      <c r="J162" s="113"/>
      <c r="K162" s="21"/>
      <c r="L162" s="21"/>
      <c r="M162" s="21"/>
      <c r="N162" s="21"/>
      <c r="O162" s="21"/>
      <c r="P162" s="21"/>
      <c r="Q162" s="21"/>
      <c r="R162" s="21"/>
      <c r="S162" s="20"/>
    </row>
    <row r="163" spans="1:19" x14ac:dyDescent="0.3">
      <c r="A163" s="18"/>
      <c r="B163" s="21"/>
      <c r="C163" s="30" t="s">
        <v>1960</v>
      </c>
      <c r="D163" s="250" t="s">
        <v>1976</v>
      </c>
      <c r="E163" s="112"/>
      <c r="F163" s="112"/>
      <c r="G163" s="112"/>
      <c r="H163" s="112"/>
      <c r="I163" s="112"/>
      <c r="J163" s="113"/>
      <c r="K163" s="21"/>
      <c r="L163" s="21"/>
      <c r="M163" s="21"/>
      <c r="N163" s="21"/>
      <c r="O163" s="21"/>
      <c r="P163" s="21"/>
      <c r="Q163" s="21"/>
      <c r="R163" s="21"/>
      <c r="S163" s="20"/>
    </row>
    <row r="164" spans="1:19" x14ac:dyDescent="0.3">
      <c r="A164" s="18"/>
      <c r="B164" s="21"/>
      <c r="C164" s="30" t="s">
        <v>1961</v>
      </c>
      <c r="D164" s="250" t="s">
        <v>1977</v>
      </c>
      <c r="E164" s="112"/>
      <c r="F164" s="112"/>
      <c r="G164" s="112"/>
      <c r="H164" s="112"/>
      <c r="I164" s="112"/>
      <c r="J164" s="113"/>
      <c r="K164" s="21"/>
      <c r="L164" s="21"/>
      <c r="M164" s="21"/>
      <c r="N164" s="21"/>
      <c r="O164" s="21"/>
      <c r="P164" s="21"/>
      <c r="Q164" s="21"/>
      <c r="R164" s="21"/>
      <c r="S164" s="20"/>
    </row>
    <row r="165" spans="1:19" x14ac:dyDescent="0.3">
      <c r="A165" s="18"/>
      <c r="B165" s="21"/>
      <c r="C165" s="30" t="s">
        <v>1962</v>
      </c>
      <c r="D165" s="250" t="s">
        <v>2045</v>
      </c>
      <c r="E165" s="112"/>
      <c r="F165" s="112"/>
      <c r="G165" s="112"/>
      <c r="H165" s="112"/>
      <c r="I165" s="112"/>
      <c r="J165" s="113"/>
      <c r="K165" s="21"/>
      <c r="L165" s="21"/>
      <c r="M165" s="21"/>
      <c r="N165" s="21"/>
      <c r="O165" s="21"/>
      <c r="P165" s="21"/>
      <c r="Q165" s="21"/>
      <c r="R165" s="21"/>
      <c r="S165" s="20"/>
    </row>
    <row r="166" spans="1:19" x14ac:dyDescent="0.3">
      <c r="A166" s="18"/>
      <c r="B166" s="21"/>
      <c r="C166" s="30" t="s">
        <v>2677</v>
      </c>
      <c r="D166" s="250" t="s">
        <v>2678</v>
      </c>
      <c r="E166" s="112"/>
      <c r="F166" s="112"/>
      <c r="G166" s="112"/>
      <c r="H166" s="112"/>
      <c r="I166" s="112"/>
      <c r="J166" s="113"/>
      <c r="K166" s="21"/>
      <c r="L166" s="21"/>
      <c r="M166" s="21"/>
      <c r="N166" s="21"/>
      <c r="O166" s="21"/>
      <c r="P166" s="21"/>
      <c r="Q166" s="21"/>
      <c r="R166" s="21"/>
      <c r="S166" s="20"/>
    </row>
    <row r="167" spans="1:19" x14ac:dyDescent="0.3">
      <c r="A167" s="18"/>
      <c r="B167" s="21"/>
      <c r="C167" s="30" t="s">
        <v>2054</v>
      </c>
      <c r="D167" s="250" t="s">
        <v>2055</v>
      </c>
      <c r="E167" s="112"/>
      <c r="F167" s="112"/>
      <c r="G167" s="112"/>
      <c r="H167" s="112"/>
      <c r="I167" s="112"/>
      <c r="J167" s="113"/>
      <c r="K167" s="21"/>
      <c r="L167" s="21"/>
      <c r="M167" s="21"/>
      <c r="N167" s="21"/>
      <c r="O167" s="21"/>
      <c r="P167" s="21"/>
      <c r="Q167" s="21"/>
      <c r="R167" s="21"/>
      <c r="S167" s="20"/>
    </row>
    <row r="168" spans="1:19" x14ac:dyDescent="0.3">
      <c r="A168" s="18"/>
      <c r="B168" s="21"/>
      <c r="C168" s="30" t="s">
        <v>2676</v>
      </c>
      <c r="D168" s="250" t="s">
        <v>2679</v>
      </c>
      <c r="E168" s="112"/>
      <c r="F168" s="112"/>
      <c r="G168" s="112"/>
      <c r="H168" s="112"/>
      <c r="I168" s="112"/>
      <c r="J168" s="113"/>
      <c r="K168" s="21"/>
      <c r="L168" s="21"/>
      <c r="M168" s="21"/>
      <c r="N168" s="21"/>
      <c r="O168" s="21"/>
      <c r="P168" s="21"/>
      <c r="Q168" s="21"/>
      <c r="R168" s="21"/>
      <c r="S168" s="20"/>
    </row>
    <row r="169" spans="1:19" x14ac:dyDescent="0.3">
      <c r="A169" s="18"/>
      <c r="B169" s="21"/>
      <c r="C169" s="30" t="s">
        <v>2680</v>
      </c>
      <c r="D169" s="250" t="s">
        <v>2681</v>
      </c>
      <c r="E169" s="112"/>
      <c r="F169" s="112"/>
      <c r="G169" s="112"/>
      <c r="H169" s="112"/>
      <c r="I169" s="112"/>
      <c r="J169" s="113"/>
      <c r="K169" s="21"/>
      <c r="L169" s="21"/>
      <c r="M169" s="21"/>
      <c r="N169" s="21"/>
      <c r="O169" s="21"/>
      <c r="P169" s="21"/>
      <c r="Q169" s="21"/>
      <c r="R169" s="21"/>
      <c r="S169" s="20"/>
    </row>
    <row r="170" spans="1:19" x14ac:dyDescent="0.3">
      <c r="A170" s="18"/>
      <c r="B170" s="21"/>
      <c r="C170" s="30" t="s">
        <v>3776</v>
      </c>
      <c r="D170" s="250" t="s">
        <v>3835</v>
      </c>
      <c r="E170" s="112"/>
      <c r="F170" s="112"/>
      <c r="G170" s="112"/>
      <c r="H170" s="112"/>
      <c r="I170" s="112"/>
      <c r="J170" s="113"/>
      <c r="K170" s="21"/>
      <c r="L170" s="21"/>
      <c r="M170" s="21"/>
      <c r="N170" s="21"/>
      <c r="O170" s="21"/>
      <c r="P170" s="21"/>
      <c r="Q170" s="21"/>
      <c r="R170" s="21"/>
      <c r="S170" s="20"/>
    </row>
    <row r="171" spans="1:19" x14ac:dyDescent="0.3">
      <c r="A171" s="18"/>
      <c r="B171" s="21"/>
      <c r="C171" s="30" t="s">
        <v>2539</v>
      </c>
      <c r="D171" s="250" t="s">
        <v>3133</v>
      </c>
      <c r="E171" s="112"/>
      <c r="F171" s="112"/>
      <c r="G171" s="112"/>
      <c r="H171" s="112"/>
      <c r="I171" s="112"/>
      <c r="J171" s="113"/>
      <c r="K171" s="21"/>
      <c r="L171" s="21"/>
      <c r="M171" s="21"/>
      <c r="N171" s="21"/>
      <c r="O171" s="21"/>
      <c r="P171" s="21"/>
      <c r="Q171" s="21"/>
      <c r="R171" s="21"/>
      <c r="S171" s="20"/>
    </row>
    <row r="172" spans="1:19" x14ac:dyDescent="0.3">
      <c r="A172" s="18"/>
      <c r="B172" s="21"/>
      <c r="C172" s="30" t="s">
        <v>3641</v>
      </c>
      <c r="D172" s="250" t="s">
        <v>3642</v>
      </c>
      <c r="E172" s="112"/>
      <c r="F172" s="112"/>
      <c r="G172" s="112"/>
      <c r="H172" s="112"/>
      <c r="I172" s="112"/>
      <c r="J172" s="113"/>
      <c r="K172" s="21"/>
      <c r="L172" s="21"/>
      <c r="M172" s="21"/>
      <c r="N172" s="21"/>
      <c r="O172" s="21"/>
      <c r="P172" s="21"/>
      <c r="Q172" s="21"/>
      <c r="R172" s="21"/>
      <c r="S172" s="20"/>
    </row>
    <row r="173" spans="1:19" x14ac:dyDescent="0.3">
      <c r="A173" s="18"/>
      <c r="B173" s="21"/>
      <c r="C173" s="30" t="s">
        <v>3643</v>
      </c>
      <c r="D173" s="250" t="s">
        <v>3644</v>
      </c>
      <c r="E173" s="112"/>
      <c r="F173" s="112"/>
      <c r="G173" s="112"/>
      <c r="H173" s="112"/>
      <c r="I173" s="112"/>
      <c r="J173" s="113"/>
      <c r="K173" s="21"/>
      <c r="L173" s="21"/>
      <c r="M173" s="21"/>
      <c r="N173" s="21"/>
      <c r="O173" s="21"/>
      <c r="P173" s="21"/>
      <c r="Q173" s="21"/>
      <c r="R173" s="21"/>
      <c r="S173" s="20"/>
    </row>
    <row r="174" spans="1:19" x14ac:dyDescent="0.3">
      <c r="A174" s="18"/>
      <c r="B174" s="21"/>
      <c r="C174" s="30" t="s">
        <v>3778</v>
      </c>
      <c r="D174" s="250" t="s">
        <v>3777</v>
      </c>
      <c r="E174" s="112"/>
      <c r="F174" s="112"/>
      <c r="G174" s="112"/>
      <c r="H174" s="112"/>
      <c r="I174" s="112"/>
      <c r="J174" s="113"/>
      <c r="K174" s="21"/>
      <c r="L174" s="21"/>
      <c r="M174" s="21"/>
      <c r="N174" s="21"/>
      <c r="O174" s="21"/>
      <c r="P174" s="21"/>
      <c r="Q174" s="21"/>
      <c r="R174" s="21"/>
      <c r="S174" s="20"/>
    </row>
    <row r="175" spans="1:19" x14ac:dyDescent="0.3">
      <c r="A175" s="18"/>
      <c r="B175" s="21"/>
      <c r="C175" s="21"/>
      <c r="D175" s="21"/>
      <c r="E175" s="21"/>
      <c r="F175" s="21"/>
      <c r="G175" s="21"/>
      <c r="H175" s="21"/>
      <c r="I175" s="21"/>
      <c r="J175" s="21"/>
      <c r="K175" s="21"/>
      <c r="L175" s="21"/>
      <c r="M175" s="21"/>
      <c r="N175" s="21"/>
      <c r="O175" s="21"/>
      <c r="P175" s="21"/>
      <c r="Q175" s="21"/>
      <c r="R175" s="21"/>
      <c r="S175" s="20"/>
    </row>
    <row r="176" spans="1:19" x14ac:dyDescent="0.3">
      <c r="A176" s="490" t="s">
        <v>1978</v>
      </c>
      <c r="B176" s="491"/>
      <c r="C176" s="491"/>
      <c r="D176" s="491"/>
      <c r="E176" s="491"/>
      <c r="F176" s="491"/>
      <c r="G176" s="491"/>
      <c r="H176" s="491"/>
      <c r="I176" s="491"/>
      <c r="J176" s="491"/>
      <c r="K176" s="491"/>
      <c r="L176" s="491"/>
      <c r="M176" s="491"/>
      <c r="N176" s="491"/>
      <c r="O176" s="491"/>
      <c r="P176" s="491"/>
      <c r="Q176" s="491"/>
      <c r="R176" s="491"/>
      <c r="S176" s="20"/>
    </row>
    <row r="177" spans="1:19" x14ac:dyDescent="0.3">
      <c r="A177" s="18"/>
      <c r="B177" s="21"/>
      <c r="C177" s="21"/>
      <c r="D177" s="21"/>
      <c r="E177" s="21"/>
      <c r="F177" s="21"/>
      <c r="G177" s="21"/>
      <c r="H177" s="21"/>
      <c r="I177" s="21"/>
      <c r="J177" s="21"/>
      <c r="K177" s="21"/>
      <c r="L177" s="21"/>
      <c r="M177" s="21"/>
      <c r="N177" s="21"/>
      <c r="O177" s="21"/>
      <c r="P177" s="21"/>
      <c r="Q177" s="21"/>
      <c r="R177" s="21"/>
      <c r="S177" s="20"/>
    </row>
    <row r="178" spans="1:19" x14ac:dyDescent="0.3">
      <c r="A178" s="18"/>
      <c r="B178" s="475" t="s">
        <v>1893</v>
      </c>
      <c r="C178" s="475"/>
      <c r="D178" s="475"/>
      <c r="E178" s="475"/>
      <c r="F178" s="21"/>
      <c r="G178" s="21"/>
      <c r="H178" s="475" t="s">
        <v>3409</v>
      </c>
      <c r="I178" s="475"/>
      <c r="J178" s="475"/>
      <c r="K178" s="475"/>
      <c r="L178" s="21"/>
      <c r="M178" s="492" t="s">
        <v>1885</v>
      </c>
      <c r="N178" s="493"/>
      <c r="O178" s="21"/>
      <c r="P178" s="21"/>
      <c r="Q178" s="21"/>
      <c r="R178" s="21"/>
      <c r="S178" s="20"/>
    </row>
    <row r="179" spans="1:19" x14ac:dyDescent="0.3">
      <c r="A179" s="18"/>
      <c r="B179" s="59" t="s">
        <v>679</v>
      </c>
      <c r="C179" s="60" t="s">
        <v>1065</v>
      </c>
      <c r="D179" s="60" t="s">
        <v>1119</v>
      </c>
      <c r="E179" s="60" t="s">
        <v>1911</v>
      </c>
      <c r="F179" s="21"/>
      <c r="G179" s="21"/>
      <c r="H179" s="3" t="str">
        <f t="array" ref="H179:K184">_xll.U.REPLACE(B179:E184,M180:N182)</f>
        <v>Name</v>
      </c>
      <c r="I179" s="3" t="str">
        <v>Age</v>
      </c>
      <c r="J179" s="3" t="str">
        <v>Occupation</v>
      </c>
      <c r="K179" s="3" t="str">
        <v>Weight</v>
      </c>
      <c r="L179" s="21"/>
      <c r="M179" s="3" t="s">
        <v>772</v>
      </c>
      <c r="N179" s="3" t="s">
        <v>693</v>
      </c>
      <c r="O179" s="21"/>
      <c r="P179" s="21"/>
      <c r="Q179" s="21"/>
      <c r="R179" s="21"/>
      <c r="S179" s="20"/>
    </row>
    <row r="180" spans="1:19" x14ac:dyDescent="0.3">
      <c r="A180" s="18"/>
      <c r="B180" s="42" t="s">
        <v>1912</v>
      </c>
      <c r="C180" s="324">
        <v>37</v>
      </c>
      <c r="D180" s="42" t="s">
        <v>1917</v>
      </c>
      <c r="E180" s="317">
        <v>182.4</v>
      </c>
      <c r="F180" s="21"/>
      <c r="G180" s="21"/>
      <c r="H180" s="319" t="str">
        <v>Was a 'B' name</v>
      </c>
      <c r="I180" s="321">
        <v>37</v>
      </c>
      <c r="J180" s="1" t="str">
        <v>teacher</v>
      </c>
      <c r="K180" s="325">
        <v>182.4</v>
      </c>
      <c r="L180" s="21"/>
      <c r="M180" s="244" t="s">
        <v>1982</v>
      </c>
      <c r="N180" s="244" t="s">
        <v>1983</v>
      </c>
      <c r="O180" s="21"/>
      <c r="P180" s="21"/>
      <c r="Q180" s="21"/>
      <c r="R180" s="21"/>
      <c r="S180" s="20"/>
    </row>
    <row r="181" spans="1:19" x14ac:dyDescent="0.3">
      <c r="A181" s="18"/>
      <c r="B181" s="42" t="s">
        <v>1913</v>
      </c>
      <c r="C181" s="44">
        <v>22</v>
      </c>
      <c r="D181" s="42" t="s">
        <v>1918</v>
      </c>
      <c r="E181" s="317">
        <v>114</v>
      </c>
      <c r="F181" s="21"/>
      <c r="G181" s="21"/>
      <c r="H181" s="1" t="str">
        <v>Sally Smith</v>
      </c>
      <c r="I181" s="320">
        <v>11</v>
      </c>
      <c r="J181" s="1" t="str">
        <v>engineer</v>
      </c>
      <c r="K181" s="323">
        <v>57</v>
      </c>
      <c r="L181" s="21"/>
      <c r="M181" s="327" t="str">
        <f>"22,114"</f>
        <v>22,114</v>
      </c>
      <c r="N181" s="244" t="s">
        <v>1980</v>
      </c>
      <c r="O181" s="21"/>
      <c r="P181" s="21"/>
      <c r="Q181" s="21"/>
      <c r="R181" s="21"/>
      <c r="S181" s="20"/>
    </row>
    <row r="182" spans="1:19" x14ac:dyDescent="0.3">
      <c r="A182" s="18"/>
      <c r="B182" s="42" t="s">
        <v>1914</v>
      </c>
      <c r="C182" s="44" t="e">
        <f>NA()</f>
        <v>#N/A</v>
      </c>
      <c r="D182" s="42" t="s">
        <v>1919</v>
      </c>
      <c r="E182" s="317">
        <v>162.80000000000001</v>
      </c>
      <c r="F182" s="21"/>
      <c r="G182" s="21"/>
      <c r="H182" s="1" t="str">
        <v>tom HOPPER</v>
      </c>
      <c r="I182" s="320" t="str">
        <v>err: #N/A</v>
      </c>
      <c r="J182" s="1" t="str">
        <v>chemist</v>
      </c>
      <c r="K182" s="325">
        <v>162.80000000000001</v>
      </c>
      <c r="L182" s="21"/>
      <c r="M182" s="244" t="s">
        <v>1979</v>
      </c>
      <c r="N182" s="244" t="s">
        <v>1981</v>
      </c>
      <c r="O182" s="21"/>
      <c r="P182" s="21"/>
      <c r="Q182" s="21"/>
      <c r="R182" s="21"/>
      <c r="S182" s="20"/>
    </row>
    <row r="183" spans="1:19" x14ac:dyDescent="0.3">
      <c r="A183" s="18"/>
      <c r="B183" s="42" t="s">
        <v>1915</v>
      </c>
      <c r="C183" s="44">
        <v>30</v>
      </c>
      <c r="D183" s="42" t="s">
        <v>1920</v>
      </c>
      <c r="E183" s="317"/>
      <c r="F183" s="21"/>
      <c r="G183" s="21"/>
      <c r="H183" s="319" t="str">
        <v>Was a 'B' name</v>
      </c>
      <c r="I183" s="321">
        <v>30</v>
      </c>
      <c r="J183" s="1" t="str">
        <v>architect</v>
      </c>
      <c r="K183" s="325" t="str">
        <v/>
      </c>
      <c r="L183" s="21"/>
      <c r="M183" s="21"/>
      <c r="N183" s="21"/>
      <c r="O183" s="21"/>
      <c r="P183" s="21"/>
      <c r="Q183" s="21"/>
      <c r="R183" s="21"/>
      <c r="S183" s="20"/>
    </row>
    <row r="184" spans="1:19" x14ac:dyDescent="0.3">
      <c r="A184" s="18"/>
      <c r="B184" s="42" t="s">
        <v>1916</v>
      </c>
      <c r="C184" s="44">
        <v>50</v>
      </c>
      <c r="D184" s="42" t="s">
        <v>1921</v>
      </c>
      <c r="E184" s="317">
        <v>122.3</v>
      </c>
      <c r="F184" s="21"/>
      <c r="G184" s="21"/>
      <c r="H184" s="1" t="str">
        <v>Anna Lukin</v>
      </c>
      <c r="I184" s="321">
        <v>50</v>
      </c>
      <c r="J184" s="1" t="str">
        <v>physicist</v>
      </c>
      <c r="K184" s="325">
        <v>122.3</v>
      </c>
      <c r="L184" s="21"/>
      <c r="M184" s="21"/>
      <c r="N184" s="21"/>
      <c r="O184" s="21"/>
      <c r="P184" s="21"/>
      <c r="Q184" s="21"/>
      <c r="R184" s="21"/>
      <c r="S184" s="20"/>
    </row>
    <row r="185" spans="1:19" x14ac:dyDescent="0.3">
      <c r="A185" s="18"/>
      <c r="B185" s="21"/>
      <c r="C185" s="21"/>
      <c r="D185" s="21"/>
      <c r="E185" s="21"/>
      <c r="F185" s="21"/>
      <c r="G185" s="21"/>
      <c r="H185" s="21"/>
      <c r="I185" s="21"/>
      <c r="J185" s="21"/>
      <c r="K185" s="21"/>
      <c r="L185" s="21"/>
      <c r="M185" s="21"/>
      <c r="N185" s="21"/>
      <c r="O185" s="21"/>
      <c r="P185" s="21"/>
      <c r="Q185" s="21"/>
      <c r="R185" s="21"/>
      <c r="S185" s="20"/>
    </row>
    <row r="186" spans="1:19" x14ac:dyDescent="0.3">
      <c r="A186" s="18"/>
      <c r="B186" s="21"/>
      <c r="C186" s="21"/>
      <c r="D186" s="21"/>
      <c r="E186" s="21"/>
      <c r="F186" s="21"/>
      <c r="G186" s="21"/>
      <c r="H186" s="21"/>
      <c r="I186" s="21"/>
      <c r="J186" s="21"/>
      <c r="K186" s="21"/>
      <c r="L186" s="21"/>
      <c r="M186" s="21"/>
      <c r="N186" s="21"/>
      <c r="O186" s="21"/>
      <c r="P186" s="21"/>
      <c r="Q186" s="21"/>
      <c r="R186" s="21"/>
      <c r="S186" s="20"/>
    </row>
    <row r="187" spans="1:19" x14ac:dyDescent="0.3">
      <c r="A187" s="18"/>
      <c r="B187" s="21"/>
      <c r="C187" s="21"/>
      <c r="D187" s="21"/>
      <c r="E187" s="21"/>
      <c r="F187" s="21"/>
      <c r="G187" s="21"/>
      <c r="H187" s="475" t="s">
        <v>3409</v>
      </c>
      <c r="I187" s="475"/>
      <c r="J187" s="475"/>
      <c r="K187" s="475"/>
      <c r="L187" s="21"/>
      <c r="M187" s="492" t="s">
        <v>1885</v>
      </c>
      <c r="N187" s="529"/>
      <c r="O187" s="529"/>
      <c r="P187" s="529"/>
      <c r="Q187" s="493"/>
      <c r="R187" s="21"/>
      <c r="S187" s="20"/>
    </row>
    <row r="188" spans="1:19" x14ac:dyDescent="0.3">
      <c r="A188" s="18"/>
      <c r="B188" s="21"/>
      <c r="C188" s="21"/>
      <c r="D188" s="21"/>
      <c r="E188" s="21"/>
      <c r="F188" s="21"/>
      <c r="G188" s="21"/>
      <c r="H188" s="3" t="str">
        <f t="array" ref="H188:K193">_xll.U.REPLACE(B179:E184,M189:Q191)</f>
        <v>Name</v>
      </c>
      <c r="I188" s="3" t="str">
        <v>Age</v>
      </c>
      <c r="J188" s="3" t="str">
        <v>Occupation</v>
      </c>
      <c r="K188" s="3" t="str">
        <v>Weight</v>
      </c>
      <c r="L188" s="21"/>
      <c r="M188" s="3" t="s">
        <v>772</v>
      </c>
      <c r="N188" s="3" t="s">
        <v>693</v>
      </c>
      <c r="O188" s="3" t="s">
        <v>96</v>
      </c>
      <c r="P188" s="3" t="s">
        <v>93</v>
      </c>
      <c r="Q188" s="3" t="s">
        <v>1984</v>
      </c>
      <c r="R188" s="21"/>
      <c r="S188" s="20"/>
    </row>
    <row r="189" spans="1:19" x14ac:dyDescent="0.3">
      <c r="A189" s="18"/>
      <c r="B189" s="21"/>
      <c r="C189" s="21"/>
      <c r="D189" s="21"/>
      <c r="E189" s="21"/>
      <c r="F189" s="21"/>
      <c r="G189" s="21"/>
      <c r="H189" s="319" t="str">
        <v>Was a 'B' name</v>
      </c>
      <c r="I189" s="321">
        <v>37</v>
      </c>
      <c r="J189" s="1" t="str">
        <v>teacher</v>
      </c>
      <c r="K189" s="325">
        <v>182.4</v>
      </c>
      <c r="L189" s="21"/>
      <c r="M189" s="244" t="s">
        <v>1982</v>
      </c>
      <c r="N189" s="244" t="s">
        <v>1983</v>
      </c>
      <c r="O189" s="244"/>
      <c r="P189" s="326" t="str">
        <f>"1-4"</f>
        <v>1-4</v>
      </c>
      <c r="Q189" s="244"/>
      <c r="R189" s="21"/>
      <c r="S189" s="20"/>
    </row>
    <row r="190" spans="1:19" x14ac:dyDescent="0.3">
      <c r="A190" s="18"/>
      <c r="B190" s="21"/>
      <c r="C190" s="21"/>
      <c r="D190" s="21"/>
      <c r="E190" s="21"/>
      <c r="F190" s="21"/>
      <c r="G190" s="21"/>
      <c r="H190" s="1" t="str">
        <v>Sally Smith</v>
      </c>
      <c r="I190" s="37">
        <v>22</v>
      </c>
      <c r="J190" s="1" t="str">
        <v>engineer</v>
      </c>
      <c r="K190" s="323">
        <v>57</v>
      </c>
      <c r="L190" s="21"/>
      <c r="M190" s="327" t="str">
        <f>"22,114"</f>
        <v>22,114</v>
      </c>
      <c r="N190" s="244" t="s">
        <v>1980</v>
      </c>
      <c r="O190" s="244" t="s">
        <v>1911</v>
      </c>
      <c r="P190" s="244"/>
      <c r="Q190" s="244"/>
      <c r="R190" s="21"/>
      <c r="S190" s="20"/>
    </row>
    <row r="191" spans="1:19" x14ac:dyDescent="0.3">
      <c r="A191" s="18"/>
      <c r="B191" s="21"/>
      <c r="C191" s="21"/>
      <c r="D191" s="21"/>
      <c r="E191" s="21"/>
      <c r="F191" s="21"/>
      <c r="G191" s="21"/>
      <c r="H191" s="1" t="str">
        <v>tom HOPPER</v>
      </c>
      <c r="I191" s="320" t="str">
        <v>err: #N/A</v>
      </c>
      <c r="J191" s="1" t="str">
        <v>chemist</v>
      </c>
      <c r="K191" s="325">
        <v>162.80000000000001</v>
      </c>
      <c r="L191" s="21"/>
      <c r="M191" s="244" t="s">
        <v>1979</v>
      </c>
      <c r="N191" s="244" t="s">
        <v>1981</v>
      </c>
      <c r="O191" s="244"/>
      <c r="P191" s="244"/>
      <c r="Q191" s="244"/>
      <c r="R191" s="21"/>
      <c r="S191" s="20"/>
    </row>
    <row r="192" spans="1:19" x14ac:dyDescent="0.3">
      <c r="A192" s="18"/>
      <c r="B192" s="21"/>
      <c r="C192" s="21"/>
      <c r="D192" s="21"/>
      <c r="E192" s="21"/>
      <c r="F192" s="21"/>
      <c r="G192" s="21"/>
      <c r="H192" s="322" t="str">
        <v>Billy Bragg</v>
      </c>
      <c r="I192" s="321">
        <v>30</v>
      </c>
      <c r="J192" s="1" t="str">
        <v>architect</v>
      </c>
      <c r="K192" s="325" t="str">
        <v/>
      </c>
      <c r="L192" s="21"/>
      <c r="M192" s="21"/>
      <c r="N192" s="21"/>
      <c r="O192" s="21"/>
      <c r="P192" s="21"/>
      <c r="Q192" s="21"/>
      <c r="R192" s="21"/>
      <c r="S192" s="20"/>
    </row>
    <row r="193" spans="1:19" x14ac:dyDescent="0.3">
      <c r="A193" s="18"/>
      <c r="B193" s="21"/>
      <c r="C193" s="21"/>
      <c r="D193" s="21"/>
      <c r="E193" s="21"/>
      <c r="F193" s="21"/>
      <c r="G193" s="21"/>
      <c r="H193" s="1" t="str">
        <v>Anna Lukin</v>
      </c>
      <c r="I193" s="321">
        <v>50</v>
      </c>
      <c r="J193" s="1" t="str">
        <v>physicist</v>
      </c>
      <c r="K193" s="325">
        <v>122.3</v>
      </c>
      <c r="L193" s="21"/>
      <c r="M193" s="21"/>
      <c r="N193" s="21"/>
      <c r="O193" s="21"/>
      <c r="P193" s="21"/>
      <c r="Q193" s="21"/>
      <c r="R193" s="21"/>
      <c r="S193" s="20"/>
    </row>
    <row r="194" spans="1:19" x14ac:dyDescent="0.3">
      <c r="A194" s="18"/>
      <c r="B194" s="21"/>
      <c r="C194" s="21"/>
      <c r="D194" s="21"/>
      <c r="E194" s="21"/>
      <c r="F194" s="21"/>
      <c r="G194" s="21"/>
      <c r="H194" s="21"/>
      <c r="I194" s="21"/>
      <c r="J194" s="21"/>
      <c r="K194" s="21"/>
      <c r="L194" s="21"/>
      <c r="M194" s="21"/>
      <c r="N194" s="21"/>
      <c r="O194" s="21"/>
      <c r="P194" s="21"/>
      <c r="Q194" s="21"/>
      <c r="R194" s="21"/>
      <c r="S194" s="20"/>
    </row>
    <row r="195" spans="1:19" x14ac:dyDescent="0.3">
      <c r="A195" s="18"/>
      <c r="B195" s="21"/>
      <c r="C195" s="21"/>
      <c r="D195" s="21"/>
      <c r="E195" s="21"/>
      <c r="F195" s="21"/>
      <c r="G195" s="21"/>
      <c r="H195" s="21"/>
      <c r="I195" s="21"/>
      <c r="J195" s="21"/>
      <c r="K195" s="21"/>
      <c r="L195" s="21"/>
      <c r="M195" s="21"/>
      <c r="N195" s="21"/>
      <c r="O195" s="21"/>
      <c r="P195" s="21"/>
      <c r="Q195" s="21"/>
      <c r="R195" s="21"/>
      <c r="S195" s="20"/>
    </row>
    <row r="196" spans="1:19" x14ac:dyDescent="0.3">
      <c r="A196" s="18"/>
      <c r="B196" s="21"/>
      <c r="C196" s="21"/>
      <c r="D196" s="21"/>
      <c r="E196" s="21"/>
      <c r="F196" s="21"/>
      <c r="G196" s="21"/>
      <c r="H196" s="21"/>
      <c r="I196" s="21"/>
      <c r="J196" s="21"/>
      <c r="K196" s="21"/>
      <c r="L196" s="21"/>
      <c r="M196" s="21"/>
      <c r="N196" s="21"/>
      <c r="O196" s="21"/>
      <c r="P196" s="21"/>
      <c r="Q196" s="21"/>
      <c r="R196" s="21"/>
      <c r="S196" s="20"/>
    </row>
    <row r="197" spans="1:19" x14ac:dyDescent="0.3">
      <c r="A197" s="18"/>
      <c r="B197" s="21"/>
      <c r="C197" s="21"/>
      <c r="D197" s="21"/>
      <c r="E197" s="21"/>
      <c r="F197" s="21"/>
      <c r="G197" s="21"/>
      <c r="H197" s="21"/>
      <c r="I197" s="21"/>
      <c r="J197" s="21"/>
      <c r="K197" s="21"/>
      <c r="L197" s="21"/>
      <c r="M197" s="21"/>
      <c r="N197" s="21"/>
      <c r="O197" s="21"/>
      <c r="P197" s="21"/>
      <c r="Q197" s="21"/>
      <c r="R197" s="21"/>
      <c r="S197" s="20"/>
    </row>
    <row r="198" spans="1:19" x14ac:dyDescent="0.3">
      <c r="A198" s="18"/>
      <c r="B198" s="21"/>
      <c r="C198" s="21"/>
      <c r="D198" s="21"/>
      <c r="E198" s="21"/>
      <c r="F198" s="21"/>
      <c r="G198" s="21"/>
      <c r="H198" s="21"/>
      <c r="I198" s="21"/>
      <c r="J198" s="21"/>
      <c r="K198" s="21"/>
      <c r="L198" s="21"/>
      <c r="M198" s="21"/>
      <c r="N198" s="21"/>
      <c r="O198" s="21"/>
      <c r="P198" s="21"/>
      <c r="Q198" s="21"/>
      <c r="R198" s="21"/>
      <c r="S198" s="20"/>
    </row>
    <row r="199" spans="1:19" x14ac:dyDescent="0.3">
      <c r="A199" s="18"/>
      <c r="B199" s="21"/>
      <c r="C199" s="21"/>
      <c r="D199" s="21"/>
      <c r="E199" s="21"/>
      <c r="F199" s="21"/>
      <c r="G199" s="21"/>
      <c r="H199" s="21"/>
      <c r="I199" s="21"/>
      <c r="J199" s="21"/>
      <c r="K199" s="21"/>
      <c r="L199" s="21"/>
      <c r="M199" s="21"/>
      <c r="N199" s="21"/>
      <c r="O199" s="21"/>
      <c r="P199" s="21"/>
      <c r="Q199" s="21"/>
      <c r="R199" s="21"/>
      <c r="S199" s="20"/>
    </row>
    <row r="200" spans="1:19" x14ac:dyDescent="0.3">
      <c r="A200" s="18"/>
      <c r="B200" s="21"/>
      <c r="C200" s="21"/>
      <c r="D200" s="21"/>
      <c r="E200" s="21"/>
      <c r="F200" s="21"/>
      <c r="G200" s="21"/>
      <c r="H200" s="21"/>
      <c r="I200" s="21"/>
      <c r="J200" s="21"/>
      <c r="K200" s="21"/>
      <c r="L200" s="21"/>
      <c r="M200" s="21"/>
      <c r="N200" s="21"/>
      <c r="O200" s="21"/>
      <c r="P200" s="21"/>
      <c r="Q200" s="21"/>
      <c r="R200" s="21"/>
      <c r="S200" s="20"/>
    </row>
    <row r="201" spans="1:19" x14ac:dyDescent="0.3">
      <c r="A201" s="18"/>
      <c r="B201" s="21"/>
      <c r="C201" s="21"/>
      <c r="D201" s="21"/>
      <c r="E201" s="21"/>
      <c r="F201" s="21"/>
      <c r="G201" s="21"/>
      <c r="H201" s="21"/>
      <c r="I201" s="21"/>
      <c r="J201" s="21"/>
      <c r="K201" s="21"/>
      <c r="L201" s="21"/>
      <c r="M201" s="21"/>
      <c r="N201" s="21"/>
      <c r="O201" s="21"/>
      <c r="P201" s="21"/>
      <c r="Q201" s="21"/>
      <c r="R201" s="21"/>
      <c r="S201" s="20"/>
    </row>
    <row r="202" spans="1:19" x14ac:dyDescent="0.3">
      <c r="A202" s="18"/>
      <c r="B202" s="21"/>
      <c r="C202" s="21"/>
      <c r="D202" s="21"/>
      <c r="E202" s="21"/>
      <c r="F202" s="21"/>
      <c r="G202" s="21"/>
      <c r="H202" s="21"/>
      <c r="I202" s="21"/>
      <c r="J202" s="21"/>
      <c r="K202" s="21"/>
      <c r="L202" s="21"/>
      <c r="M202" s="21"/>
      <c r="N202" s="21"/>
      <c r="O202" s="21"/>
      <c r="P202" s="21"/>
      <c r="Q202" s="21"/>
      <c r="R202" s="21"/>
      <c r="S202" s="20"/>
    </row>
    <row r="203" spans="1:19" x14ac:dyDescent="0.3">
      <c r="A203" s="18"/>
      <c r="B203" s="21"/>
      <c r="C203" s="21"/>
      <c r="D203" s="21"/>
      <c r="E203" s="21"/>
      <c r="F203" s="21"/>
      <c r="G203" s="21"/>
      <c r="H203" s="21"/>
      <c r="I203" s="21"/>
      <c r="J203" s="21"/>
      <c r="K203" s="21"/>
      <c r="L203" s="21"/>
      <c r="M203" s="21"/>
      <c r="N203" s="21"/>
      <c r="O203" s="21"/>
      <c r="P203" s="21"/>
      <c r="Q203" s="21"/>
      <c r="R203" s="21"/>
      <c r="S203" s="20"/>
    </row>
    <row r="204" spans="1:19" x14ac:dyDescent="0.3">
      <c r="A204" s="18"/>
      <c r="B204" s="21"/>
      <c r="C204" s="21"/>
      <c r="D204" s="21"/>
      <c r="E204" s="21"/>
      <c r="F204" s="21"/>
      <c r="G204" s="21"/>
      <c r="H204" s="475" t="s">
        <v>3409</v>
      </c>
      <c r="I204" s="475"/>
      <c r="J204" s="475"/>
      <c r="K204" s="475"/>
      <c r="L204" s="21"/>
      <c r="M204" s="492" t="s">
        <v>1885</v>
      </c>
      <c r="N204" s="493"/>
      <c r="O204" s="21"/>
      <c r="P204" s="21"/>
      <c r="Q204" s="21"/>
      <c r="R204" s="21"/>
      <c r="S204" s="20"/>
    </row>
    <row r="205" spans="1:19" x14ac:dyDescent="0.3">
      <c r="A205" s="18"/>
      <c r="B205" s="21"/>
      <c r="C205" s="21"/>
      <c r="D205" s="21"/>
      <c r="E205" s="21"/>
      <c r="F205" s="21"/>
      <c r="G205" s="21"/>
      <c r="H205" s="3" t="str">
        <f t="array" ref="H205:K210">_xll.U.REPLACE(B179:E184,M206:N208,,,M211:M212)</f>
        <v>Name</v>
      </c>
      <c r="I205" s="3" t="str">
        <v>Age</v>
      </c>
      <c r="J205" s="3" t="str">
        <v>Occupation</v>
      </c>
      <c r="K205" s="3" t="str">
        <v>Weight</v>
      </c>
      <c r="L205" s="21"/>
      <c r="M205" s="3" t="s">
        <v>772</v>
      </c>
      <c r="N205" s="3" t="s">
        <v>693</v>
      </c>
      <c r="O205" s="21"/>
      <c r="P205" s="21"/>
      <c r="Q205" s="21"/>
      <c r="R205" s="21"/>
      <c r="S205" s="20"/>
    </row>
    <row r="206" spans="1:19" x14ac:dyDescent="0.3">
      <c r="A206" s="18"/>
      <c r="B206" s="21"/>
      <c r="C206" s="21"/>
      <c r="D206" s="21"/>
      <c r="E206" s="21"/>
      <c r="F206" s="21"/>
      <c r="G206" s="21"/>
      <c r="H206" s="319" t="str">
        <v>Was a 'B' name</v>
      </c>
      <c r="I206" s="321">
        <v>37</v>
      </c>
      <c r="J206" s="1" t="str">
        <v>teacher</v>
      </c>
      <c r="K206" s="325">
        <v>182.4</v>
      </c>
      <c r="L206" s="21"/>
      <c r="M206" s="244" t="s">
        <v>1982</v>
      </c>
      <c r="N206" s="244" t="s">
        <v>1983</v>
      </c>
      <c r="O206" s="21"/>
      <c r="P206" s="21"/>
      <c r="Q206" s="21"/>
      <c r="R206" s="21"/>
      <c r="S206" s="20"/>
    </row>
    <row r="207" spans="1:19" x14ac:dyDescent="0.3">
      <c r="A207" s="18"/>
      <c r="B207" s="21"/>
      <c r="C207" s="21"/>
      <c r="D207" s="21"/>
      <c r="E207" s="21"/>
      <c r="F207" s="21"/>
      <c r="G207" s="21"/>
      <c r="H207" s="1" t="str">
        <v>Sally Smith</v>
      </c>
      <c r="I207" s="320">
        <v>11</v>
      </c>
      <c r="J207" s="1" t="str">
        <v>engineer</v>
      </c>
      <c r="K207" s="323">
        <v>57</v>
      </c>
      <c r="L207" s="21"/>
      <c r="M207" s="327" t="s">
        <v>221</v>
      </c>
      <c r="N207" s="244" t="s">
        <v>1980</v>
      </c>
      <c r="O207" s="21"/>
      <c r="P207" s="21"/>
      <c r="Q207" s="21"/>
      <c r="R207" s="21"/>
      <c r="S207" s="20"/>
    </row>
    <row r="208" spans="1:19" x14ac:dyDescent="0.3">
      <c r="A208" s="18"/>
      <c r="B208" s="21"/>
      <c r="C208" s="21"/>
      <c r="D208" s="21"/>
      <c r="E208" s="21"/>
      <c r="F208" s="21"/>
      <c r="G208" s="21"/>
      <c r="H208" s="1" t="str">
        <v>tom HOPPER</v>
      </c>
      <c r="I208" s="320" t="str">
        <v>err: #N/A</v>
      </c>
      <c r="J208" s="1" t="str">
        <v>chemist</v>
      </c>
      <c r="K208" s="325">
        <v>162.80000000000001</v>
      </c>
      <c r="L208" s="21"/>
      <c r="M208" s="244" t="s">
        <v>1979</v>
      </c>
      <c r="N208" s="244" t="s">
        <v>1981</v>
      </c>
      <c r="O208" s="21"/>
      <c r="P208" s="21"/>
      <c r="Q208" s="21"/>
      <c r="R208" s="21"/>
      <c r="S208" s="20"/>
    </row>
    <row r="209" spans="1:19" x14ac:dyDescent="0.3">
      <c r="A209" s="18"/>
      <c r="B209" s="21"/>
      <c r="C209" s="21"/>
      <c r="D209" s="21"/>
      <c r="E209" s="21"/>
      <c r="F209" s="21"/>
      <c r="G209" s="21"/>
      <c r="H209" s="319" t="str">
        <v>Was a 'B' name</v>
      </c>
      <c r="I209" s="321">
        <v>30</v>
      </c>
      <c r="J209" s="1" t="str">
        <v>architect</v>
      </c>
      <c r="K209" s="325" t="str">
        <v/>
      </c>
      <c r="L209" s="21"/>
      <c r="M209" s="21"/>
      <c r="N209" s="21"/>
      <c r="O209" s="21"/>
      <c r="P209" s="21"/>
      <c r="Q209" s="21"/>
      <c r="R209" s="21"/>
      <c r="S209" s="20"/>
    </row>
    <row r="210" spans="1:19" x14ac:dyDescent="0.3">
      <c r="A210" s="18"/>
      <c r="B210" s="21"/>
      <c r="C210" s="21"/>
      <c r="D210" s="21"/>
      <c r="E210" s="21"/>
      <c r="F210" s="21"/>
      <c r="G210" s="21"/>
      <c r="H210" s="1" t="str">
        <v>Anna Lukin</v>
      </c>
      <c r="I210" s="321">
        <v>50</v>
      </c>
      <c r="J210" s="1" t="str">
        <v>physicist</v>
      </c>
      <c r="K210" s="325">
        <v>122.3</v>
      </c>
      <c r="L210" s="21"/>
      <c r="M210" s="3" t="s">
        <v>222</v>
      </c>
      <c r="N210" s="21"/>
      <c r="O210" s="21"/>
      <c r="P210" s="21"/>
      <c r="Q210" s="21"/>
      <c r="R210" s="21"/>
      <c r="S210" s="20"/>
    </row>
    <row r="211" spans="1:19" x14ac:dyDescent="0.3">
      <c r="A211" s="18"/>
      <c r="B211" s="21"/>
      <c r="C211" s="21"/>
      <c r="D211" s="21"/>
      <c r="E211" s="21"/>
      <c r="F211" s="21"/>
      <c r="G211" s="21"/>
      <c r="H211" s="21"/>
      <c r="I211" s="21"/>
      <c r="J211" s="21"/>
      <c r="K211" s="21"/>
      <c r="L211" s="21"/>
      <c r="M211" s="327">
        <v>22</v>
      </c>
      <c r="N211" s="21"/>
      <c r="O211" s="21"/>
      <c r="P211" s="21"/>
      <c r="Q211" s="21"/>
      <c r="R211" s="21"/>
      <c r="S211" s="20"/>
    </row>
    <row r="212" spans="1:19" x14ac:dyDescent="0.3">
      <c r="A212" s="18"/>
      <c r="B212" s="21"/>
      <c r="C212" s="21"/>
      <c r="D212" s="21"/>
      <c r="E212" s="21"/>
      <c r="F212" s="21"/>
      <c r="G212" s="21"/>
      <c r="H212" s="21"/>
      <c r="I212" s="21"/>
      <c r="J212" s="21"/>
      <c r="K212" s="21"/>
      <c r="L212" s="21"/>
      <c r="M212" s="327">
        <v>114</v>
      </c>
      <c r="N212" s="21"/>
      <c r="O212" s="21"/>
      <c r="P212" s="21"/>
      <c r="Q212" s="21"/>
      <c r="R212" s="21"/>
      <c r="S212" s="20"/>
    </row>
    <row r="213" spans="1:19" x14ac:dyDescent="0.3">
      <c r="A213" s="18"/>
      <c r="B213" s="21"/>
      <c r="C213" s="21"/>
      <c r="D213" s="21"/>
      <c r="E213" s="21"/>
      <c r="F213" s="21"/>
      <c r="G213" s="21"/>
      <c r="H213" s="21"/>
      <c r="I213" s="21"/>
      <c r="J213" s="21"/>
      <c r="K213" s="21"/>
      <c r="L213" s="21"/>
      <c r="M213" s="21"/>
      <c r="N213" s="21"/>
      <c r="O213" s="21"/>
      <c r="P213" s="21"/>
      <c r="Q213" s="21"/>
      <c r="R213" s="21"/>
      <c r="S213" s="20"/>
    </row>
    <row r="214" spans="1:19" x14ac:dyDescent="0.3">
      <c r="A214" s="18"/>
      <c r="B214" s="21"/>
      <c r="C214" s="21"/>
      <c r="D214" s="21"/>
      <c r="E214" s="21"/>
      <c r="F214" s="21"/>
      <c r="G214" s="21"/>
      <c r="H214" s="21"/>
      <c r="I214" s="21"/>
      <c r="J214" s="21"/>
      <c r="K214" s="21"/>
      <c r="L214" s="21"/>
      <c r="M214" s="21"/>
      <c r="N214" s="21"/>
      <c r="O214" s="21"/>
      <c r="P214" s="21"/>
      <c r="Q214" s="21"/>
      <c r="R214" s="21"/>
      <c r="S214" s="20"/>
    </row>
    <row r="215" spans="1:19" x14ac:dyDescent="0.3">
      <c r="A215" s="18"/>
      <c r="B215" s="21"/>
      <c r="C215" s="21"/>
      <c r="D215" s="21"/>
      <c r="E215" s="21"/>
      <c r="F215" s="21"/>
      <c r="G215" s="21"/>
      <c r="H215" s="21"/>
      <c r="I215" s="21"/>
      <c r="J215" s="21"/>
      <c r="K215" s="21"/>
      <c r="L215" s="21"/>
      <c r="M215" s="21"/>
      <c r="N215" s="21"/>
      <c r="O215" s="21"/>
      <c r="P215" s="21"/>
      <c r="Q215" s="21"/>
      <c r="R215" s="21"/>
      <c r="S215" s="20"/>
    </row>
    <row r="216" spans="1:19" x14ac:dyDescent="0.3">
      <c r="A216" s="18"/>
      <c r="B216" s="21"/>
      <c r="C216" s="21"/>
      <c r="D216" s="21"/>
      <c r="E216" s="21"/>
      <c r="F216" s="21"/>
      <c r="G216" s="21"/>
      <c r="H216" s="21"/>
      <c r="I216" s="21"/>
      <c r="J216" s="21"/>
      <c r="K216" s="21"/>
      <c r="L216" s="21"/>
      <c r="M216" s="21"/>
      <c r="N216" s="21"/>
      <c r="O216" s="21"/>
      <c r="P216" s="21"/>
      <c r="Q216" s="21"/>
      <c r="R216" s="21"/>
      <c r="S216" s="20"/>
    </row>
    <row r="217" spans="1:19" x14ac:dyDescent="0.3">
      <c r="A217" s="18"/>
      <c r="B217" s="21"/>
      <c r="C217" s="21"/>
      <c r="D217" s="21"/>
      <c r="E217" s="21"/>
      <c r="F217" s="21"/>
      <c r="G217" s="21"/>
      <c r="H217" s="21"/>
      <c r="I217" s="21"/>
      <c r="J217" s="21"/>
      <c r="K217" s="21"/>
      <c r="L217" s="21"/>
      <c r="M217" s="21"/>
      <c r="N217" s="21"/>
      <c r="O217" s="21"/>
      <c r="P217" s="21"/>
      <c r="Q217" s="21"/>
      <c r="R217" s="21"/>
      <c r="S217" s="20"/>
    </row>
    <row r="218" spans="1:19" x14ac:dyDescent="0.3">
      <c r="A218" s="18"/>
      <c r="B218" s="21"/>
      <c r="C218" s="21"/>
      <c r="D218" s="21"/>
      <c r="E218" s="21"/>
      <c r="F218" s="21"/>
      <c r="G218" s="21"/>
      <c r="H218" s="475" t="s">
        <v>3409</v>
      </c>
      <c r="I218" s="475"/>
      <c r="J218" s="475"/>
      <c r="K218" s="475"/>
      <c r="L218" s="21"/>
      <c r="M218" s="492" t="s">
        <v>1885</v>
      </c>
      <c r="N218" s="529"/>
      <c r="O218" s="529"/>
      <c r="P218" s="529"/>
      <c r="Q218" s="529"/>
      <c r="R218" s="493"/>
      <c r="S218" s="20"/>
    </row>
    <row r="219" spans="1:19" x14ac:dyDescent="0.3">
      <c r="A219" s="18"/>
      <c r="B219" s="21"/>
      <c r="C219" s="21"/>
      <c r="D219" s="21"/>
      <c r="E219" s="21"/>
      <c r="F219" s="21"/>
      <c r="G219" s="21"/>
      <c r="H219" s="3" t="str">
        <f t="array" ref="H219:K224">_xll.U.REPLACE(B179:E184,,M220:R221)</f>
        <v>Name</v>
      </c>
      <c r="I219" s="3" t="str">
        <v>Age</v>
      </c>
      <c r="J219" s="3" t="str">
        <v>Occupation</v>
      </c>
      <c r="K219" s="3" t="str">
        <v>Weight</v>
      </c>
      <c r="L219" s="21"/>
      <c r="M219" s="3" t="s">
        <v>1739</v>
      </c>
      <c r="N219" s="3" t="s">
        <v>1740</v>
      </c>
      <c r="O219" s="3" t="s">
        <v>693</v>
      </c>
      <c r="P219" s="3" t="s">
        <v>96</v>
      </c>
      <c r="Q219" s="3" t="s">
        <v>93</v>
      </c>
      <c r="R219" s="3" t="s">
        <v>1984</v>
      </c>
      <c r="S219" s="20"/>
    </row>
    <row r="220" spans="1:19" x14ac:dyDescent="0.3">
      <c r="A220" s="18"/>
      <c r="B220" s="21"/>
      <c r="C220" s="21"/>
      <c r="D220" s="21"/>
      <c r="E220" s="21"/>
      <c r="F220" s="21"/>
      <c r="G220" s="21"/>
      <c r="H220" s="319" t="str">
        <v>A-M name</v>
      </c>
      <c r="I220" s="320" t="str">
        <v>Under 40</v>
      </c>
      <c r="J220" s="1" t="str">
        <v>teacher</v>
      </c>
      <c r="K220" s="325">
        <v>182.4</v>
      </c>
      <c r="L220" s="21"/>
      <c r="M220" s="244"/>
      <c r="N220" s="244">
        <v>39</v>
      </c>
      <c r="O220" s="244" t="s">
        <v>1986</v>
      </c>
      <c r="P220" s="244"/>
      <c r="Q220" s="326"/>
      <c r="R220" s="244"/>
      <c r="S220" s="20"/>
    </row>
    <row r="221" spans="1:19" x14ac:dyDescent="0.3">
      <c r="A221" s="18"/>
      <c r="B221" s="21"/>
      <c r="C221" s="21"/>
      <c r="D221" s="21"/>
      <c r="E221" s="21"/>
      <c r="F221" s="21"/>
      <c r="G221" s="21"/>
      <c r="H221" s="1" t="str">
        <v>Sally Smith</v>
      </c>
      <c r="I221" s="320" t="str">
        <v>Under 40</v>
      </c>
      <c r="J221" s="1" t="str">
        <v>engineer</v>
      </c>
      <c r="K221" s="325">
        <v>114</v>
      </c>
      <c r="L221" s="21"/>
      <c r="M221" s="327" t="s">
        <v>77</v>
      </c>
      <c r="N221" s="244" t="s">
        <v>1987</v>
      </c>
      <c r="O221" s="244" t="s">
        <v>1988</v>
      </c>
      <c r="P221" s="244" t="s">
        <v>679</v>
      </c>
      <c r="Q221" s="244"/>
      <c r="R221" s="244"/>
      <c r="S221" s="20"/>
    </row>
    <row r="222" spans="1:19" x14ac:dyDescent="0.3">
      <c r="A222" s="18"/>
      <c r="B222" s="21"/>
      <c r="C222" s="21"/>
      <c r="D222" s="21"/>
      <c r="E222" s="21"/>
      <c r="F222" s="21"/>
      <c r="G222" s="21"/>
      <c r="H222" s="1" t="str">
        <v>tom HOPPER</v>
      </c>
      <c r="I222" s="321" t="e">
        <v>#N/A</v>
      </c>
      <c r="J222" s="1" t="str">
        <v>chemist</v>
      </c>
      <c r="K222" s="325">
        <v>162.80000000000001</v>
      </c>
      <c r="L222" s="21"/>
      <c r="M222" s="21"/>
      <c r="N222" s="21"/>
      <c r="O222" s="21"/>
      <c r="P222" s="21"/>
      <c r="Q222" s="21"/>
      <c r="R222" s="21"/>
      <c r="S222" s="20"/>
    </row>
    <row r="223" spans="1:19" x14ac:dyDescent="0.3">
      <c r="A223" s="18"/>
      <c r="B223" s="21"/>
      <c r="C223" s="21"/>
      <c r="D223" s="21"/>
      <c r="E223" s="21"/>
      <c r="F223" s="21"/>
      <c r="G223" s="21"/>
      <c r="H223" s="319" t="str">
        <v>A-M name</v>
      </c>
      <c r="I223" s="320" t="str">
        <v>Under 40</v>
      </c>
      <c r="J223" s="1" t="str">
        <v>architect</v>
      </c>
      <c r="K223" s="325" t="str">
        <v/>
      </c>
      <c r="L223" s="21"/>
      <c r="M223" s="21"/>
      <c r="N223" s="21"/>
      <c r="O223" s="21"/>
      <c r="P223" s="21"/>
      <c r="Q223" s="21"/>
      <c r="R223" s="21"/>
      <c r="S223" s="20"/>
    </row>
    <row r="224" spans="1:19" x14ac:dyDescent="0.3">
      <c r="A224" s="18"/>
      <c r="B224" s="21"/>
      <c r="C224" s="21"/>
      <c r="D224" s="21"/>
      <c r="E224" s="21"/>
      <c r="F224" s="21"/>
      <c r="G224" s="21"/>
      <c r="H224" s="319" t="str">
        <v>A-M name</v>
      </c>
      <c r="I224" s="321">
        <v>50</v>
      </c>
      <c r="J224" s="1" t="str">
        <v>physicist</v>
      </c>
      <c r="K224" s="325">
        <v>122.3</v>
      </c>
      <c r="L224" s="21"/>
      <c r="M224" s="21"/>
      <c r="N224" s="21"/>
      <c r="O224" s="21"/>
      <c r="P224" s="21"/>
      <c r="Q224" s="21"/>
      <c r="R224" s="21"/>
      <c r="S224" s="20"/>
    </row>
    <row r="225" spans="1:19" x14ac:dyDescent="0.3">
      <c r="A225" s="18"/>
      <c r="B225" s="21"/>
      <c r="C225" s="21"/>
      <c r="D225" s="21"/>
      <c r="E225" s="21"/>
      <c r="F225" s="21"/>
      <c r="G225" s="21"/>
      <c r="H225" s="21"/>
      <c r="I225" s="21"/>
      <c r="J225" s="21"/>
      <c r="K225" s="21"/>
      <c r="L225" s="21"/>
      <c r="M225" s="21"/>
      <c r="N225" s="21"/>
      <c r="O225" s="21"/>
      <c r="P225" s="21"/>
      <c r="Q225" s="21"/>
      <c r="R225" s="21"/>
      <c r="S225" s="20"/>
    </row>
    <row r="226" spans="1:19" x14ac:dyDescent="0.3">
      <c r="A226" s="18"/>
      <c r="B226" s="21"/>
      <c r="C226" s="21"/>
      <c r="D226" s="21"/>
      <c r="E226" s="21"/>
      <c r="F226" s="21"/>
      <c r="G226" s="21"/>
      <c r="H226" s="21"/>
      <c r="I226" s="21"/>
      <c r="J226" s="21"/>
      <c r="K226" s="21"/>
      <c r="L226" s="21"/>
      <c r="M226" s="21"/>
      <c r="N226" s="21"/>
      <c r="O226" s="21"/>
      <c r="P226" s="21"/>
      <c r="Q226" s="21"/>
      <c r="R226" s="21"/>
      <c r="S226" s="20"/>
    </row>
    <row r="227" spans="1:19" x14ac:dyDescent="0.3">
      <c r="A227" s="18"/>
      <c r="B227" s="21"/>
      <c r="C227" s="21"/>
      <c r="D227" s="21"/>
      <c r="E227" s="21"/>
      <c r="F227" s="21"/>
      <c r="G227" s="21"/>
      <c r="H227" s="21"/>
      <c r="I227" s="21"/>
      <c r="J227" s="21"/>
      <c r="K227" s="21"/>
      <c r="L227" s="21"/>
      <c r="M227" s="21"/>
      <c r="N227" s="21"/>
      <c r="O227" s="21"/>
      <c r="P227" s="21"/>
      <c r="Q227" s="21"/>
      <c r="R227" s="21"/>
      <c r="S227" s="20"/>
    </row>
    <row r="228" spans="1:19" x14ac:dyDescent="0.3">
      <c r="A228" s="18"/>
      <c r="B228" s="21"/>
      <c r="C228" s="21"/>
      <c r="D228" s="21"/>
      <c r="E228" s="21"/>
      <c r="F228" s="21"/>
      <c r="G228" s="21"/>
      <c r="H228" s="21"/>
      <c r="I228" s="21"/>
      <c r="J228" s="21"/>
      <c r="K228" s="21"/>
      <c r="L228" s="21"/>
      <c r="M228" s="21"/>
      <c r="N228" s="21"/>
      <c r="O228" s="21"/>
      <c r="P228" s="21"/>
      <c r="Q228" s="21"/>
      <c r="R228" s="21"/>
      <c r="S228" s="20"/>
    </row>
    <row r="229" spans="1:19" x14ac:dyDescent="0.3">
      <c r="A229" s="18"/>
      <c r="B229" s="21"/>
      <c r="C229" s="21"/>
      <c r="D229" s="21"/>
      <c r="E229" s="21"/>
      <c r="F229" s="21"/>
      <c r="G229" s="21"/>
      <c r="H229" s="21"/>
      <c r="I229" s="21"/>
      <c r="J229" s="21"/>
      <c r="K229" s="21"/>
      <c r="L229" s="21"/>
      <c r="M229" s="21"/>
      <c r="N229" s="21"/>
      <c r="O229" s="21"/>
      <c r="P229" s="21"/>
      <c r="Q229" s="21"/>
      <c r="R229" s="21"/>
      <c r="S229" s="20"/>
    </row>
    <row r="230" spans="1:19" x14ac:dyDescent="0.3">
      <c r="A230" s="18"/>
      <c r="B230" s="21"/>
      <c r="C230" s="21"/>
      <c r="D230" s="21"/>
      <c r="E230" s="21"/>
      <c r="F230" s="21"/>
      <c r="G230" s="21"/>
      <c r="H230" s="21"/>
      <c r="I230" s="21"/>
      <c r="J230" s="21"/>
      <c r="K230" s="21"/>
      <c r="L230" s="21"/>
      <c r="M230" s="21"/>
      <c r="N230" s="21"/>
      <c r="O230" s="21"/>
      <c r="P230" s="21"/>
      <c r="Q230" s="21"/>
      <c r="R230" s="21"/>
      <c r="S230" s="20"/>
    </row>
    <row r="231" spans="1:19" x14ac:dyDescent="0.3">
      <c r="A231" s="18"/>
      <c r="B231" s="21"/>
      <c r="C231" s="21"/>
      <c r="D231" s="21"/>
      <c r="E231" s="21"/>
      <c r="F231" s="21"/>
      <c r="G231" s="21"/>
      <c r="H231" s="21"/>
      <c r="I231" s="21"/>
      <c r="J231" s="21"/>
      <c r="K231" s="21"/>
      <c r="L231" s="21"/>
      <c r="M231" s="21"/>
      <c r="N231" s="21"/>
      <c r="O231" s="21"/>
      <c r="P231" s="21"/>
      <c r="Q231" s="21"/>
      <c r="R231" s="21"/>
      <c r="S231" s="20"/>
    </row>
    <row r="232" spans="1:19" x14ac:dyDescent="0.3">
      <c r="A232" s="18"/>
      <c r="B232" s="21"/>
      <c r="C232" s="21"/>
      <c r="D232" s="21"/>
      <c r="E232" s="21"/>
      <c r="F232" s="21"/>
      <c r="G232" s="21"/>
      <c r="H232" s="21"/>
      <c r="I232" s="21"/>
      <c r="J232" s="21"/>
      <c r="K232" s="21"/>
      <c r="L232" s="21"/>
      <c r="M232" s="21"/>
      <c r="N232" s="21"/>
      <c r="O232" s="21"/>
      <c r="P232" s="21"/>
      <c r="Q232" s="21"/>
      <c r="R232" s="21"/>
      <c r="S232" s="20"/>
    </row>
    <row r="233" spans="1:19" x14ac:dyDescent="0.3">
      <c r="A233" s="18"/>
      <c r="B233" s="21"/>
      <c r="C233" s="21"/>
      <c r="D233" s="21"/>
      <c r="E233" s="21"/>
      <c r="F233" s="21"/>
      <c r="G233" s="21"/>
      <c r="H233" s="21"/>
      <c r="I233" s="21"/>
      <c r="J233" s="21"/>
      <c r="K233" s="21"/>
      <c r="L233" s="21"/>
      <c r="M233" s="21"/>
      <c r="N233" s="21"/>
      <c r="O233" s="21"/>
      <c r="P233" s="21"/>
      <c r="Q233" s="21"/>
      <c r="R233" s="21"/>
      <c r="S233" s="20"/>
    </row>
    <row r="234" spans="1:19" x14ac:dyDescent="0.3">
      <c r="A234" s="18"/>
      <c r="B234" s="21"/>
      <c r="C234" s="21"/>
      <c r="D234" s="21"/>
      <c r="E234" s="21"/>
      <c r="F234" s="21"/>
      <c r="G234" s="21"/>
      <c r="H234" s="21"/>
      <c r="I234" s="21"/>
      <c r="J234" s="21"/>
      <c r="K234" s="21"/>
      <c r="L234" s="21"/>
      <c r="M234" s="21"/>
      <c r="N234" s="21"/>
      <c r="O234" s="21"/>
      <c r="P234" s="21"/>
      <c r="Q234" s="21"/>
      <c r="R234" s="21"/>
      <c r="S234" s="20"/>
    </row>
    <row r="235" spans="1:19" x14ac:dyDescent="0.3">
      <c r="A235" s="18"/>
      <c r="B235" s="21"/>
      <c r="C235" s="21"/>
      <c r="D235" s="21"/>
      <c r="E235" s="21"/>
      <c r="F235" s="21"/>
      <c r="G235" s="21"/>
      <c r="H235" s="21"/>
      <c r="I235" s="21"/>
      <c r="J235" s="21"/>
      <c r="K235" s="21"/>
      <c r="L235" s="21"/>
      <c r="M235" s="21"/>
      <c r="N235" s="21"/>
      <c r="O235" s="21"/>
      <c r="P235" s="21"/>
      <c r="Q235" s="21"/>
      <c r="R235" s="21"/>
      <c r="S235" s="20"/>
    </row>
    <row r="236" spans="1:19" x14ac:dyDescent="0.3">
      <c r="A236" s="18"/>
      <c r="B236" s="21"/>
      <c r="C236" s="21"/>
      <c r="D236" s="21"/>
      <c r="E236" s="21"/>
      <c r="F236" s="21"/>
      <c r="G236" s="21"/>
      <c r="H236" s="475" t="s">
        <v>3409</v>
      </c>
      <c r="I236" s="475"/>
      <c r="J236" s="475"/>
      <c r="K236" s="475"/>
      <c r="L236" s="21"/>
      <c r="M236" s="492" t="s">
        <v>1885</v>
      </c>
      <c r="N236" s="493"/>
      <c r="O236" s="21"/>
      <c r="P236" s="21"/>
      <c r="Q236" s="21"/>
      <c r="R236" s="21"/>
      <c r="S236" s="20"/>
    </row>
    <row r="237" spans="1:19" x14ac:dyDescent="0.3">
      <c r="A237" s="18"/>
      <c r="B237" s="21"/>
      <c r="C237" s="21"/>
      <c r="D237" s="21"/>
      <c r="E237" s="21"/>
      <c r="F237" s="21"/>
      <c r="G237" s="21"/>
      <c r="H237" s="3" t="str">
        <f t="array" ref="H237:K242">_xll.U.REPLACE(B179:E184,M238:N242,,TRUE)</f>
        <v>Name</v>
      </c>
      <c r="I237" s="3" t="str">
        <v>Age</v>
      </c>
      <c r="J237" s="3" t="str">
        <v>Occupation</v>
      </c>
      <c r="K237" s="3" t="str">
        <v>Weight</v>
      </c>
      <c r="L237" s="21"/>
      <c r="M237" s="3" t="s">
        <v>772</v>
      </c>
      <c r="N237" s="3" t="s">
        <v>693</v>
      </c>
      <c r="O237" s="21"/>
      <c r="P237" s="21"/>
      <c r="Q237" s="21"/>
      <c r="R237" s="21"/>
      <c r="S237" s="20"/>
    </row>
    <row r="238" spans="1:19" x14ac:dyDescent="0.3">
      <c r="A238" s="18"/>
      <c r="B238" s="21"/>
      <c r="C238" s="21"/>
      <c r="D238" s="21"/>
      <c r="E238" s="21"/>
      <c r="F238" s="21"/>
      <c r="G238" s="21"/>
      <c r="H238" s="1" t="str">
        <v>bob jones</v>
      </c>
      <c r="I238" s="321">
        <v>37</v>
      </c>
      <c r="J238" s="1" t="str">
        <v>teacher</v>
      </c>
      <c r="K238" s="325">
        <v>182.4</v>
      </c>
      <c r="L238" s="21"/>
      <c r="M238" s="244" t="s">
        <v>1936</v>
      </c>
      <c r="N238" s="244" t="s">
        <v>1985</v>
      </c>
      <c r="O238" s="21"/>
      <c r="P238" s="21"/>
      <c r="Q238" s="21"/>
      <c r="R238" s="21"/>
      <c r="S238" s="20"/>
    </row>
    <row r="239" spans="1:19" x14ac:dyDescent="0.3">
      <c r="A239" s="18"/>
      <c r="B239" s="21"/>
      <c r="C239" s="21"/>
      <c r="D239" s="21"/>
      <c r="E239" s="21"/>
      <c r="F239" s="21"/>
      <c r="G239" s="21"/>
      <c r="H239" s="319" t="str">
        <v>Shelly Brooks</v>
      </c>
      <c r="I239" s="320" t="str">
        <v>was 22</v>
      </c>
      <c r="J239" s="1" t="str">
        <v>engineer</v>
      </c>
      <c r="K239" s="325">
        <v>114</v>
      </c>
      <c r="L239" s="21"/>
      <c r="M239" s="327" t="s">
        <v>1989</v>
      </c>
      <c r="N239" s="244" t="s">
        <v>1990</v>
      </c>
      <c r="O239" s="21"/>
      <c r="P239" s="21"/>
      <c r="Q239" s="21"/>
      <c r="R239" s="21"/>
      <c r="S239" s="20"/>
    </row>
    <row r="240" spans="1:19" x14ac:dyDescent="0.3">
      <c r="A240" s="18"/>
      <c r="B240" s="21"/>
      <c r="C240" s="21"/>
      <c r="D240" s="21"/>
      <c r="E240" s="21"/>
      <c r="F240" s="21"/>
      <c r="G240" s="21"/>
      <c r="H240" s="1" t="str">
        <v>tom HOPPER</v>
      </c>
      <c r="I240" s="321" t="e">
        <v>#N/A</v>
      </c>
      <c r="J240" s="1" t="str">
        <v>chemist</v>
      </c>
      <c r="K240" s="325">
        <v>162.80000000000001</v>
      </c>
      <c r="L240" s="21"/>
      <c r="M240" s="328">
        <v>22</v>
      </c>
      <c r="N240" s="329" t="s">
        <v>1991</v>
      </c>
      <c r="O240" s="21"/>
      <c r="P240" s="21"/>
      <c r="Q240" s="21"/>
      <c r="R240" s="21"/>
      <c r="S240" s="20"/>
    </row>
    <row r="241" spans="1:19" x14ac:dyDescent="0.3">
      <c r="A241" s="18"/>
      <c r="B241" s="21"/>
      <c r="C241" s="21"/>
      <c r="D241" s="21"/>
      <c r="E241" s="21"/>
      <c r="F241" s="21"/>
      <c r="G241" s="21"/>
      <c r="H241" s="1" t="str">
        <v>Billy Bragg</v>
      </c>
      <c r="I241" s="321">
        <v>30</v>
      </c>
      <c r="J241" s="1" t="str">
        <v>architect</v>
      </c>
      <c r="K241" s="325" t="str">
        <v/>
      </c>
      <c r="L241" s="21"/>
      <c r="M241" s="328" t="s">
        <v>1991</v>
      </c>
      <c r="N241" s="329" t="s">
        <v>1993</v>
      </c>
      <c r="O241" s="21"/>
      <c r="P241" s="21"/>
      <c r="Q241" s="21"/>
      <c r="R241" s="21"/>
      <c r="S241" s="20"/>
    </row>
    <row r="242" spans="1:19" x14ac:dyDescent="0.3">
      <c r="A242" s="18"/>
      <c r="B242" s="21"/>
      <c r="C242" s="21"/>
      <c r="D242" s="21"/>
      <c r="E242" s="21"/>
      <c r="F242" s="21"/>
      <c r="G242" s="21"/>
      <c r="H242" s="1" t="str">
        <v>Anna Lukin</v>
      </c>
      <c r="I242" s="321">
        <v>50</v>
      </c>
      <c r="J242" s="1" t="str">
        <v>physicist</v>
      </c>
      <c r="K242" s="325">
        <v>122.3</v>
      </c>
      <c r="L242" s="21"/>
      <c r="M242" s="328" t="s">
        <v>1993</v>
      </c>
      <c r="N242" s="329" t="s">
        <v>1992</v>
      </c>
      <c r="O242" s="21"/>
      <c r="P242" s="21"/>
      <c r="Q242" s="21"/>
      <c r="R242" s="21"/>
      <c r="S242" s="20"/>
    </row>
    <row r="243" spans="1:19" x14ac:dyDescent="0.3">
      <c r="A243" s="18"/>
      <c r="B243" s="21"/>
      <c r="C243" s="21"/>
      <c r="D243" s="21"/>
      <c r="E243" s="21"/>
      <c r="F243" s="21"/>
      <c r="G243" s="21"/>
      <c r="H243" s="21"/>
      <c r="I243" s="21"/>
      <c r="J243" s="21"/>
      <c r="K243" s="21"/>
      <c r="L243" s="21"/>
      <c r="M243" s="21"/>
      <c r="N243" s="21"/>
      <c r="O243" s="21"/>
      <c r="P243" s="21"/>
      <c r="Q243" s="21"/>
      <c r="R243" s="21"/>
      <c r="S243" s="20"/>
    </row>
    <row r="244" spans="1:19" x14ac:dyDescent="0.3">
      <c r="A244" s="18"/>
      <c r="B244" s="21"/>
      <c r="C244" s="21"/>
      <c r="D244" s="21"/>
      <c r="E244" s="21"/>
      <c r="F244" s="21"/>
      <c r="G244" s="21"/>
      <c r="H244" s="21"/>
      <c r="I244" s="21"/>
      <c r="J244" s="21"/>
      <c r="K244" s="21"/>
      <c r="L244" s="21"/>
      <c r="M244" s="21"/>
      <c r="N244" s="21"/>
      <c r="O244" s="21"/>
      <c r="P244" s="21"/>
      <c r="Q244" s="21"/>
      <c r="R244" s="21"/>
      <c r="S244" s="20"/>
    </row>
    <row r="245" spans="1:19" x14ac:dyDescent="0.3">
      <c r="A245" s="18"/>
      <c r="B245" s="21"/>
      <c r="C245" s="21"/>
      <c r="D245" s="21"/>
      <c r="E245" s="21"/>
      <c r="F245" s="21"/>
      <c r="G245" s="21"/>
      <c r="H245" s="21"/>
      <c r="I245" s="21"/>
      <c r="J245" s="21"/>
      <c r="K245" s="21"/>
      <c r="L245" s="21"/>
      <c r="M245" s="21"/>
      <c r="N245" s="21"/>
      <c r="O245" s="21"/>
      <c r="P245" s="21"/>
      <c r="Q245" s="21"/>
      <c r="R245" s="21"/>
      <c r="S245" s="20"/>
    </row>
    <row r="246" spans="1:19" x14ac:dyDescent="0.3">
      <c r="A246" s="18"/>
      <c r="B246" s="21"/>
      <c r="C246" s="21"/>
      <c r="D246" s="21"/>
      <c r="E246" s="21"/>
      <c r="F246" s="21"/>
      <c r="G246" s="21"/>
      <c r="H246" s="21"/>
      <c r="I246" s="21"/>
      <c r="J246" s="21"/>
      <c r="K246" s="21"/>
      <c r="L246" s="21"/>
      <c r="M246" s="21"/>
      <c r="N246" s="21"/>
      <c r="O246" s="21"/>
      <c r="P246" s="21"/>
      <c r="Q246" s="21"/>
      <c r="R246" s="21"/>
      <c r="S246" s="20"/>
    </row>
    <row r="247" spans="1:19" x14ac:dyDescent="0.3">
      <c r="A247" s="18"/>
      <c r="B247" s="21"/>
      <c r="C247" s="21"/>
      <c r="D247" s="21"/>
      <c r="E247" s="21"/>
      <c r="F247" s="21"/>
      <c r="G247" s="21"/>
      <c r="H247" s="475" t="s">
        <v>3409</v>
      </c>
      <c r="I247" s="475"/>
      <c r="J247" s="475"/>
      <c r="K247" s="475"/>
      <c r="L247" s="21"/>
      <c r="M247" s="492" t="s">
        <v>1885</v>
      </c>
      <c r="N247" s="529"/>
      <c r="O247" s="493"/>
      <c r="P247" s="21"/>
      <c r="Q247" s="21"/>
      <c r="R247" s="21"/>
      <c r="S247" s="20"/>
    </row>
    <row r="248" spans="1:19" x14ac:dyDescent="0.3">
      <c r="A248" s="18"/>
      <c r="B248" s="21"/>
      <c r="C248" s="21"/>
      <c r="D248" s="21"/>
      <c r="E248" s="21"/>
      <c r="F248" s="21"/>
      <c r="G248" s="21"/>
      <c r="H248" s="3" t="str">
        <f t="array" ref="H248:K253">_xll.U.REPLACE(B179:E184,M249:O250)</f>
        <v>Name</v>
      </c>
      <c r="I248" s="3" t="str">
        <v>Age</v>
      </c>
      <c r="J248" s="3" t="str">
        <v>Occupation</v>
      </c>
      <c r="K248" s="3" t="str">
        <v>Weight</v>
      </c>
      <c r="L248" s="21"/>
      <c r="M248" s="3" t="s">
        <v>772</v>
      </c>
      <c r="N248" s="3" t="s">
        <v>693</v>
      </c>
      <c r="O248" s="3" t="s">
        <v>96</v>
      </c>
      <c r="P248" s="21"/>
      <c r="Q248" s="21"/>
      <c r="R248" s="21"/>
      <c r="S248" s="20"/>
    </row>
    <row r="249" spans="1:19" x14ac:dyDescent="0.3">
      <c r="A249" s="18"/>
      <c r="B249" s="21"/>
      <c r="C249" s="21"/>
      <c r="D249" s="21"/>
      <c r="E249" s="21"/>
      <c r="F249" s="21"/>
      <c r="G249" s="21"/>
      <c r="H249" s="319" t="str">
        <v>had space</v>
      </c>
      <c r="I249" s="321">
        <v>37</v>
      </c>
      <c r="J249" s="319" t="str">
        <v/>
      </c>
      <c r="K249" s="325">
        <v>182.4</v>
      </c>
      <c r="L249" s="21"/>
      <c r="M249" s="244" t="s">
        <v>1994</v>
      </c>
      <c r="N249" s="244" t="s">
        <v>1995</v>
      </c>
      <c r="O249" s="244" t="s">
        <v>679</v>
      </c>
      <c r="P249" s="21"/>
      <c r="Q249" s="21"/>
      <c r="R249" s="21"/>
      <c r="S249" s="330"/>
    </row>
    <row r="250" spans="1:19" x14ac:dyDescent="0.3">
      <c r="A250" s="18"/>
      <c r="B250" s="21"/>
      <c r="C250" s="21"/>
      <c r="D250" s="21"/>
      <c r="E250" s="21"/>
      <c r="F250" s="21"/>
      <c r="G250" s="21"/>
      <c r="H250" s="319" t="str">
        <v>had space</v>
      </c>
      <c r="I250" s="321">
        <v>22</v>
      </c>
      <c r="J250" s="319" t="str">
        <v/>
      </c>
      <c r="K250" s="325">
        <v>114</v>
      </c>
      <c r="L250" s="21"/>
      <c r="M250" s="327" t="s">
        <v>1998</v>
      </c>
      <c r="N250" s="244"/>
      <c r="O250" s="244"/>
      <c r="P250" s="21"/>
      <c r="Q250" s="21"/>
      <c r="R250" s="21"/>
      <c r="S250" s="20"/>
    </row>
    <row r="251" spans="1:19" x14ac:dyDescent="0.3">
      <c r="A251" s="18"/>
      <c r="B251" s="21"/>
      <c r="C251" s="21"/>
      <c r="D251" s="21"/>
      <c r="E251" s="21"/>
      <c r="F251" s="21"/>
      <c r="G251" s="21"/>
      <c r="H251" s="319" t="str">
        <v>had space</v>
      </c>
      <c r="I251" s="320" t="str">
        <v/>
      </c>
      <c r="J251" s="1" t="str">
        <v>chemist</v>
      </c>
      <c r="K251" s="325">
        <v>162.80000000000001</v>
      </c>
      <c r="L251" s="21"/>
      <c r="M251" s="21"/>
      <c r="N251" s="21"/>
      <c r="O251" s="21"/>
      <c r="P251" s="21"/>
      <c r="Q251" s="21"/>
      <c r="R251" s="21"/>
      <c r="S251" s="20"/>
    </row>
    <row r="252" spans="1:19" x14ac:dyDescent="0.3">
      <c r="A252" s="18"/>
      <c r="B252" s="21"/>
      <c r="C252" s="21"/>
      <c r="D252" s="21"/>
      <c r="E252" s="21"/>
      <c r="F252" s="21"/>
      <c r="G252" s="21"/>
      <c r="H252" s="319" t="str">
        <v>had space</v>
      </c>
      <c r="I252" s="321">
        <v>30</v>
      </c>
      <c r="J252" s="1" t="str">
        <v>architect</v>
      </c>
      <c r="K252" s="325" t="str">
        <v/>
      </c>
      <c r="L252" s="21"/>
      <c r="M252" s="21"/>
      <c r="N252" s="21"/>
      <c r="O252" s="21"/>
      <c r="P252" s="21"/>
      <c r="Q252" s="21"/>
      <c r="R252" s="21"/>
      <c r="S252" s="20"/>
    </row>
    <row r="253" spans="1:19" x14ac:dyDescent="0.3">
      <c r="A253" s="18"/>
      <c r="B253" s="21"/>
      <c r="C253" s="21"/>
      <c r="D253" s="21"/>
      <c r="E253" s="21"/>
      <c r="F253" s="21"/>
      <c r="G253" s="21"/>
      <c r="H253" s="319" t="str">
        <v>had space</v>
      </c>
      <c r="I253" s="321">
        <v>50</v>
      </c>
      <c r="J253" s="1" t="str">
        <v>physicist</v>
      </c>
      <c r="K253" s="323" t="str">
        <v/>
      </c>
      <c r="L253" s="21"/>
      <c r="M253" s="21"/>
      <c r="N253" s="21"/>
      <c r="O253" s="21"/>
      <c r="P253" s="21"/>
      <c r="Q253" s="21"/>
      <c r="R253" s="21"/>
      <c r="S253" s="20"/>
    </row>
    <row r="254" spans="1:19" x14ac:dyDescent="0.3">
      <c r="A254" s="18"/>
      <c r="B254" s="21"/>
      <c r="C254" s="21"/>
      <c r="D254" s="21"/>
      <c r="E254" s="21"/>
      <c r="F254" s="21"/>
      <c r="G254" s="21"/>
      <c r="H254" s="21"/>
      <c r="I254" s="21"/>
      <c r="J254" s="21"/>
      <c r="K254" s="21"/>
      <c r="L254" s="21"/>
      <c r="M254" s="21"/>
      <c r="N254" s="21"/>
      <c r="O254" s="21"/>
      <c r="P254" s="21"/>
      <c r="Q254" s="21"/>
      <c r="R254" s="21"/>
      <c r="S254" s="20"/>
    </row>
    <row r="255" spans="1:19" x14ac:dyDescent="0.3">
      <c r="A255" s="18"/>
      <c r="B255" s="21"/>
      <c r="C255" s="21"/>
      <c r="D255" s="21"/>
      <c r="E255" s="21"/>
      <c r="F255" s="21"/>
      <c r="G255" s="21"/>
      <c r="H255" s="21"/>
      <c r="I255" s="21"/>
      <c r="J255" s="21"/>
      <c r="K255" s="21"/>
      <c r="L255" s="21"/>
      <c r="M255" s="21"/>
      <c r="N255" s="21"/>
      <c r="O255" s="21"/>
      <c r="P255" s="21"/>
      <c r="Q255" s="21"/>
      <c r="R255" s="21"/>
      <c r="S255" s="20"/>
    </row>
    <row r="256" spans="1:19" x14ac:dyDescent="0.3">
      <c r="A256" s="18"/>
      <c r="B256" s="21"/>
      <c r="C256" s="21"/>
      <c r="D256" s="21"/>
      <c r="E256" s="21"/>
      <c r="F256" s="21"/>
      <c r="G256" s="21"/>
      <c r="H256" s="492" t="s">
        <v>3409</v>
      </c>
      <c r="I256" s="529"/>
      <c r="J256" s="529"/>
      <c r="K256" s="493"/>
      <c r="L256" s="21"/>
      <c r="M256" s="21"/>
      <c r="N256" s="21"/>
      <c r="O256" s="21"/>
      <c r="P256" s="21"/>
      <c r="Q256" s="21"/>
      <c r="R256" s="21"/>
      <c r="S256" s="20"/>
    </row>
    <row r="257" spans="1:19" x14ac:dyDescent="0.3">
      <c r="A257" s="18"/>
      <c r="B257" s="21"/>
      <c r="C257" s="21"/>
      <c r="D257" s="21"/>
      <c r="E257" s="21"/>
      <c r="F257" s="21"/>
      <c r="G257" s="21"/>
      <c r="H257" s="3" t="str">
        <f t="array" ref="H257:K262">_xll.U.REPLACE(B179:E184,M249:O250,,,,,N258:N259)</f>
        <v>Name</v>
      </c>
      <c r="I257" s="3" t="str">
        <v>Age</v>
      </c>
      <c r="J257" s="3" t="str">
        <v>Occupation</v>
      </c>
      <c r="K257" s="3" t="str">
        <v>Weight</v>
      </c>
      <c r="L257" s="21"/>
      <c r="M257" s="3" t="s">
        <v>1996</v>
      </c>
      <c r="N257" s="3" t="s">
        <v>1997</v>
      </c>
      <c r="O257" s="21"/>
      <c r="P257" s="21"/>
      <c r="Q257" s="21"/>
      <c r="R257" s="21"/>
      <c r="S257" s="20"/>
    </row>
    <row r="258" spans="1:19" x14ac:dyDescent="0.3">
      <c r="A258" s="18"/>
      <c r="B258" s="21"/>
      <c r="C258" s="21"/>
      <c r="D258" s="21"/>
      <c r="E258" s="21"/>
      <c r="F258" s="21"/>
      <c r="G258" s="21"/>
      <c r="H258" s="319" t="str">
        <v>had space</v>
      </c>
      <c r="I258" s="321">
        <v>37</v>
      </c>
      <c r="J258" s="319" t="str">
        <v/>
      </c>
      <c r="K258" s="325">
        <v>182.4</v>
      </c>
      <c r="L258" s="21"/>
      <c r="M258" s="244">
        <v>22</v>
      </c>
      <c r="N258" s="244">
        <f t="array" ref="N258:N259">_xll.U.VFILTER(B179:E184,{"get_index()";"Age"},,,M258:M259)</f>
        <v>3</v>
      </c>
      <c r="O258" s="21"/>
      <c r="P258" s="21"/>
      <c r="Q258" s="21"/>
      <c r="R258" s="21"/>
      <c r="S258" s="20"/>
    </row>
    <row r="259" spans="1:19" x14ac:dyDescent="0.3">
      <c r="A259" s="18"/>
      <c r="B259" s="21"/>
      <c r="C259" s="21"/>
      <c r="D259" s="21"/>
      <c r="E259" s="21"/>
      <c r="F259" s="21"/>
      <c r="G259" s="21"/>
      <c r="H259" s="322" t="str">
        <v>Sally Smith</v>
      </c>
      <c r="I259" s="321">
        <v>22</v>
      </c>
      <c r="J259" s="322" t="str">
        <v>engineer</v>
      </c>
      <c r="K259" s="325">
        <v>114</v>
      </c>
      <c r="L259" s="21"/>
      <c r="M259" s="244">
        <v>50</v>
      </c>
      <c r="N259" s="244">
        <v>6</v>
      </c>
      <c r="O259" s="21"/>
      <c r="P259" s="21"/>
      <c r="Q259" s="21"/>
      <c r="R259" s="21"/>
      <c r="S259" s="20"/>
    </row>
    <row r="260" spans="1:19" x14ac:dyDescent="0.3">
      <c r="A260" s="18"/>
      <c r="B260" s="21"/>
      <c r="C260" s="21"/>
      <c r="D260" s="21"/>
      <c r="E260" s="21"/>
      <c r="F260" s="21"/>
      <c r="G260" s="21"/>
      <c r="H260" s="319" t="str">
        <v>had space</v>
      </c>
      <c r="I260" s="320" t="str">
        <v/>
      </c>
      <c r="J260" s="1" t="str">
        <v>chemist</v>
      </c>
      <c r="K260" s="325">
        <v>162.80000000000001</v>
      </c>
      <c r="L260" s="21"/>
      <c r="M260" s="21"/>
      <c r="N260" s="21"/>
      <c r="O260" s="21"/>
      <c r="P260" s="21"/>
      <c r="Q260" s="21"/>
      <c r="R260" s="21"/>
      <c r="S260" s="20"/>
    </row>
    <row r="261" spans="1:19" x14ac:dyDescent="0.3">
      <c r="A261" s="18"/>
      <c r="B261" s="21"/>
      <c r="C261" s="21"/>
      <c r="D261" s="21"/>
      <c r="E261" s="21"/>
      <c r="F261" s="21"/>
      <c r="G261" s="21"/>
      <c r="H261" s="319" t="str">
        <v>had space</v>
      </c>
      <c r="I261" s="321">
        <v>30</v>
      </c>
      <c r="J261" s="1" t="str">
        <v>architect</v>
      </c>
      <c r="K261" s="325" t="str">
        <v/>
      </c>
      <c r="L261" s="21"/>
      <c r="M261" s="21"/>
      <c r="N261" s="21"/>
      <c r="O261" s="21"/>
      <c r="P261" s="21"/>
      <c r="Q261" s="21"/>
      <c r="R261" s="21"/>
      <c r="S261" s="20"/>
    </row>
    <row r="262" spans="1:19" x14ac:dyDescent="0.3">
      <c r="A262" s="18"/>
      <c r="B262" s="21"/>
      <c r="C262" s="21"/>
      <c r="D262" s="21"/>
      <c r="E262" s="21"/>
      <c r="F262" s="21"/>
      <c r="G262" s="21"/>
      <c r="H262" s="322" t="str">
        <v>Anna Lukin</v>
      </c>
      <c r="I262" s="321">
        <v>50</v>
      </c>
      <c r="J262" s="1" t="str">
        <v>physicist</v>
      </c>
      <c r="K262" s="331">
        <v>122.3</v>
      </c>
      <c r="L262" s="21"/>
      <c r="M262" s="21"/>
      <c r="N262" s="21"/>
      <c r="O262" s="21"/>
      <c r="P262" s="21"/>
      <c r="Q262" s="21"/>
      <c r="R262" s="21"/>
      <c r="S262" s="20"/>
    </row>
    <row r="263" spans="1:19" x14ac:dyDescent="0.3">
      <c r="A263" s="18"/>
      <c r="B263" s="21"/>
      <c r="C263" s="21"/>
      <c r="D263" s="21"/>
      <c r="E263" s="21"/>
      <c r="F263" s="21"/>
      <c r="G263" s="21"/>
      <c r="H263" s="21"/>
      <c r="I263" s="21"/>
      <c r="J263" s="21"/>
      <c r="K263" s="21"/>
      <c r="L263" s="21"/>
      <c r="M263" s="21"/>
      <c r="N263" s="21"/>
      <c r="O263" s="21"/>
      <c r="P263" s="21"/>
      <c r="Q263" s="21"/>
      <c r="R263" s="21"/>
      <c r="S263" s="20"/>
    </row>
    <row r="264" spans="1:19" x14ac:dyDescent="0.3">
      <c r="A264" s="18"/>
      <c r="B264" s="21"/>
      <c r="C264" s="21"/>
      <c r="D264" s="21"/>
      <c r="E264" s="21"/>
      <c r="F264" s="21"/>
      <c r="G264" s="21"/>
      <c r="H264" s="21"/>
      <c r="I264" s="21"/>
      <c r="J264" s="21"/>
      <c r="K264" s="21"/>
      <c r="L264" s="21"/>
      <c r="M264" s="21"/>
      <c r="N264" s="21"/>
      <c r="O264" s="21"/>
      <c r="P264" s="21"/>
      <c r="Q264" s="21"/>
      <c r="R264" s="21"/>
      <c r="S264" s="20"/>
    </row>
    <row r="265" spans="1:19" x14ac:dyDescent="0.3">
      <c r="A265" s="18"/>
      <c r="B265" s="21"/>
      <c r="C265" s="21"/>
      <c r="D265" s="21"/>
      <c r="E265" s="21"/>
      <c r="F265" s="21"/>
      <c r="G265" s="21"/>
      <c r="H265" s="21"/>
      <c r="I265" s="21"/>
      <c r="J265" s="21"/>
      <c r="K265" s="21"/>
      <c r="L265" s="21"/>
      <c r="M265" s="21"/>
      <c r="N265" s="21"/>
      <c r="O265" s="21"/>
      <c r="P265" s="21"/>
      <c r="Q265" s="21"/>
      <c r="R265" s="21"/>
      <c r="S265" s="20"/>
    </row>
    <row r="266" spans="1:19" x14ac:dyDescent="0.3">
      <c r="A266" s="490" t="s">
        <v>3116</v>
      </c>
      <c r="B266" s="491"/>
      <c r="C266" s="491"/>
      <c r="D266" s="491"/>
      <c r="E266" s="491"/>
      <c r="F266" s="491"/>
      <c r="G266" s="491"/>
      <c r="H266" s="491"/>
      <c r="I266" s="491"/>
      <c r="J266" s="491"/>
      <c r="K266" s="491"/>
      <c r="L266" s="491"/>
      <c r="M266" s="491"/>
      <c r="N266" s="491"/>
      <c r="O266" s="491"/>
      <c r="P266" s="491"/>
      <c r="Q266" s="491"/>
      <c r="R266" s="491"/>
      <c r="S266" s="20"/>
    </row>
    <row r="267" spans="1:19" x14ac:dyDescent="0.3">
      <c r="A267" s="18"/>
      <c r="B267" s="21"/>
      <c r="C267" s="21"/>
      <c r="D267" s="21"/>
      <c r="E267" s="21"/>
      <c r="F267" s="21"/>
      <c r="G267" s="21"/>
      <c r="H267" s="21"/>
      <c r="I267" s="21"/>
      <c r="J267" s="21"/>
      <c r="K267" s="21"/>
      <c r="L267" s="21"/>
      <c r="M267" s="21"/>
      <c r="N267" s="21"/>
      <c r="O267" s="21"/>
      <c r="P267" s="21"/>
      <c r="Q267" s="21"/>
      <c r="R267" s="21"/>
      <c r="S267" s="20"/>
    </row>
    <row r="268" spans="1:19" x14ac:dyDescent="0.3">
      <c r="A268" s="18"/>
      <c r="B268" s="475" t="s">
        <v>1893</v>
      </c>
      <c r="C268" s="475"/>
      <c r="D268" s="475"/>
      <c r="E268" s="475"/>
      <c r="F268" s="21"/>
      <c r="G268" s="21"/>
      <c r="H268" s="475" t="s">
        <v>3409</v>
      </c>
      <c r="I268" s="475"/>
      <c r="J268" s="475"/>
      <c r="K268" s="475"/>
      <c r="L268" s="21"/>
      <c r="M268" s="21"/>
      <c r="N268" s="21"/>
      <c r="O268" s="21"/>
      <c r="P268" s="21"/>
      <c r="Q268" s="21"/>
      <c r="R268" s="21"/>
      <c r="S268" s="20"/>
    </row>
    <row r="269" spans="1:19" x14ac:dyDescent="0.3">
      <c r="A269" s="18"/>
      <c r="B269" s="59" t="s">
        <v>679</v>
      </c>
      <c r="C269" s="60" t="s">
        <v>1065</v>
      </c>
      <c r="D269" s="60" t="s">
        <v>1119</v>
      </c>
      <c r="E269" s="60" t="s">
        <v>1911</v>
      </c>
      <c r="F269" s="21"/>
      <c r="G269" s="21"/>
      <c r="H269" s="3" t="str">
        <f t="array" ref="H269:K274">_xll.U.REPLACE(B269:E274,"cols()",B276:C281)</f>
        <v>Name</v>
      </c>
      <c r="I269" s="3" t="str">
        <v>Age</v>
      </c>
      <c r="J269" s="3" t="str">
        <v>Occupation</v>
      </c>
      <c r="K269" s="3" t="str">
        <v>Weight</v>
      </c>
      <c r="L269" s="21"/>
      <c r="M269" s="21"/>
      <c r="N269" s="21"/>
      <c r="O269" s="21"/>
      <c r="P269" s="21"/>
      <c r="Q269" s="21"/>
      <c r="R269" s="21"/>
      <c r="S269" s="20"/>
    </row>
    <row r="270" spans="1:19" x14ac:dyDescent="0.3">
      <c r="A270" s="18"/>
      <c r="B270" s="42" t="s">
        <v>1912</v>
      </c>
      <c r="C270" s="324">
        <v>37</v>
      </c>
      <c r="D270" s="42" t="s">
        <v>1917</v>
      </c>
      <c r="E270" s="317">
        <v>182.4</v>
      </c>
      <c r="F270" s="21"/>
      <c r="G270" s="21"/>
      <c r="H270" s="1" t="str">
        <v>bob jones</v>
      </c>
      <c r="I270" s="320" t="str">
        <v>thirty-seven</v>
      </c>
      <c r="J270" s="319" t="str">
        <v>t</v>
      </c>
      <c r="K270" s="325">
        <v>182.4</v>
      </c>
      <c r="L270" s="21"/>
      <c r="M270" s="21"/>
      <c r="N270" s="21"/>
      <c r="O270" s="21"/>
      <c r="P270" s="21"/>
      <c r="Q270" s="21"/>
      <c r="R270" s="21"/>
      <c r="S270" s="20"/>
    </row>
    <row r="271" spans="1:19" x14ac:dyDescent="0.3">
      <c r="A271" s="18"/>
      <c r="B271" s="42" t="s">
        <v>1913</v>
      </c>
      <c r="C271" s="44">
        <v>22</v>
      </c>
      <c r="D271" s="42" t="s">
        <v>1918</v>
      </c>
      <c r="E271" s="317">
        <v>114</v>
      </c>
      <c r="F271" s="21"/>
      <c r="G271" s="21"/>
      <c r="H271" s="1" t="str">
        <v>Sally Smith</v>
      </c>
      <c r="I271" s="320" t="str">
        <v>twenty-two</v>
      </c>
      <c r="J271" s="319" t="str">
        <v>e</v>
      </c>
      <c r="K271" s="325">
        <v>114</v>
      </c>
      <c r="L271" s="21"/>
      <c r="M271" s="21"/>
      <c r="N271" s="21"/>
      <c r="O271" s="21"/>
      <c r="P271" s="21"/>
      <c r="Q271" s="21"/>
      <c r="R271" s="21"/>
      <c r="S271" s="20"/>
    </row>
    <row r="272" spans="1:19" x14ac:dyDescent="0.3">
      <c r="A272" s="18"/>
      <c r="B272" s="42" t="s">
        <v>1914</v>
      </c>
      <c r="C272" s="44" t="e">
        <f>NA()</f>
        <v>#N/A</v>
      </c>
      <c r="D272" s="42" t="s">
        <v>1919</v>
      </c>
      <c r="E272" s="317">
        <v>162.80000000000001</v>
      </c>
      <c r="F272" s="21"/>
      <c r="G272" s="21"/>
      <c r="H272" s="1" t="str">
        <v>tom HOPPER</v>
      </c>
      <c r="I272" s="320" t="str">
        <v/>
      </c>
      <c r="J272" s="319" t="str">
        <v>c</v>
      </c>
      <c r="K272" s="325">
        <v>162.80000000000001</v>
      </c>
      <c r="L272" s="21"/>
      <c r="M272" s="21"/>
      <c r="N272" s="21"/>
      <c r="O272" s="21"/>
      <c r="P272" s="21"/>
      <c r="Q272" s="21"/>
      <c r="R272" s="21"/>
      <c r="S272" s="20"/>
    </row>
    <row r="273" spans="1:19" x14ac:dyDescent="0.3">
      <c r="A273" s="18"/>
      <c r="B273" s="42" t="s">
        <v>1915</v>
      </c>
      <c r="C273" s="44">
        <v>30</v>
      </c>
      <c r="D273" s="42" t="s">
        <v>1920</v>
      </c>
      <c r="E273" s="317"/>
      <c r="F273" s="21"/>
      <c r="G273" s="21"/>
      <c r="H273" s="1" t="str">
        <v>Billy Bragg</v>
      </c>
      <c r="I273" s="320" t="str">
        <v>thirty</v>
      </c>
      <c r="J273" s="319" t="str">
        <v>a</v>
      </c>
      <c r="K273" s="325" t="str">
        <v/>
      </c>
      <c r="L273" s="21"/>
      <c r="M273" s="21"/>
      <c r="N273" s="21"/>
      <c r="O273" s="21"/>
      <c r="P273" s="21"/>
      <c r="Q273" s="21"/>
      <c r="R273" s="21"/>
      <c r="S273" s="20"/>
    </row>
    <row r="274" spans="1:19" x14ac:dyDescent="0.3">
      <c r="A274" s="18"/>
      <c r="B274" s="42" t="s">
        <v>1916</v>
      </c>
      <c r="C274" s="44">
        <v>50</v>
      </c>
      <c r="D274" s="42" t="s">
        <v>1921</v>
      </c>
      <c r="E274" s="317">
        <v>122.3</v>
      </c>
      <c r="F274" s="21"/>
      <c r="G274" s="21"/>
      <c r="H274" s="1" t="str">
        <v>Anna Lukin</v>
      </c>
      <c r="I274" s="320" t="str">
        <v>fifty</v>
      </c>
      <c r="J274" s="319" t="str">
        <v>p</v>
      </c>
      <c r="K274" s="325">
        <v>122.3</v>
      </c>
      <c r="L274" s="21"/>
      <c r="M274" s="21"/>
      <c r="N274" s="21"/>
      <c r="O274" s="21"/>
      <c r="P274" s="21"/>
      <c r="Q274" s="21"/>
      <c r="R274" s="21"/>
      <c r="S274" s="20"/>
    </row>
    <row r="275" spans="1:19" x14ac:dyDescent="0.3">
      <c r="A275" s="18"/>
      <c r="B275" s="21"/>
      <c r="C275" s="21"/>
      <c r="D275" s="21"/>
      <c r="E275" s="21"/>
      <c r="F275" s="21"/>
      <c r="G275" s="21"/>
      <c r="H275" s="21"/>
      <c r="I275" s="21"/>
      <c r="J275" s="21"/>
      <c r="K275" s="21"/>
      <c r="L275" s="21"/>
      <c r="M275" s="21"/>
      <c r="N275" s="21"/>
      <c r="O275" s="21"/>
      <c r="P275" s="21"/>
      <c r="Q275" s="21"/>
      <c r="R275" s="21"/>
      <c r="S275" s="20"/>
    </row>
    <row r="276" spans="1:19" x14ac:dyDescent="0.3">
      <c r="A276" s="18"/>
      <c r="B276" s="60" t="s">
        <v>1119</v>
      </c>
      <c r="C276" s="60" t="s">
        <v>1065</v>
      </c>
      <c r="D276" s="21"/>
      <c r="E276" s="21"/>
      <c r="F276" s="21"/>
      <c r="G276" s="21"/>
      <c r="H276" s="21"/>
      <c r="I276" s="21"/>
      <c r="J276" s="21"/>
      <c r="K276" s="21"/>
      <c r="L276" s="21"/>
      <c r="M276" s="21"/>
      <c r="N276" s="21"/>
      <c r="O276" s="21"/>
      <c r="P276" s="21"/>
      <c r="Q276" s="21"/>
      <c r="R276" s="21"/>
      <c r="S276" s="20"/>
    </row>
    <row r="277" spans="1:19" x14ac:dyDescent="0.3">
      <c r="A277" s="18"/>
      <c r="B277" s="42" t="s">
        <v>2480</v>
      </c>
      <c r="C277" s="324" t="s">
        <v>3118</v>
      </c>
      <c r="D277" s="21"/>
      <c r="E277" s="21"/>
      <c r="F277" s="21"/>
      <c r="G277" s="21"/>
      <c r="H277" s="21"/>
      <c r="I277" s="21"/>
      <c r="J277" s="21"/>
      <c r="K277" s="21"/>
      <c r="L277" s="21"/>
      <c r="M277" s="21"/>
      <c r="N277" s="21"/>
      <c r="O277" s="21"/>
      <c r="P277" s="21"/>
      <c r="Q277" s="21"/>
      <c r="R277" s="21"/>
      <c r="S277" s="20"/>
    </row>
    <row r="278" spans="1:19" x14ac:dyDescent="0.3">
      <c r="A278" s="18"/>
      <c r="B278" s="42" t="s">
        <v>92</v>
      </c>
      <c r="C278" s="44" t="s">
        <v>3119</v>
      </c>
      <c r="D278" s="21"/>
      <c r="E278" s="21"/>
      <c r="F278" s="21"/>
      <c r="G278" s="21"/>
      <c r="H278" s="21"/>
      <c r="I278" s="21"/>
      <c r="J278" s="21"/>
      <c r="K278" s="21"/>
      <c r="L278" s="21"/>
      <c r="M278" s="21"/>
      <c r="N278" s="21"/>
      <c r="O278" s="21"/>
      <c r="P278" s="21"/>
      <c r="Q278" s="21"/>
      <c r="R278" s="21"/>
      <c r="S278" s="20"/>
    </row>
    <row r="279" spans="1:19" x14ac:dyDescent="0.3">
      <c r="A279" s="18"/>
      <c r="B279" s="42" t="s">
        <v>79</v>
      </c>
      <c r="C279" s="44"/>
      <c r="D279" s="21"/>
      <c r="E279" s="21"/>
      <c r="F279" s="21"/>
      <c r="G279" s="21"/>
      <c r="H279" s="21"/>
      <c r="I279" s="21"/>
      <c r="J279" s="21"/>
      <c r="K279" s="21"/>
      <c r="L279" s="21"/>
      <c r="M279" s="21"/>
      <c r="N279" s="21"/>
      <c r="O279" s="21"/>
      <c r="P279" s="21"/>
      <c r="Q279" s="21"/>
      <c r="R279" s="21"/>
      <c r="S279" s="20"/>
    </row>
    <row r="280" spans="1:19" x14ac:dyDescent="0.3">
      <c r="A280" s="18"/>
      <c r="B280" s="42" t="s">
        <v>77</v>
      </c>
      <c r="C280" s="44" t="s">
        <v>3120</v>
      </c>
      <c r="D280" s="21"/>
      <c r="E280" s="21"/>
      <c r="F280" s="21"/>
      <c r="G280" s="21"/>
      <c r="H280" s="21"/>
      <c r="I280" s="21"/>
      <c r="J280" s="21"/>
      <c r="K280" s="21"/>
      <c r="L280" s="21"/>
      <c r="M280" s="21"/>
      <c r="N280" s="21"/>
      <c r="O280" s="21"/>
      <c r="P280" s="21"/>
      <c r="Q280" s="21"/>
      <c r="R280" s="21"/>
      <c r="S280" s="20"/>
    </row>
    <row r="281" spans="1:19" x14ac:dyDescent="0.3">
      <c r="A281" s="18"/>
      <c r="B281" s="42" t="s">
        <v>3117</v>
      </c>
      <c r="C281" s="44" t="s">
        <v>3121</v>
      </c>
      <c r="D281" s="21"/>
      <c r="E281" s="21"/>
      <c r="F281" s="21"/>
      <c r="G281" s="21"/>
      <c r="H281" s="21"/>
      <c r="I281" s="21"/>
      <c r="J281" s="21"/>
      <c r="K281" s="21"/>
      <c r="L281" s="21"/>
      <c r="M281" s="21"/>
      <c r="N281" s="21"/>
      <c r="O281" s="21"/>
      <c r="P281" s="21"/>
      <c r="Q281" s="21"/>
      <c r="R281" s="21"/>
      <c r="S281" s="20"/>
    </row>
    <row r="282" spans="1:19" x14ac:dyDescent="0.3">
      <c r="A282" s="18"/>
      <c r="B282" s="21"/>
      <c r="C282" s="21"/>
      <c r="D282" s="21"/>
      <c r="E282" s="21"/>
      <c r="F282" s="21"/>
      <c r="G282" s="21"/>
      <c r="H282" s="21"/>
      <c r="I282" s="21"/>
      <c r="J282" s="21"/>
      <c r="K282" s="21"/>
      <c r="L282" s="21"/>
      <c r="M282" s="21"/>
      <c r="N282" s="21"/>
      <c r="O282" s="21"/>
      <c r="P282" s="21"/>
      <c r="Q282" s="21"/>
      <c r="R282" s="21"/>
      <c r="S282" s="20"/>
    </row>
    <row r="283" spans="1:19" x14ac:dyDescent="0.3">
      <c r="A283" s="18"/>
      <c r="B283" s="21"/>
      <c r="C283" s="21"/>
      <c r="D283" s="21"/>
      <c r="E283" s="21"/>
      <c r="F283" s="21"/>
      <c r="G283" s="21"/>
      <c r="H283" s="21"/>
      <c r="I283" s="21"/>
      <c r="J283" s="21"/>
      <c r="K283" s="21"/>
      <c r="L283" s="21"/>
      <c r="M283" s="21"/>
      <c r="N283" s="21"/>
      <c r="O283" s="21"/>
      <c r="P283" s="21"/>
      <c r="Q283" s="21"/>
      <c r="R283" s="21"/>
      <c r="S283" s="20"/>
    </row>
    <row r="284" spans="1:19" x14ac:dyDescent="0.3">
      <c r="A284" s="18"/>
      <c r="B284" s="21"/>
      <c r="C284" s="21"/>
      <c r="D284" s="21"/>
      <c r="E284" s="21"/>
      <c r="F284" s="21"/>
      <c r="G284" s="21"/>
      <c r="H284" s="21"/>
      <c r="I284" s="21"/>
      <c r="J284" s="21"/>
      <c r="K284" s="21"/>
      <c r="L284" s="21"/>
      <c r="M284" s="21"/>
      <c r="N284" s="21"/>
      <c r="O284" s="21"/>
      <c r="P284" s="21"/>
      <c r="Q284" s="21"/>
      <c r="R284" s="21"/>
      <c r="S284" s="20"/>
    </row>
    <row r="285" spans="1:19" x14ac:dyDescent="0.3">
      <c r="A285" s="18"/>
      <c r="B285" s="21"/>
      <c r="C285" s="21"/>
      <c r="D285" s="21"/>
      <c r="E285" s="21"/>
      <c r="F285" s="21"/>
      <c r="G285" s="21"/>
      <c r="H285" s="21"/>
      <c r="I285" s="21"/>
      <c r="J285" s="21"/>
      <c r="K285" s="21"/>
      <c r="L285" s="21"/>
      <c r="M285" s="21"/>
      <c r="N285" s="21"/>
      <c r="O285" s="21"/>
      <c r="P285" s="21"/>
      <c r="Q285" s="21"/>
      <c r="R285" s="21"/>
      <c r="S285" s="20"/>
    </row>
    <row r="286" spans="1:19" x14ac:dyDescent="0.3">
      <c r="A286" s="18"/>
      <c r="B286" s="60" t="s">
        <v>3122</v>
      </c>
      <c r="C286" s="60" t="s">
        <v>1065</v>
      </c>
      <c r="D286" s="60" t="s">
        <v>3123</v>
      </c>
      <c r="E286" s="21"/>
      <c r="F286" s="21"/>
      <c r="G286" s="21"/>
      <c r="H286" s="475" t="s">
        <v>3409</v>
      </c>
      <c r="I286" s="475"/>
      <c r="J286" s="475"/>
      <c r="K286" s="475"/>
      <c r="L286" s="21"/>
      <c r="M286" s="21"/>
      <c r="N286" s="21"/>
      <c r="O286" s="21"/>
      <c r="P286" s="21"/>
      <c r="Q286" s="21"/>
      <c r="R286" s="21"/>
      <c r="S286" s="20"/>
    </row>
    <row r="287" spans="1:19" x14ac:dyDescent="0.3">
      <c r="A287" s="18"/>
      <c r="B287" s="42" t="s">
        <v>2480</v>
      </c>
      <c r="C287" s="324" t="s">
        <v>3118</v>
      </c>
      <c r="D287" s="324" t="s">
        <v>1293</v>
      </c>
      <c r="E287" s="21"/>
      <c r="F287" s="21"/>
      <c r="G287" s="21"/>
      <c r="H287" s="458" t="str">
        <f t="array" ref="H287:K292">_xll.U.REPLACE(B269:E274,"columns()",B286:D291,,,,,M288:N289)</f>
        <v>Username</v>
      </c>
      <c r="I287" s="3" t="str">
        <v>Age</v>
      </c>
      <c r="J287" s="458" t="str">
        <v>Job</v>
      </c>
      <c r="K287" s="3" t="str">
        <v>Weight</v>
      </c>
      <c r="L287" s="21"/>
      <c r="M287" s="3" t="s">
        <v>772</v>
      </c>
      <c r="N287" s="3" t="s">
        <v>693</v>
      </c>
      <c r="O287" s="21"/>
      <c r="P287" s="21"/>
      <c r="Q287" s="21"/>
      <c r="R287" s="21"/>
      <c r="S287" s="20"/>
    </row>
    <row r="288" spans="1:19" x14ac:dyDescent="0.3">
      <c r="A288" s="18"/>
      <c r="B288" s="42" t="s">
        <v>92</v>
      </c>
      <c r="C288" s="44" t="s">
        <v>3119</v>
      </c>
      <c r="D288" s="44" t="s">
        <v>3124</v>
      </c>
      <c r="E288" s="21"/>
      <c r="F288" s="21"/>
      <c r="G288" s="21"/>
      <c r="H288" s="319" t="str">
        <v>bjones</v>
      </c>
      <c r="I288" s="320" t="str">
        <v>thirty-seven</v>
      </c>
      <c r="J288" s="319" t="str">
        <v>t</v>
      </c>
      <c r="K288" s="325">
        <v>182.4</v>
      </c>
      <c r="L288" s="21"/>
      <c r="M288" s="244" t="s">
        <v>1119</v>
      </c>
      <c r="N288" s="244" t="s">
        <v>3122</v>
      </c>
      <c r="O288" s="21"/>
      <c r="P288" s="21"/>
      <c r="Q288" s="21"/>
      <c r="R288" s="21"/>
      <c r="S288" s="20"/>
    </row>
    <row r="289" spans="1:19" x14ac:dyDescent="0.3">
      <c r="A289" s="18"/>
      <c r="B289" s="42" t="s">
        <v>79</v>
      </c>
      <c r="C289" s="44"/>
      <c r="D289" s="44" t="s">
        <v>3125</v>
      </c>
      <c r="E289" s="21"/>
      <c r="F289" s="21"/>
      <c r="G289" s="21"/>
      <c r="H289" s="319" t="str">
        <v>ssmith</v>
      </c>
      <c r="I289" s="320" t="str">
        <v>twenty-two</v>
      </c>
      <c r="J289" s="319" t="str">
        <v>e</v>
      </c>
      <c r="K289" s="325">
        <v>114</v>
      </c>
      <c r="L289" s="21"/>
      <c r="M289" s="244" t="s">
        <v>517</v>
      </c>
      <c r="N289" s="244" t="s">
        <v>747</v>
      </c>
      <c r="O289" s="21"/>
      <c r="P289" s="21"/>
      <c r="Q289" s="21"/>
      <c r="R289" s="21"/>
      <c r="S289" s="20"/>
    </row>
    <row r="290" spans="1:19" x14ac:dyDescent="0.3">
      <c r="A290" s="18"/>
      <c r="B290" s="42" t="s">
        <v>77</v>
      </c>
      <c r="C290" s="44" t="s">
        <v>3120</v>
      </c>
      <c r="D290" s="44" t="s">
        <v>3126</v>
      </c>
      <c r="E290" s="21"/>
      <c r="F290" s="21"/>
      <c r="G290" s="21"/>
      <c r="H290" s="319" t="str">
        <v>thopper</v>
      </c>
      <c r="I290" s="320" t="str">
        <v/>
      </c>
      <c r="J290" s="319" t="str">
        <v>c</v>
      </c>
      <c r="K290" s="325">
        <v>162.80000000000001</v>
      </c>
      <c r="L290" s="21"/>
      <c r="M290" s="21"/>
      <c r="N290" s="21"/>
      <c r="O290" s="21"/>
      <c r="P290" s="21"/>
      <c r="Q290" s="21"/>
      <c r="R290" s="21"/>
      <c r="S290" s="20"/>
    </row>
    <row r="291" spans="1:19" x14ac:dyDescent="0.3">
      <c r="A291" s="18"/>
      <c r="B291" s="42" t="s">
        <v>3117</v>
      </c>
      <c r="C291" s="44" t="s">
        <v>3121</v>
      </c>
      <c r="D291" s="44" t="s">
        <v>3127</v>
      </c>
      <c r="E291" s="21"/>
      <c r="F291" s="21"/>
      <c r="G291" s="21"/>
      <c r="H291" s="319" t="str">
        <v>bbragg</v>
      </c>
      <c r="I291" s="320" t="str">
        <v>thirty</v>
      </c>
      <c r="J291" s="319" t="str">
        <v>a</v>
      </c>
      <c r="K291" s="325" t="str">
        <v/>
      </c>
      <c r="L291" s="21"/>
      <c r="M291" s="21"/>
      <c r="N291" s="21"/>
      <c r="O291" s="21"/>
      <c r="P291" s="21"/>
      <c r="Q291" s="21"/>
      <c r="R291" s="21"/>
      <c r="S291" s="20"/>
    </row>
    <row r="292" spans="1:19" x14ac:dyDescent="0.3">
      <c r="A292" s="18"/>
      <c r="B292" s="21"/>
      <c r="C292" s="21"/>
      <c r="D292" s="21"/>
      <c r="E292" s="21"/>
      <c r="F292" s="21"/>
      <c r="G292" s="21"/>
      <c r="H292" s="319" t="str">
        <v>alukin</v>
      </c>
      <c r="I292" s="320" t="str">
        <v>fifty</v>
      </c>
      <c r="J292" s="319" t="str">
        <v>p</v>
      </c>
      <c r="K292" s="325">
        <v>122.3</v>
      </c>
      <c r="L292" s="21"/>
      <c r="M292" s="21"/>
      <c r="N292" s="21"/>
      <c r="O292" s="21"/>
      <c r="P292" s="21"/>
      <c r="Q292" s="21"/>
      <c r="R292" s="21"/>
      <c r="S292" s="20"/>
    </row>
    <row r="293" spans="1:19" x14ac:dyDescent="0.3">
      <c r="A293" s="18"/>
      <c r="B293" s="21"/>
      <c r="C293" s="21"/>
      <c r="D293" s="21"/>
      <c r="E293" s="21"/>
      <c r="F293" s="21"/>
      <c r="G293" s="21"/>
      <c r="H293" s="21"/>
      <c r="I293" s="21"/>
      <c r="J293" s="21"/>
      <c r="K293" s="21"/>
      <c r="L293" s="21"/>
      <c r="M293" s="21"/>
      <c r="N293" s="21"/>
      <c r="O293" s="21"/>
      <c r="P293" s="21"/>
      <c r="Q293" s="21"/>
      <c r="R293" s="21"/>
      <c r="S293" s="20"/>
    </row>
    <row r="294" spans="1:19" x14ac:dyDescent="0.3">
      <c r="A294" s="18"/>
      <c r="B294" s="21"/>
      <c r="C294" s="21"/>
      <c r="D294" s="21"/>
      <c r="E294" s="21"/>
      <c r="F294" s="21"/>
      <c r="G294" s="21"/>
      <c r="H294" s="475" t="s">
        <v>3409</v>
      </c>
      <c r="I294" s="475"/>
      <c r="J294" s="475"/>
      <c r="K294" s="475"/>
      <c r="L294" s="21"/>
      <c r="M294" s="21"/>
      <c r="N294" s="21"/>
      <c r="O294" s="21"/>
      <c r="P294" s="21"/>
      <c r="Q294" s="21"/>
      <c r="R294" s="21"/>
      <c r="S294" s="20"/>
    </row>
    <row r="295" spans="1:19" x14ac:dyDescent="0.3">
      <c r="A295" s="18"/>
      <c r="B295" s="21"/>
      <c r="C295" s="21"/>
      <c r="D295" s="21"/>
      <c r="E295" s="21"/>
      <c r="F295" s="21"/>
      <c r="G295" s="21"/>
      <c r="H295" s="458" t="str">
        <f t="array" ref="H295:K300">_xll.U.REPLACE(B269:E274,"columns(occupation:job|name:username|*:ignore())",B286:D291)</f>
        <v>Username</v>
      </c>
      <c r="I295" s="3" t="str">
        <v>Age</v>
      </c>
      <c r="J295" s="458" t="str">
        <v>Job</v>
      </c>
      <c r="K295" s="3" t="str">
        <v>Weight</v>
      </c>
      <c r="L295" s="21"/>
      <c r="M295" s="21"/>
      <c r="N295" s="21"/>
      <c r="O295" s="21"/>
      <c r="P295" s="21"/>
      <c r="Q295" s="21"/>
      <c r="R295" s="21"/>
      <c r="S295" s="20"/>
    </row>
    <row r="296" spans="1:19" x14ac:dyDescent="0.3">
      <c r="A296" s="18"/>
      <c r="B296" s="21"/>
      <c r="C296" s="21"/>
      <c r="D296" s="21"/>
      <c r="E296" s="21"/>
      <c r="F296" s="21"/>
      <c r="G296" s="21"/>
      <c r="H296" s="319" t="str">
        <v>bjones</v>
      </c>
      <c r="I296" s="321">
        <v>37</v>
      </c>
      <c r="J296" s="319" t="str">
        <v>t</v>
      </c>
      <c r="K296" s="325">
        <v>182.4</v>
      </c>
      <c r="L296" s="21"/>
      <c r="M296" s="21"/>
      <c r="N296" s="21"/>
      <c r="O296" s="21"/>
      <c r="P296" s="21"/>
      <c r="Q296" s="21"/>
      <c r="R296" s="21"/>
      <c r="S296" s="20"/>
    </row>
    <row r="297" spans="1:19" x14ac:dyDescent="0.3">
      <c r="A297" s="18"/>
      <c r="B297" s="21"/>
      <c r="C297" s="21"/>
      <c r="D297" s="21"/>
      <c r="E297" s="21"/>
      <c r="F297" s="21"/>
      <c r="G297" s="21"/>
      <c r="H297" s="319" t="str">
        <v>ssmith</v>
      </c>
      <c r="I297" s="321">
        <v>22</v>
      </c>
      <c r="J297" s="319" t="str">
        <v>e</v>
      </c>
      <c r="K297" s="325">
        <v>114</v>
      </c>
      <c r="L297" s="21"/>
      <c r="M297" s="21"/>
      <c r="N297" s="21"/>
      <c r="O297" s="21"/>
      <c r="P297" s="21"/>
      <c r="Q297" s="21"/>
      <c r="R297" s="21"/>
      <c r="S297" s="20"/>
    </row>
    <row r="298" spans="1:19" x14ac:dyDescent="0.3">
      <c r="A298" s="18"/>
      <c r="B298" s="21"/>
      <c r="C298" s="21"/>
      <c r="D298" s="21"/>
      <c r="E298" s="21"/>
      <c r="F298" s="21"/>
      <c r="G298" s="21"/>
      <c r="H298" s="319" t="str">
        <v>thopper</v>
      </c>
      <c r="I298" s="321" t="e">
        <v>#N/A</v>
      </c>
      <c r="J298" s="319" t="str">
        <v>c</v>
      </c>
      <c r="K298" s="325">
        <v>162.80000000000001</v>
      </c>
      <c r="L298" s="21"/>
      <c r="M298" s="21"/>
      <c r="N298" s="21"/>
      <c r="O298" s="21"/>
      <c r="P298" s="21"/>
      <c r="Q298" s="21"/>
      <c r="R298" s="21"/>
      <c r="S298" s="20"/>
    </row>
    <row r="299" spans="1:19" x14ac:dyDescent="0.3">
      <c r="A299" s="18"/>
      <c r="B299" s="21"/>
      <c r="C299" s="21"/>
      <c r="D299" s="21"/>
      <c r="E299" s="21"/>
      <c r="F299" s="21"/>
      <c r="G299" s="21"/>
      <c r="H299" s="319" t="str">
        <v>bbragg</v>
      </c>
      <c r="I299" s="321">
        <v>30</v>
      </c>
      <c r="J299" s="319" t="str">
        <v>a</v>
      </c>
      <c r="K299" s="325" t="str">
        <v/>
      </c>
      <c r="L299" s="21"/>
      <c r="M299" s="21"/>
      <c r="N299" s="21"/>
      <c r="O299" s="21"/>
      <c r="P299" s="21"/>
      <c r="Q299" s="21"/>
      <c r="R299" s="21"/>
      <c r="S299" s="20"/>
    </row>
    <row r="300" spans="1:19" x14ac:dyDescent="0.3">
      <c r="A300" s="18"/>
      <c r="B300" s="21"/>
      <c r="C300" s="21"/>
      <c r="D300" s="21"/>
      <c r="E300" s="21"/>
      <c r="F300" s="21"/>
      <c r="G300" s="21"/>
      <c r="H300" s="319" t="str">
        <v>alukin</v>
      </c>
      <c r="I300" s="321">
        <v>50</v>
      </c>
      <c r="J300" s="319" t="str">
        <v>p</v>
      </c>
      <c r="K300" s="325">
        <v>122.3</v>
      </c>
      <c r="L300" s="21"/>
      <c r="M300" s="21"/>
      <c r="N300" s="21"/>
      <c r="O300" s="21"/>
      <c r="P300" s="21"/>
      <c r="Q300" s="21"/>
      <c r="R300" s="21"/>
      <c r="S300" s="20"/>
    </row>
    <row r="301" spans="1:19" x14ac:dyDescent="0.3">
      <c r="A301" s="18"/>
      <c r="B301" s="21"/>
      <c r="C301" s="21"/>
      <c r="D301" s="21"/>
      <c r="E301" s="21"/>
      <c r="F301" s="21"/>
      <c r="G301" s="21"/>
      <c r="H301" s="21"/>
      <c r="I301" s="21"/>
      <c r="J301" s="21"/>
      <c r="K301" s="21"/>
      <c r="L301" s="21"/>
      <c r="M301" s="21"/>
      <c r="N301" s="21"/>
      <c r="O301" s="21"/>
      <c r="P301" s="21"/>
      <c r="Q301" s="21"/>
      <c r="R301" s="21"/>
      <c r="S301" s="20"/>
    </row>
    <row r="302" spans="1:19" x14ac:dyDescent="0.3">
      <c r="A302" s="18"/>
      <c r="B302" s="21"/>
      <c r="C302" s="21"/>
      <c r="D302" s="21"/>
      <c r="E302" s="21"/>
      <c r="F302" s="21"/>
      <c r="G302" s="21"/>
      <c r="H302" s="475" t="s">
        <v>3409</v>
      </c>
      <c r="I302" s="475"/>
      <c r="J302" s="475"/>
      <c r="K302" s="475"/>
      <c r="L302" s="21"/>
      <c r="M302" s="21"/>
      <c r="N302" s="21"/>
      <c r="O302" s="21"/>
      <c r="P302" s="21"/>
      <c r="Q302" s="21"/>
      <c r="R302" s="21"/>
      <c r="S302" s="20"/>
    </row>
    <row r="303" spans="1:19" x14ac:dyDescent="0.3">
      <c r="A303" s="18"/>
      <c r="B303" s="21"/>
      <c r="C303" s="21"/>
      <c r="D303" s="21"/>
      <c r="E303" s="21"/>
      <c r="F303" s="21"/>
      <c r="G303" s="21"/>
      <c r="H303" s="458" t="str">
        <f t="array" ref="H303:K308">_xll.U.REPLACE(B269:E274,"columns(3:1|1:3)",B286:D291)</f>
        <v>Username</v>
      </c>
      <c r="I303" s="3" t="str">
        <v>Age</v>
      </c>
      <c r="J303" s="458" t="str">
        <v>Job</v>
      </c>
      <c r="K303" s="3" t="str">
        <v>Weight</v>
      </c>
      <c r="L303" s="21"/>
      <c r="M303" s="21"/>
      <c r="N303" s="21"/>
      <c r="O303" s="21"/>
      <c r="P303" s="21"/>
      <c r="Q303" s="21"/>
      <c r="R303" s="21"/>
      <c r="S303" s="20"/>
    </row>
    <row r="304" spans="1:19" x14ac:dyDescent="0.3">
      <c r="A304" s="18"/>
      <c r="B304" s="21"/>
      <c r="C304" s="21"/>
      <c r="D304" s="21"/>
      <c r="E304" s="21"/>
      <c r="F304" s="21"/>
      <c r="G304" s="21"/>
      <c r="H304" s="319" t="str">
        <v>bjones</v>
      </c>
      <c r="I304" s="320" t="str">
        <v>thirty-seven</v>
      </c>
      <c r="J304" s="319" t="str">
        <v>t</v>
      </c>
      <c r="K304" s="325">
        <v>182.4</v>
      </c>
      <c r="L304" s="21"/>
      <c r="M304" s="21"/>
      <c r="N304" s="21"/>
      <c r="O304" s="21"/>
      <c r="P304" s="21"/>
      <c r="Q304" s="21"/>
      <c r="R304" s="21"/>
      <c r="S304" s="20"/>
    </row>
    <row r="305" spans="1:19" x14ac:dyDescent="0.3">
      <c r="A305" s="18"/>
      <c r="B305" s="21"/>
      <c r="C305" s="21"/>
      <c r="D305" s="21"/>
      <c r="E305" s="21"/>
      <c r="F305" s="21"/>
      <c r="G305" s="21"/>
      <c r="H305" s="319" t="str">
        <v>ssmith</v>
      </c>
      <c r="I305" s="320" t="str">
        <v>twenty-two</v>
      </c>
      <c r="J305" s="319" t="str">
        <v>e</v>
      </c>
      <c r="K305" s="325">
        <v>114</v>
      </c>
      <c r="L305" s="21"/>
      <c r="M305" s="21"/>
      <c r="N305" s="21"/>
      <c r="O305" s="21"/>
      <c r="P305" s="21"/>
      <c r="Q305" s="21"/>
      <c r="R305" s="21"/>
      <c r="S305" s="20"/>
    </row>
    <row r="306" spans="1:19" x14ac:dyDescent="0.3">
      <c r="A306" s="18"/>
      <c r="B306" s="21"/>
      <c r="C306" s="21"/>
      <c r="D306" s="21"/>
      <c r="E306" s="21"/>
      <c r="F306" s="21"/>
      <c r="G306" s="21"/>
      <c r="H306" s="319" t="str">
        <v>thopper</v>
      </c>
      <c r="I306" s="320" t="str">
        <v/>
      </c>
      <c r="J306" s="319" t="str">
        <v>c</v>
      </c>
      <c r="K306" s="325">
        <v>162.80000000000001</v>
      </c>
      <c r="L306" s="21"/>
      <c r="M306" s="21"/>
      <c r="N306" s="21"/>
      <c r="O306" s="21"/>
      <c r="P306" s="21"/>
      <c r="Q306" s="21"/>
      <c r="R306" s="21"/>
      <c r="S306" s="20"/>
    </row>
    <row r="307" spans="1:19" x14ac:dyDescent="0.3">
      <c r="A307" s="18"/>
      <c r="B307" s="21"/>
      <c r="C307" s="21"/>
      <c r="D307" s="21"/>
      <c r="E307" s="21"/>
      <c r="F307" s="21"/>
      <c r="G307" s="21"/>
      <c r="H307" s="319" t="str">
        <v>bbragg</v>
      </c>
      <c r="I307" s="320" t="str">
        <v>thirty</v>
      </c>
      <c r="J307" s="319" t="str">
        <v>a</v>
      </c>
      <c r="K307" s="325" t="str">
        <v/>
      </c>
      <c r="L307" s="21"/>
      <c r="M307" s="21"/>
      <c r="N307" s="21"/>
      <c r="O307" s="21"/>
      <c r="P307" s="21"/>
      <c r="Q307" s="21"/>
      <c r="R307" s="21"/>
      <c r="S307" s="20"/>
    </row>
    <row r="308" spans="1:19" x14ac:dyDescent="0.3">
      <c r="A308" s="18"/>
      <c r="B308" s="21"/>
      <c r="C308" s="21"/>
      <c r="D308" s="21"/>
      <c r="E308" s="21"/>
      <c r="F308" s="21"/>
      <c r="G308" s="21"/>
      <c r="H308" s="319" t="str">
        <v>alukin</v>
      </c>
      <c r="I308" s="320" t="str">
        <v>fifty</v>
      </c>
      <c r="J308" s="319" t="str">
        <v>p</v>
      </c>
      <c r="K308" s="325">
        <v>122.3</v>
      </c>
      <c r="L308" s="21"/>
      <c r="M308" s="21"/>
      <c r="N308" s="21"/>
      <c r="O308" s="21"/>
      <c r="P308" s="21"/>
      <c r="Q308" s="21"/>
      <c r="R308" s="21"/>
      <c r="S308" s="20"/>
    </row>
    <row r="309" spans="1:19" x14ac:dyDescent="0.3">
      <c r="A309" s="18"/>
      <c r="B309" s="21"/>
      <c r="C309" s="21"/>
      <c r="D309" s="21"/>
      <c r="E309" s="21"/>
      <c r="F309" s="21"/>
      <c r="G309" s="21"/>
      <c r="H309" s="21"/>
      <c r="I309" s="21"/>
      <c r="J309" s="21"/>
      <c r="K309" s="21"/>
      <c r="L309" s="21"/>
      <c r="M309" s="21"/>
      <c r="N309" s="21"/>
      <c r="O309" s="21"/>
      <c r="P309" s="21"/>
      <c r="Q309" s="21"/>
      <c r="R309" s="21"/>
      <c r="S309" s="20"/>
    </row>
    <row r="310" spans="1:19" x14ac:dyDescent="0.3">
      <c r="A310" s="18"/>
      <c r="B310" s="21"/>
      <c r="C310" s="21"/>
      <c r="D310" s="21"/>
      <c r="E310" s="21"/>
      <c r="F310" s="21"/>
      <c r="G310" s="21"/>
      <c r="H310" s="21"/>
      <c r="I310" s="21"/>
      <c r="J310" s="21"/>
      <c r="K310" s="21"/>
      <c r="L310" s="21"/>
      <c r="M310" s="21"/>
      <c r="N310" s="21"/>
      <c r="O310" s="21"/>
      <c r="P310" s="21"/>
      <c r="Q310" s="21"/>
      <c r="R310" s="21"/>
      <c r="S310" s="20"/>
    </row>
    <row r="311" spans="1:19" x14ac:dyDescent="0.3">
      <c r="A311" s="18"/>
      <c r="B311" s="21"/>
      <c r="C311" s="21"/>
      <c r="D311" s="21"/>
      <c r="E311" s="21"/>
      <c r="F311" s="21"/>
      <c r="G311" s="21"/>
      <c r="H311" s="21"/>
      <c r="I311" s="21"/>
      <c r="J311" s="21"/>
      <c r="K311" s="21"/>
      <c r="L311" s="21"/>
      <c r="M311" s="21"/>
      <c r="N311" s="21"/>
      <c r="O311" s="21"/>
      <c r="P311" s="21"/>
      <c r="Q311" s="21"/>
      <c r="R311" s="21"/>
      <c r="S311" s="20"/>
    </row>
    <row r="312" spans="1:19" x14ac:dyDescent="0.3">
      <c r="A312" s="18"/>
      <c r="B312" s="21"/>
      <c r="C312" s="21"/>
      <c r="D312" s="21"/>
      <c r="E312" s="21"/>
      <c r="F312" s="21"/>
      <c r="G312" s="21"/>
      <c r="H312" s="492" t="s">
        <v>3409</v>
      </c>
      <c r="I312" s="529"/>
      <c r="J312" s="529"/>
      <c r="K312" s="529"/>
      <c r="L312" s="493"/>
      <c r="M312" s="21"/>
      <c r="N312" s="21"/>
      <c r="O312" s="21"/>
      <c r="P312" s="21"/>
      <c r="Q312" s="21"/>
      <c r="R312" s="21"/>
      <c r="S312" s="20"/>
    </row>
    <row r="313" spans="1:19" x14ac:dyDescent="0.3">
      <c r="A313" s="18"/>
      <c r="B313" s="21"/>
      <c r="C313" s="21"/>
      <c r="D313" s="21"/>
      <c r="E313" s="21"/>
      <c r="F313" s="21"/>
      <c r="G313" s="21"/>
      <c r="H313" s="3" t="str">
        <f t="array" ref="H313:L318">_xll.U.REPLACE(B269:E274,"columns(occupation:job)",B286:D291)</f>
        <v>Name</v>
      </c>
      <c r="I313" s="458" t="str">
        <v>Age</v>
      </c>
      <c r="J313" s="458" t="str">
        <v>Job</v>
      </c>
      <c r="K313" s="3" t="str">
        <v>Weight</v>
      </c>
      <c r="L313" s="3" t="e">
        <v>#N/A</v>
      </c>
      <c r="M313" s="21"/>
      <c r="N313" s="21"/>
      <c r="O313" s="21"/>
      <c r="P313" s="21"/>
      <c r="Q313" s="21"/>
      <c r="R313" s="21"/>
      <c r="S313" s="20"/>
    </row>
    <row r="314" spans="1:19" x14ac:dyDescent="0.3">
      <c r="A314" s="18"/>
      <c r="B314" s="21"/>
      <c r="C314" s="21"/>
      <c r="D314" s="21"/>
      <c r="E314" s="21"/>
      <c r="F314" s="21"/>
      <c r="G314" s="21"/>
      <c r="H314" s="321" t="str">
        <v>bob jones</v>
      </c>
      <c r="I314" s="319" t="str">
        <v>thirty-seven</v>
      </c>
      <c r="J314" s="319" t="str">
        <v>t</v>
      </c>
      <c r="K314" s="325">
        <v>182.4</v>
      </c>
      <c r="L314" s="325" t="e">
        <v>#N/A</v>
      </c>
      <c r="M314" s="21"/>
      <c r="N314" s="21"/>
      <c r="O314" s="21"/>
      <c r="P314" s="21"/>
      <c r="Q314" s="21"/>
      <c r="R314" s="21"/>
      <c r="S314" s="20"/>
    </row>
    <row r="315" spans="1:19" x14ac:dyDescent="0.3">
      <c r="A315" s="18"/>
      <c r="B315" s="21"/>
      <c r="C315" s="21"/>
      <c r="D315" s="21"/>
      <c r="E315" s="21"/>
      <c r="F315" s="21"/>
      <c r="G315" s="21"/>
      <c r="H315" s="321" t="str">
        <v>Sally Smith</v>
      </c>
      <c r="I315" s="319" t="str">
        <v>twenty-two</v>
      </c>
      <c r="J315" s="319" t="str">
        <v>e</v>
      </c>
      <c r="K315" s="325">
        <v>114</v>
      </c>
      <c r="L315" s="325" t="e">
        <v>#N/A</v>
      </c>
      <c r="M315" s="21"/>
      <c r="N315" s="21"/>
      <c r="O315" s="21"/>
      <c r="P315" s="21"/>
      <c r="Q315" s="21"/>
      <c r="R315" s="21"/>
      <c r="S315" s="20"/>
    </row>
    <row r="316" spans="1:19" x14ac:dyDescent="0.3">
      <c r="A316" s="18"/>
      <c r="B316" s="21"/>
      <c r="C316" s="21"/>
      <c r="D316" s="21"/>
      <c r="E316" s="21"/>
      <c r="F316" s="21"/>
      <c r="G316" s="21"/>
      <c r="H316" s="321" t="str">
        <v>tom HOPPER</v>
      </c>
      <c r="I316" s="319" t="str">
        <v/>
      </c>
      <c r="J316" s="319" t="str">
        <v>c</v>
      </c>
      <c r="K316" s="325">
        <v>162.80000000000001</v>
      </c>
      <c r="L316" s="325" t="e">
        <v>#N/A</v>
      </c>
      <c r="M316" s="21"/>
      <c r="N316" s="21"/>
      <c r="O316" s="21"/>
      <c r="P316" s="21"/>
      <c r="Q316" s="21"/>
      <c r="R316" s="21"/>
      <c r="S316" s="20"/>
    </row>
    <row r="317" spans="1:19" x14ac:dyDescent="0.3">
      <c r="A317" s="18"/>
      <c r="B317" s="21"/>
      <c r="C317" s="21"/>
      <c r="D317" s="21"/>
      <c r="E317" s="21"/>
      <c r="F317" s="21"/>
      <c r="G317" s="21"/>
      <c r="H317" s="321" t="str">
        <v>Billy Bragg</v>
      </c>
      <c r="I317" s="319" t="str">
        <v>thirty</v>
      </c>
      <c r="J317" s="319" t="str">
        <v>a</v>
      </c>
      <c r="K317" s="325" t="str">
        <v/>
      </c>
      <c r="L317" s="325" t="e">
        <v>#N/A</v>
      </c>
      <c r="M317" s="21"/>
      <c r="N317" s="21"/>
      <c r="O317" s="21"/>
      <c r="P317" s="21"/>
      <c r="Q317" s="21"/>
      <c r="R317" s="21"/>
      <c r="S317" s="20"/>
    </row>
    <row r="318" spans="1:19" x14ac:dyDescent="0.3">
      <c r="A318" s="18"/>
      <c r="B318" s="21"/>
      <c r="C318" s="21"/>
      <c r="D318" s="21"/>
      <c r="E318" s="21"/>
      <c r="F318" s="21"/>
      <c r="G318" s="21"/>
      <c r="H318" s="321" t="str">
        <v>Anna Lukin</v>
      </c>
      <c r="I318" s="319" t="str">
        <v>fifty</v>
      </c>
      <c r="J318" s="319" t="str">
        <v>p</v>
      </c>
      <c r="K318" s="325">
        <v>122.3</v>
      </c>
      <c r="L318" s="325" t="e">
        <v>#N/A</v>
      </c>
      <c r="M318" s="21"/>
      <c r="N318" s="21"/>
      <c r="O318" s="21"/>
      <c r="P318" s="21"/>
      <c r="Q318" s="21"/>
      <c r="R318" s="21"/>
      <c r="S318" s="20"/>
    </row>
    <row r="319" spans="1:19" x14ac:dyDescent="0.3">
      <c r="A319" s="18"/>
      <c r="B319" s="21"/>
      <c r="C319" s="21"/>
      <c r="D319" s="21"/>
      <c r="E319" s="21"/>
      <c r="F319" s="21"/>
      <c r="G319" s="21"/>
      <c r="H319" s="21"/>
      <c r="I319" s="21"/>
      <c r="J319" s="21"/>
      <c r="K319" s="21"/>
      <c r="L319" s="21"/>
      <c r="M319" s="21"/>
      <c r="N319" s="21"/>
      <c r="O319" s="21"/>
      <c r="P319" s="21"/>
      <c r="Q319" s="21"/>
      <c r="R319" s="21"/>
      <c r="S319" s="20"/>
    </row>
    <row r="320" spans="1:19" x14ac:dyDescent="0.3">
      <c r="A320" s="18"/>
      <c r="B320" s="21"/>
      <c r="C320" s="21"/>
      <c r="D320" s="21"/>
      <c r="E320" s="21"/>
      <c r="F320" s="21"/>
      <c r="G320" s="21"/>
      <c r="H320" s="492" t="s">
        <v>3409</v>
      </c>
      <c r="I320" s="529"/>
      <c r="J320" s="529"/>
      <c r="K320" s="529"/>
      <c r="L320" s="493"/>
      <c r="M320" s="21"/>
      <c r="N320" s="21"/>
      <c r="O320" s="21"/>
      <c r="P320" s="21"/>
      <c r="Q320" s="21"/>
      <c r="R320" s="21"/>
      <c r="S320" s="20"/>
    </row>
    <row r="321" spans="1:19" x14ac:dyDescent="0.3">
      <c r="A321" s="18"/>
      <c r="B321" s="21"/>
      <c r="C321" s="21"/>
      <c r="D321" s="21"/>
      <c r="E321" s="21"/>
      <c r="F321" s="21"/>
      <c r="G321" s="21"/>
      <c r="H321" s="3" t="str">
        <f t="array" ref="H321:L326">_xll.U.REPLACE(B269:E274,"columns(occupation:job|*:append())",B286:D291)</f>
        <v>Name</v>
      </c>
      <c r="I321" s="458" t="str">
        <v>Age</v>
      </c>
      <c r="J321" s="458" t="str">
        <v>Job</v>
      </c>
      <c r="K321" s="3" t="str">
        <v>Weight</v>
      </c>
      <c r="L321" s="458" t="str">
        <v>Username</v>
      </c>
      <c r="M321" s="21"/>
      <c r="N321" s="21"/>
      <c r="O321" s="21"/>
      <c r="P321" s="21"/>
      <c r="Q321" s="21"/>
      <c r="R321" s="21"/>
      <c r="S321" s="20"/>
    </row>
    <row r="322" spans="1:19" x14ac:dyDescent="0.3">
      <c r="A322" s="18"/>
      <c r="B322" s="21"/>
      <c r="C322" s="21"/>
      <c r="D322" s="21"/>
      <c r="E322" s="21"/>
      <c r="F322" s="21"/>
      <c r="G322" s="21"/>
      <c r="H322" s="321" t="str">
        <v>bob jones</v>
      </c>
      <c r="I322" s="319" t="str">
        <v>thirty-seven</v>
      </c>
      <c r="J322" s="319" t="str">
        <v>t</v>
      </c>
      <c r="K322" s="325">
        <v>182.4</v>
      </c>
      <c r="L322" s="319" t="str">
        <v>bjones</v>
      </c>
      <c r="M322" s="21"/>
      <c r="N322" s="21"/>
      <c r="O322" s="21"/>
      <c r="P322" s="21"/>
      <c r="Q322" s="21"/>
      <c r="R322" s="21"/>
      <c r="S322" s="20"/>
    </row>
    <row r="323" spans="1:19" x14ac:dyDescent="0.3">
      <c r="A323" s="18"/>
      <c r="B323" s="21"/>
      <c r="C323" s="21"/>
      <c r="D323" s="21"/>
      <c r="E323" s="21"/>
      <c r="F323" s="21"/>
      <c r="G323" s="21"/>
      <c r="H323" s="321" t="str">
        <v>Sally Smith</v>
      </c>
      <c r="I323" s="319" t="str">
        <v>twenty-two</v>
      </c>
      <c r="J323" s="319" t="str">
        <v>e</v>
      </c>
      <c r="K323" s="325">
        <v>114</v>
      </c>
      <c r="L323" s="319" t="str">
        <v>ssmith</v>
      </c>
      <c r="M323" s="21"/>
      <c r="N323" s="21"/>
      <c r="O323" s="21"/>
      <c r="P323" s="21"/>
      <c r="Q323" s="21"/>
      <c r="R323" s="21"/>
      <c r="S323" s="20"/>
    </row>
    <row r="324" spans="1:19" x14ac:dyDescent="0.3">
      <c r="A324" s="18"/>
      <c r="B324" s="21"/>
      <c r="C324" s="21"/>
      <c r="D324" s="21"/>
      <c r="E324" s="21"/>
      <c r="F324" s="21"/>
      <c r="G324" s="21"/>
      <c r="H324" s="321" t="str">
        <v>tom HOPPER</v>
      </c>
      <c r="I324" s="319" t="str">
        <v/>
      </c>
      <c r="J324" s="319" t="str">
        <v>c</v>
      </c>
      <c r="K324" s="325">
        <v>162.80000000000001</v>
      </c>
      <c r="L324" s="319" t="str">
        <v>thopper</v>
      </c>
      <c r="M324" s="21"/>
      <c r="N324" s="21"/>
      <c r="O324" s="21"/>
      <c r="P324" s="21"/>
      <c r="Q324" s="21"/>
      <c r="R324" s="21"/>
      <c r="S324" s="20"/>
    </row>
    <row r="325" spans="1:19" x14ac:dyDescent="0.3">
      <c r="A325" s="18"/>
      <c r="B325" s="21"/>
      <c r="C325" s="21"/>
      <c r="D325" s="21"/>
      <c r="E325" s="21"/>
      <c r="F325" s="21"/>
      <c r="G325" s="21"/>
      <c r="H325" s="321" t="str">
        <v>Billy Bragg</v>
      </c>
      <c r="I325" s="319" t="str">
        <v>thirty</v>
      </c>
      <c r="J325" s="319" t="str">
        <v>a</v>
      </c>
      <c r="K325" s="325" t="str">
        <v/>
      </c>
      <c r="L325" s="319" t="str">
        <v>bbragg</v>
      </c>
      <c r="M325" s="21"/>
      <c r="N325" s="21"/>
      <c r="O325" s="21"/>
      <c r="P325" s="21"/>
      <c r="Q325" s="21"/>
      <c r="R325" s="21"/>
      <c r="S325" s="20"/>
    </row>
    <row r="326" spans="1:19" x14ac:dyDescent="0.3">
      <c r="A326" s="18"/>
      <c r="B326" s="21"/>
      <c r="C326" s="21"/>
      <c r="D326" s="21"/>
      <c r="E326" s="21"/>
      <c r="F326" s="21"/>
      <c r="G326" s="21"/>
      <c r="H326" s="321" t="str">
        <v>Anna Lukin</v>
      </c>
      <c r="I326" s="319" t="str">
        <v>fifty</v>
      </c>
      <c r="J326" s="319" t="str">
        <v>p</v>
      </c>
      <c r="K326" s="325">
        <v>122.3</v>
      </c>
      <c r="L326" s="319" t="str">
        <v>alukin</v>
      </c>
      <c r="M326" s="21"/>
      <c r="N326" s="21"/>
      <c r="O326" s="21"/>
      <c r="P326" s="21"/>
      <c r="Q326" s="21"/>
      <c r="R326" s="21"/>
      <c r="S326" s="20"/>
    </row>
    <row r="327" spans="1:19" x14ac:dyDescent="0.3">
      <c r="A327" s="18"/>
      <c r="B327" s="21"/>
      <c r="C327" s="21"/>
      <c r="D327" s="21"/>
      <c r="E327" s="21"/>
      <c r="F327" s="21"/>
      <c r="G327" s="21"/>
      <c r="H327" s="21"/>
      <c r="I327" s="21"/>
      <c r="J327" s="21"/>
      <c r="K327" s="21"/>
      <c r="L327" s="21"/>
      <c r="M327" s="21"/>
      <c r="N327" s="21"/>
      <c r="O327" s="21"/>
      <c r="P327" s="21"/>
      <c r="Q327" s="21"/>
      <c r="R327" s="21"/>
      <c r="S327" s="20"/>
    </row>
    <row r="328" spans="1:19" x14ac:dyDescent="0.3">
      <c r="A328" s="18"/>
      <c r="B328" s="21"/>
      <c r="C328" s="21"/>
      <c r="D328" s="21"/>
      <c r="E328" s="21"/>
      <c r="F328" s="21"/>
      <c r="G328" s="21"/>
      <c r="H328" s="21"/>
      <c r="I328" s="21"/>
      <c r="J328" s="21"/>
      <c r="K328" s="21"/>
      <c r="L328" s="21"/>
      <c r="M328" s="21"/>
      <c r="N328" s="21"/>
      <c r="O328" s="21"/>
      <c r="P328" s="21"/>
      <c r="Q328" s="21"/>
      <c r="R328" s="21"/>
      <c r="S328" s="20"/>
    </row>
    <row r="329" spans="1:19" x14ac:dyDescent="0.3">
      <c r="A329" s="18"/>
      <c r="B329" s="21"/>
      <c r="C329" s="21"/>
      <c r="D329" s="21"/>
      <c r="E329" s="21"/>
      <c r="F329" s="21"/>
      <c r="G329" s="21"/>
      <c r="H329" s="21"/>
      <c r="I329" s="21"/>
      <c r="J329" s="21"/>
      <c r="K329" s="21"/>
      <c r="L329" s="21"/>
      <c r="M329" s="21"/>
      <c r="N329" s="21"/>
      <c r="O329" s="21"/>
      <c r="P329" s="21"/>
      <c r="Q329" s="21"/>
      <c r="R329" s="21"/>
      <c r="S329" s="20"/>
    </row>
    <row r="330" spans="1:19" x14ac:dyDescent="0.3">
      <c r="A330" s="18"/>
      <c r="B330" s="21"/>
      <c r="C330" s="21"/>
      <c r="D330" s="21"/>
      <c r="E330" s="21"/>
      <c r="F330" s="21"/>
      <c r="G330" s="21"/>
      <c r="H330" s="492" t="s">
        <v>3409</v>
      </c>
      <c r="I330" s="529"/>
      <c r="J330" s="529"/>
      <c r="K330" s="529"/>
      <c r="L330" s="493"/>
      <c r="M330" s="21"/>
      <c r="N330" s="21"/>
      <c r="O330" s="21"/>
      <c r="P330" s="21"/>
      <c r="Q330" s="21"/>
      <c r="R330" s="21"/>
      <c r="S330" s="20"/>
    </row>
    <row r="331" spans="1:19" x14ac:dyDescent="0.3">
      <c r="A331" s="18"/>
      <c r="B331" s="21"/>
      <c r="C331" s="21"/>
      <c r="D331" s="21"/>
      <c r="E331" s="21"/>
      <c r="F331" s="21"/>
      <c r="G331" s="21"/>
      <c r="H331" s="3" t="str">
        <f t="array" ref="H331:L336">_xll.U.REPLACE(B269:E274,"columns(occupation:job,age)",B286:D291)</f>
        <v>Name</v>
      </c>
      <c r="I331" s="3" t="str">
        <v>Age</v>
      </c>
      <c r="J331" s="458" t="str">
        <v>Job</v>
      </c>
      <c r="K331" s="458" t="str">
        <v>Age</v>
      </c>
      <c r="L331" s="3" t="str">
        <v>Weight</v>
      </c>
      <c r="M331" s="21"/>
      <c r="N331" s="21"/>
      <c r="O331" s="21"/>
      <c r="P331" s="21"/>
      <c r="Q331" s="21"/>
      <c r="R331" s="21"/>
      <c r="S331" s="20"/>
    </row>
    <row r="332" spans="1:19" x14ac:dyDescent="0.3">
      <c r="A332" s="18"/>
      <c r="B332" s="21"/>
      <c r="C332" s="21"/>
      <c r="D332" s="21"/>
      <c r="E332" s="21"/>
      <c r="F332" s="21"/>
      <c r="G332" s="21"/>
      <c r="H332" s="321" t="str">
        <v>bob jones</v>
      </c>
      <c r="I332" s="321">
        <v>37</v>
      </c>
      <c r="J332" s="319" t="str">
        <v>t</v>
      </c>
      <c r="K332" s="319" t="str">
        <v>thirty-seven</v>
      </c>
      <c r="L332" s="321">
        <v>182.4</v>
      </c>
      <c r="M332" s="21"/>
      <c r="N332" s="21"/>
      <c r="O332" s="21"/>
      <c r="P332" s="21"/>
      <c r="Q332" s="21"/>
      <c r="R332" s="21"/>
      <c r="S332" s="20"/>
    </row>
    <row r="333" spans="1:19" x14ac:dyDescent="0.3">
      <c r="A333" s="18"/>
      <c r="B333" s="21"/>
      <c r="C333" s="21"/>
      <c r="D333" s="21"/>
      <c r="E333" s="21"/>
      <c r="F333" s="21"/>
      <c r="G333" s="21"/>
      <c r="H333" s="321" t="str">
        <v>Sally Smith</v>
      </c>
      <c r="I333" s="321">
        <v>22</v>
      </c>
      <c r="J333" s="319" t="str">
        <v>e</v>
      </c>
      <c r="K333" s="319" t="str">
        <v>twenty-two</v>
      </c>
      <c r="L333" s="321">
        <v>114</v>
      </c>
      <c r="M333" s="21"/>
      <c r="N333" s="21"/>
      <c r="O333" s="21"/>
      <c r="P333" s="21"/>
      <c r="Q333" s="21"/>
      <c r="R333" s="21"/>
      <c r="S333" s="20"/>
    </row>
    <row r="334" spans="1:19" x14ac:dyDescent="0.3">
      <c r="A334" s="18"/>
      <c r="B334" s="21"/>
      <c r="C334" s="21"/>
      <c r="D334" s="21"/>
      <c r="E334" s="21"/>
      <c r="F334" s="21"/>
      <c r="G334" s="21"/>
      <c r="H334" s="321" t="str">
        <v>tom HOPPER</v>
      </c>
      <c r="I334" s="321" t="e">
        <v>#N/A</v>
      </c>
      <c r="J334" s="319" t="str">
        <v>c</v>
      </c>
      <c r="K334" s="319" t="str">
        <v/>
      </c>
      <c r="L334" s="321">
        <v>162.80000000000001</v>
      </c>
      <c r="M334" s="21"/>
      <c r="N334" s="21"/>
      <c r="O334" s="21"/>
      <c r="P334" s="21"/>
      <c r="Q334" s="21"/>
      <c r="R334" s="21"/>
      <c r="S334" s="20"/>
    </row>
    <row r="335" spans="1:19" x14ac:dyDescent="0.3">
      <c r="A335" s="18"/>
      <c r="B335" s="21"/>
      <c r="C335" s="21"/>
      <c r="D335" s="21"/>
      <c r="E335" s="21"/>
      <c r="F335" s="21"/>
      <c r="G335" s="21"/>
      <c r="H335" s="321" t="str">
        <v>Billy Bragg</v>
      </c>
      <c r="I335" s="321">
        <v>30</v>
      </c>
      <c r="J335" s="319" t="str">
        <v>a</v>
      </c>
      <c r="K335" s="319" t="str">
        <v>thirty</v>
      </c>
      <c r="L335" s="321" t="str">
        <v/>
      </c>
      <c r="M335" s="21"/>
      <c r="N335" s="21"/>
      <c r="O335" s="21"/>
      <c r="P335" s="21"/>
      <c r="Q335" s="21"/>
      <c r="R335" s="21"/>
      <c r="S335" s="20"/>
    </row>
    <row r="336" spans="1:19" x14ac:dyDescent="0.3">
      <c r="A336" s="18"/>
      <c r="B336" s="21"/>
      <c r="C336" s="21"/>
      <c r="D336" s="21"/>
      <c r="E336" s="21"/>
      <c r="F336" s="21"/>
      <c r="G336" s="21"/>
      <c r="H336" s="321" t="str">
        <v>Anna Lukin</v>
      </c>
      <c r="I336" s="321">
        <v>50</v>
      </c>
      <c r="J336" s="319" t="str">
        <v>p</v>
      </c>
      <c r="K336" s="319" t="str">
        <v>fifty</v>
      </c>
      <c r="L336" s="321">
        <v>122.3</v>
      </c>
      <c r="M336" s="21"/>
      <c r="N336" s="21"/>
      <c r="O336" s="21"/>
      <c r="P336" s="21"/>
      <c r="Q336" s="21"/>
      <c r="R336" s="21"/>
      <c r="S336" s="20"/>
    </row>
    <row r="337" spans="1:19" x14ac:dyDescent="0.3">
      <c r="A337" s="18"/>
      <c r="B337" s="21"/>
      <c r="C337" s="21"/>
      <c r="D337" s="21"/>
      <c r="E337" s="21"/>
      <c r="F337" s="21"/>
      <c r="G337" s="21"/>
      <c r="H337" s="21"/>
      <c r="I337" s="21"/>
      <c r="J337" s="21"/>
      <c r="K337" s="21"/>
      <c r="L337" s="21"/>
      <c r="M337" s="21"/>
      <c r="N337" s="21"/>
      <c r="O337" s="21"/>
      <c r="P337" s="21"/>
      <c r="Q337" s="21"/>
      <c r="R337" s="21"/>
      <c r="S337" s="20"/>
    </row>
    <row r="338" spans="1:19" x14ac:dyDescent="0.3">
      <c r="A338" s="18"/>
      <c r="B338" s="21"/>
      <c r="C338" s="21"/>
      <c r="D338" s="21"/>
      <c r="E338" s="21"/>
      <c r="F338" s="21"/>
      <c r="G338" s="21"/>
      <c r="H338" s="492" t="s">
        <v>3409</v>
      </c>
      <c r="I338" s="529"/>
      <c r="J338" s="529"/>
      <c r="K338" s="529"/>
      <c r="L338" s="493"/>
      <c r="M338" s="21"/>
      <c r="N338" s="21"/>
      <c r="O338" s="21"/>
      <c r="P338" s="21"/>
      <c r="Q338" s="21"/>
      <c r="R338" s="21"/>
      <c r="S338" s="20"/>
    </row>
    <row r="339" spans="1:19" x14ac:dyDescent="0.3">
      <c r="A339" s="18"/>
      <c r="B339" s="21"/>
      <c r="C339" s="21"/>
      <c r="D339" s="21"/>
      <c r="E339" s="21"/>
      <c r="F339" s="21"/>
      <c r="G339" s="21"/>
      <c r="H339" s="3" t="str">
        <f t="array" ref="H339:L344">_xll.U.REPLACE(B269:E274,"columns(occupation:job,age|*:reuse())",B286:D291)</f>
        <v>Name</v>
      </c>
      <c r="I339" s="458" t="str">
        <v>Age</v>
      </c>
      <c r="J339" s="458" t="str">
        <v>Job</v>
      </c>
      <c r="K339" s="458" t="str">
        <v>Age</v>
      </c>
      <c r="L339" s="3" t="str">
        <v>Weight</v>
      </c>
      <c r="M339" s="21"/>
      <c r="N339" s="21"/>
      <c r="O339" s="21"/>
      <c r="P339" s="21"/>
      <c r="Q339" s="21"/>
      <c r="R339" s="21"/>
      <c r="S339" s="20"/>
    </row>
    <row r="340" spans="1:19" x14ac:dyDescent="0.3">
      <c r="A340" s="18"/>
      <c r="B340" s="21"/>
      <c r="C340" s="21"/>
      <c r="D340" s="21"/>
      <c r="E340" s="21"/>
      <c r="F340" s="21"/>
      <c r="G340" s="21"/>
      <c r="H340" s="321" t="str">
        <v>bob jones</v>
      </c>
      <c r="I340" s="319" t="str">
        <v>thirty-seven</v>
      </c>
      <c r="J340" s="319" t="str">
        <v>t</v>
      </c>
      <c r="K340" s="319" t="str">
        <v>thirty-seven</v>
      </c>
      <c r="L340" s="321">
        <v>182.4</v>
      </c>
      <c r="M340" s="21"/>
      <c r="N340" s="21"/>
      <c r="O340" s="21"/>
      <c r="P340" s="21"/>
      <c r="Q340" s="21"/>
      <c r="R340" s="21"/>
      <c r="S340" s="20"/>
    </row>
    <row r="341" spans="1:19" x14ac:dyDescent="0.3">
      <c r="A341" s="18"/>
      <c r="B341" s="21"/>
      <c r="C341" s="21"/>
      <c r="D341" s="21"/>
      <c r="E341" s="21"/>
      <c r="F341" s="21"/>
      <c r="G341" s="21"/>
      <c r="H341" s="321" t="str">
        <v>Sally Smith</v>
      </c>
      <c r="I341" s="319" t="str">
        <v>twenty-two</v>
      </c>
      <c r="J341" s="319" t="str">
        <v>e</v>
      </c>
      <c r="K341" s="319" t="str">
        <v>twenty-two</v>
      </c>
      <c r="L341" s="321">
        <v>114</v>
      </c>
      <c r="M341" s="21"/>
      <c r="N341" s="21"/>
      <c r="O341" s="21"/>
      <c r="P341" s="21"/>
      <c r="Q341" s="21"/>
      <c r="R341" s="21"/>
      <c r="S341" s="20"/>
    </row>
    <row r="342" spans="1:19" x14ac:dyDescent="0.3">
      <c r="A342" s="18"/>
      <c r="B342" s="21"/>
      <c r="C342" s="21"/>
      <c r="D342" s="21"/>
      <c r="E342" s="21"/>
      <c r="F342" s="21"/>
      <c r="G342" s="21"/>
      <c r="H342" s="321" t="str">
        <v>tom HOPPER</v>
      </c>
      <c r="I342" s="319" t="str">
        <v/>
      </c>
      <c r="J342" s="319" t="str">
        <v>c</v>
      </c>
      <c r="K342" s="319" t="str">
        <v/>
      </c>
      <c r="L342" s="321">
        <v>162.80000000000001</v>
      </c>
      <c r="M342" s="21"/>
      <c r="N342" s="21"/>
      <c r="O342" s="21"/>
      <c r="P342" s="21"/>
      <c r="Q342" s="21"/>
      <c r="R342" s="21"/>
      <c r="S342" s="20"/>
    </row>
    <row r="343" spans="1:19" x14ac:dyDescent="0.3">
      <c r="A343" s="18"/>
      <c r="B343" s="21"/>
      <c r="C343" s="21"/>
      <c r="D343" s="21"/>
      <c r="E343" s="21"/>
      <c r="F343" s="21"/>
      <c r="G343" s="21"/>
      <c r="H343" s="321" t="str">
        <v>Billy Bragg</v>
      </c>
      <c r="I343" s="319" t="str">
        <v>thirty</v>
      </c>
      <c r="J343" s="319" t="str">
        <v>a</v>
      </c>
      <c r="K343" s="319" t="str">
        <v>thirty</v>
      </c>
      <c r="L343" s="321" t="str">
        <v/>
      </c>
      <c r="M343" s="21"/>
      <c r="N343" s="21"/>
      <c r="O343" s="21"/>
      <c r="P343" s="21"/>
      <c r="Q343" s="21"/>
      <c r="R343" s="21"/>
      <c r="S343" s="20"/>
    </row>
    <row r="344" spans="1:19" x14ac:dyDescent="0.3">
      <c r="A344" s="18"/>
      <c r="B344" s="21"/>
      <c r="C344" s="21"/>
      <c r="D344" s="21"/>
      <c r="E344" s="21"/>
      <c r="F344" s="21"/>
      <c r="G344" s="21"/>
      <c r="H344" s="321" t="str">
        <v>Anna Lukin</v>
      </c>
      <c r="I344" s="319" t="str">
        <v>fifty</v>
      </c>
      <c r="J344" s="319" t="str">
        <v>p</v>
      </c>
      <c r="K344" s="319" t="str">
        <v>fifty</v>
      </c>
      <c r="L344" s="321">
        <v>122.3</v>
      </c>
      <c r="M344" s="21"/>
      <c r="N344" s="21"/>
      <c r="O344" s="21"/>
      <c r="P344" s="21"/>
      <c r="Q344" s="21"/>
      <c r="R344" s="21"/>
      <c r="S344" s="20"/>
    </row>
    <row r="345" spans="1:19" x14ac:dyDescent="0.3">
      <c r="A345" s="18"/>
      <c r="B345" s="21"/>
      <c r="C345" s="21"/>
      <c r="D345" s="21"/>
      <c r="E345" s="21"/>
      <c r="F345" s="21"/>
      <c r="G345" s="21"/>
      <c r="H345" s="21"/>
      <c r="I345" s="21"/>
      <c r="J345" s="21"/>
      <c r="K345" s="21"/>
      <c r="L345" s="21"/>
      <c r="M345" s="21"/>
      <c r="N345" s="21"/>
      <c r="O345" s="21"/>
      <c r="P345" s="21"/>
      <c r="Q345" s="21"/>
      <c r="R345" s="21"/>
      <c r="S345" s="20"/>
    </row>
    <row r="346" spans="1:19" x14ac:dyDescent="0.3">
      <c r="A346" s="18"/>
      <c r="B346" s="21"/>
      <c r="C346" s="21"/>
      <c r="D346" s="21"/>
      <c r="E346" s="21"/>
      <c r="F346" s="21"/>
      <c r="G346" s="21"/>
      <c r="H346" s="21"/>
      <c r="I346" s="21"/>
      <c r="J346" s="21"/>
      <c r="K346" s="21"/>
      <c r="L346" s="21"/>
      <c r="M346" s="21"/>
      <c r="N346" s="21"/>
      <c r="O346" s="21"/>
      <c r="P346" s="21"/>
      <c r="Q346" s="21"/>
      <c r="R346" s="21"/>
      <c r="S346" s="20"/>
    </row>
    <row r="347" spans="1:19" x14ac:dyDescent="0.3">
      <c r="A347" s="18"/>
      <c r="B347" s="21"/>
      <c r="C347" s="21"/>
      <c r="D347" s="21"/>
      <c r="E347" s="21"/>
      <c r="F347" s="21"/>
      <c r="G347" s="21"/>
      <c r="H347" s="21"/>
      <c r="I347" s="21"/>
      <c r="J347" s="21"/>
      <c r="K347" s="21"/>
      <c r="L347" s="21"/>
      <c r="M347" s="21"/>
      <c r="N347" s="21"/>
      <c r="O347" s="21"/>
      <c r="P347" s="21"/>
      <c r="Q347" s="21"/>
      <c r="R347" s="21"/>
      <c r="S347" s="20"/>
    </row>
    <row r="348" spans="1:19" x14ac:dyDescent="0.3">
      <c r="A348" s="18"/>
      <c r="B348" s="492" t="s">
        <v>245</v>
      </c>
      <c r="C348" s="493"/>
      <c r="D348" s="21"/>
      <c r="E348" s="21"/>
      <c r="F348" s="21"/>
      <c r="G348" s="21"/>
      <c r="H348" s="21"/>
      <c r="I348" s="21"/>
      <c r="J348" s="21"/>
      <c r="K348" s="492" t="s">
        <v>3409</v>
      </c>
      <c r="L348" s="493"/>
      <c r="M348" s="21"/>
      <c r="N348" s="21"/>
      <c r="O348" s="21"/>
      <c r="P348" s="21"/>
      <c r="Q348" s="21"/>
      <c r="R348" s="21"/>
      <c r="S348" s="20"/>
    </row>
    <row r="349" spans="1:19" x14ac:dyDescent="0.3">
      <c r="A349" s="18"/>
      <c r="B349" s="59" t="s">
        <v>2</v>
      </c>
      <c r="C349" s="60" t="s">
        <v>17</v>
      </c>
      <c r="D349" s="21"/>
      <c r="E349" s="21"/>
      <c r="F349" s="21"/>
      <c r="G349" s="21"/>
      <c r="H349" s="21"/>
      <c r="I349" s="21"/>
      <c r="J349" s="21"/>
      <c r="K349" s="3" t="str">
        <f t="array" ref="K349:L354">_xll.U.REPLACE(B349:C354,"rows()",B357:C359,,,,N350:N352)</f>
        <v>Symbol</v>
      </c>
      <c r="L349" s="9" t="str">
        <v>Value</v>
      </c>
      <c r="M349" s="21"/>
      <c r="N349" s="3" t="s">
        <v>772</v>
      </c>
      <c r="O349" s="21"/>
      <c r="P349" s="21"/>
      <c r="Q349" s="21"/>
      <c r="R349" s="21"/>
      <c r="S349" s="20"/>
    </row>
    <row r="350" spans="1:19" x14ac:dyDescent="0.3">
      <c r="A350" s="18"/>
      <c r="B350" s="42" t="s">
        <v>280</v>
      </c>
      <c r="C350" s="324">
        <v>1</v>
      </c>
      <c r="D350" s="21"/>
      <c r="E350" s="21"/>
      <c r="F350" s="21"/>
      <c r="G350" s="21"/>
      <c r="H350" s="21"/>
      <c r="I350" s="21"/>
      <c r="J350" s="21"/>
      <c r="K350" s="30" t="str">
        <v>A</v>
      </c>
      <c r="L350" s="30">
        <v>1</v>
      </c>
      <c r="M350" s="21"/>
      <c r="N350" s="244" t="s">
        <v>3129</v>
      </c>
      <c r="O350" s="21"/>
      <c r="P350" s="21"/>
      <c r="Q350" s="21"/>
      <c r="R350" s="21"/>
      <c r="S350" s="20"/>
    </row>
    <row r="351" spans="1:19" x14ac:dyDescent="0.3">
      <c r="A351" s="18"/>
      <c r="B351" s="42" t="s">
        <v>207</v>
      </c>
      <c r="C351" s="44">
        <v>2</v>
      </c>
      <c r="D351" s="21"/>
      <c r="E351" s="21"/>
      <c r="F351" s="21"/>
      <c r="G351" s="21"/>
      <c r="H351" s="21"/>
      <c r="I351" s="21"/>
      <c r="J351" s="21"/>
      <c r="K351" s="319" t="str">
        <v>Y</v>
      </c>
      <c r="L351" s="319">
        <v>8</v>
      </c>
      <c r="M351" s="21"/>
      <c r="N351" s="244" t="s">
        <v>207</v>
      </c>
      <c r="O351" s="21"/>
      <c r="P351" s="21"/>
      <c r="Q351" s="21"/>
      <c r="R351" s="21"/>
      <c r="S351" s="20"/>
    </row>
    <row r="352" spans="1:19" x14ac:dyDescent="0.3">
      <c r="A352" s="18"/>
      <c r="B352" s="42" t="s">
        <v>281</v>
      </c>
      <c r="C352" s="44">
        <v>3</v>
      </c>
      <c r="D352" s="21"/>
      <c r="E352" s="21"/>
      <c r="F352" s="21"/>
      <c r="G352" s="21"/>
      <c r="H352" s="21"/>
      <c r="I352" s="21"/>
      <c r="J352" s="21"/>
      <c r="K352" s="30" t="str">
        <v>C</v>
      </c>
      <c r="L352" s="30">
        <v>3</v>
      </c>
      <c r="M352" s="21"/>
      <c r="N352" s="244" t="s">
        <v>3128</v>
      </c>
      <c r="O352" s="21"/>
      <c r="P352" s="21"/>
      <c r="Q352" s="21"/>
      <c r="R352" s="21"/>
      <c r="S352" s="20"/>
    </row>
    <row r="353" spans="1:19" x14ac:dyDescent="0.3">
      <c r="A353" s="18"/>
      <c r="B353" s="42" t="s">
        <v>3128</v>
      </c>
      <c r="C353" s="44">
        <v>4</v>
      </c>
      <c r="D353" s="21"/>
      <c r="E353" s="21"/>
      <c r="F353" s="21"/>
      <c r="G353" s="21"/>
      <c r="H353" s="21"/>
      <c r="I353" s="21"/>
      <c r="J353" s="21"/>
      <c r="K353" s="319" t="str">
        <v>Z</v>
      </c>
      <c r="L353" s="319">
        <v>9</v>
      </c>
      <c r="M353" s="21"/>
      <c r="N353" s="21"/>
      <c r="O353" s="21"/>
      <c r="P353" s="21"/>
      <c r="Q353" s="21"/>
      <c r="R353" s="21"/>
      <c r="S353" s="20"/>
    </row>
    <row r="354" spans="1:19" x14ac:dyDescent="0.3">
      <c r="A354" s="18"/>
      <c r="B354" s="42" t="s">
        <v>3129</v>
      </c>
      <c r="C354" s="44">
        <v>5</v>
      </c>
      <c r="D354" s="21"/>
      <c r="E354" s="21"/>
      <c r="F354" s="21"/>
      <c r="G354" s="21"/>
      <c r="H354" s="21"/>
      <c r="I354" s="21"/>
      <c r="J354" s="21"/>
      <c r="K354" s="319" t="str">
        <v>X</v>
      </c>
      <c r="L354" s="319">
        <v>7</v>
      </c>
      <c r="M354" s="21"/>
      <c r="N354" s="21"/>
      <c r="O354" s="21"/>
      <c r="P354" s="21"/>
      <c r="Q354" s="21"/>
      <c r="R354" s="21"/>
      <c r="S354" s="20"/>
    </row>
    <row r="355" spans="1:19" x14ac:dyDescent="0.3">
      <c r="A355" s="18"/>
      <c r="B355" s="21"/>
      <c r="C355" s="21"/>
      <c r="D355" s="21"/>
      <c r="E355" s="21"/>
      <c r="F355" s="21"/>
      <c r="G355" s="21"/>
      <c r="H355" s="21"/>
      <c r="I355" s="21"/>
      <c r="J355" s="21"/>
      <c r="K355" s="21"/>
      <c r="L355" s="21"/>
      <c r="M355" s="21"/>
      <c r="N355" s="21"/>
      <c r="O355" s="21"/>
      <c r="P355" s="21"/>
      <c r="Q355" s="21"/>
      <c r="R355" s="21"/>
      <c r="S355" s="20"/>
    </row>
    <row r="356" spans="1:19" x14ac:dyDescent="0.3">
      <c r="A356" s="18"/>
      <c r="B356" s="492" t="s">
        <v>3130</v>
      </c>
      <c r="C356" s="493"/>
      <c r="D356" s="21"/>
      <c r="E356" s="21"/>
      <c r="F356" s="21"/>
      <c r="G356" s="21"/>
      <c r="H356" s="21"/>
      <c r="I356" s="21"/>
      <c r="J356" s="21"/>
      <c r="K356" s="492" t="s">
        <v>3409</v>
      </c>
      <c r="L356" s="493"/>
      <c r="M356" s="21"/>
      <c r="N356" s="21"/>
      <c r="O356" s="21"/>
      <c r="P356" s="21"/>
      <c r="Q356" s="21"/>
      <c r="R356" s="21"/>
      <c r="S356" s="20"/>
    </row>
    <row r="357" spans="1:19" x14ac:dyDescent="0.3">
      <c r="A357" s="18"/>
      <c r="B357" s="42" t="s">
        <v>1786</v>
      </c>
      <c r="C357" s="324">
        <v>7</v>
      </c>
      <c r="D357" s="21"/>
      <c r="E357" s="21"/>
      <c r="F357" s="21"/>
      <c r="G357" s="21"/>
      <c r="H357" s="21"/>
      <c r="I357" s="21"/>
      <c r="J357" s="21"/>
      <c r="K357" s="3" t="str">
        <f t="array" ref="K357:L362">_xll.U.REPLACE(B349:C354,"rows(6,3,D)",B357:C359)</f>
        <v>Symbol</v>
      </c>
      <c r="L357" s="9" t="str">
        <v>Value</v>
      </c>
      <c r="M357" s="21"/>
      <c r="N357" s="21"/>
      <c r="O357" s="21"/>
      <c r="P357" s="21"/>
      <c r="Q357" s="21"/>
      <c r="R357" s="21"/>
      <c r="S357" s="20"/>
    </row>
    <row r="358" spans="1:19" x14ac:dyDescent="0.3">
      <c r="A358" s="18"/>
      <c r="B358" s="42" t="s">
        <v>3131</v>
      </c>
      <c r="C358" s="324">
        <v>8</v>
      </c>
      <c r="D358" s="21"/>
      <c r="E358" s="21"/>
      <c r="F358" s="21"/>
      <c r="G358" s="21"/>
      <c r="H358" s="21"/>
      <c r="I358" s="21"/>
      <c r="J358" s="21"/>
      <c r="K358" s="30" t="str">
        <v>A</v>
      </c>
      <c r="L358" s="30">
        <v>1</v>
      </c>
      <c r="M358" s="21"/>
      <c r="N358" s="21"/>
      <c r="O358" s="21"/>
      <c r="P358" s="21"/>
      <c r="Q358" s="21"/>
      <c r="R358" s="21"/>
      <c r="S358" s="20"/>
    </row>
    <row r="359" spans="1:19" x14ac:dyDescent="0.3">
      <c r="A359" s="18"/>
      <c r="B359" s="42" t="s">
        <v>3132</v>
      </c>
      <c r="C359" s="44">
        <v>9</v>
      </c>
      <c r="D359" s="21"/>
      <c r="E359" s="21"/>
      <c r="F359" s="21"/>
      <c r="G359" s="21"/>
      <c r="H359" s="21"/>
      <c r="I359" s="21"/>
      <c r="J359" s="21"/>
      <c r="K359" s="319" t="str">
        <v>Y</v>
      </c>
      <c r="L359" s="319">
        <v>8</v>
      </c>
      <c r="M359" s="21"/>
      <c r="N359" s="21"/>
      <c r="O359" s="21"/>
      <c r="P359" s="21"/>
      <c r="Q359" s="21"/>
      <c r="R359" s="21"/>
      <c r="S359" s="20"/>
    </row>
    <row r="360" spans="1:19" x14ac:dyDescent="0.3">
      <c r="A360" s="18"/>
      <c r="B360" s="21"/>
      <c r="C360" s="21"/>
      <c r="D360" s="21"/>
      <c r="E360" s="21"/>
      <c r="F360" s="21"/>
      <c r="G360" s="21"/>
      <c r="H360" s="21"/>
      <c r="I360" s="21"/>
      <c r="J360" s="21"/>
      <c r="K360" s="30" t="str">
        <v>C</v>
      </c>
      <c r="L360" s="30">
        <v>3</v>
      </c>
      <c r="M360" s="21"/>
      <c r="N360" s="21"/>
      <c r="O360" s="21"/>
      <c r="P360" s="21"/>
      <c r="Q360" s="21"/>
      <c r="R360" s="21"/>
      <c r="S360" s="20"/>
    </row>
    <row r="361" spans="1:19" x14ac:dyDescent="0.3">
      <c r="A361" s="18"/>
      <c r="B361" s="21"/>
      <c r="C361" s="21"/>
      <c r="D361" s="21"/>
      <c r="E361" s="21"/>
      <c r="F361" s="21"/>
      <c r="G361" s="21"/>
      <c r="H361" s="21"/>
      <c r="I361" s="21"/>
      <c r="J361" s="21"/>
      <c r="K361" s="319" t="str">
        <v>Z</v>
      </c>
      <c r="L361" s="319">
        <v>9</v>
      </c>
      <c r="M361" s="21"/>
      <c r="N361" s="21"/>
      <c r="O361" s="21"/>
      <c r="P361" s="21"/>
      <c r="Q361" s="21"/>
      <c r="R361" s="21"/>
      <c r="S361" s="20"/>
    </row>
    <row r="362" spans="1:19" x14ac:dyDescent="0.3">
      <c r="A362" s="18"/>
      <c r="B362" s="21"/>
      <c r="C362" s="21"/>
      <c r="D362" s="21"/>
      <c r="E362" s="21"/>
      <c r="F362" s="21"/>
      <c r="G362" s="21"/>
      <c r="H362" s="21"/>
      <c r="I362" s="21"/>
      <c r="J362" s="21"/>
      <c r="K362" s="319" t="str">
        <v>X</v>
      </c>
      <c r="L362" s="319">
        <v>7</v>
      </c>
      <c r="M362" s="21"/>
      <c r="N362" s="21"/>
      <c r="O362" s="21"/>
      <c r="P362" s="21"/>
      <c r="Q362" s="21"/>
      <c r="R362" s="21"/>
      <c r="S362" s="20"/>
    </row>
    <row r="363" spans="1:19" x14ac:dyDescent="0.3">
      <c r="A363" s="18"/>
      <c r="B363" s="21"/>
      <c r="C363" s="21"/>
      <c r="D363" s="21"/>
      <c r="E363" s="21"/>
      <c r="F363" s="21"/>
      <c r="G363" s="21"/>
      <c r="H363" s="21"/>
      <c r="I363" s="21"/>
      <c r="J363" s="21"/>
      <c r="K363" s="21"/>
      <c r="L363" s="21"/>
      <c r="M363" s="21"/>
      <c r="N363" s="21"/>
      <c r="O363" s="21"/>
      <c r="P363" s="21"/>
      <c r="Q363" s="21"/>
      <c r="R363" s="21"/>
      <c r="S363" s="20"/>
    </row>
    <row r="364" spans="1:19" x14ac:dyDescent="0.3">
      <c r="A364" s="18"/>
      <c r="B364" s="21"/>
      <c r="C364" s="21"/>
      <c r="D364" s="21"/>
      <c r="E364" s="21"/>
      <c r="F364" s="21"/>
      <c r="G364" s="21"/>
      <c r="H364" s="21"/>
      <c r="I364" s="21"/>
      <c r="J364" s="21"/>
      <c r="K364" s="21"/>
      <c r="L364" s="21"/>
      <c r="M364" s="21"/>
      <c r="N364" s="21"/>
      <c r="O364" s="21"/>
      <c r="P364" s="21"/>
      <c r="Q364" s="21"/>
      <c r="R364" s="21"/>
      <c r="S364" s="20"/>
    </row>
    <row r="365" spans="1:19" x14ac:dyDescent="0.3">
      <c r="A365" s="18"/>
      <c r="B365" s="21"/>
      <c r="C365" s="21"/>
      <c r="D365" s="21"/>
      <c r="E365" s="21"/>
      <c r="F365" s="21"/>
      <c r="G365" s="21"/>
      <c r="H365" s="21"/>
      <c r="I365" s="21"/>
      <c r="J365" s="21"/>
      <c r="K365" s="21"/>
      <c r="L365" s="21"/>
      <c r="M365" s="21"/>
      <c r="N365" s="21"/>
      <c r="O365" s="21"/>
      <c r="P365" s="21"/>
      <c r="Q365" s="21"/>
      <c r="R365" s="21"/>
      <c r="S365" s="20"/>
    </row>
    <row r="366" spans="1:19" x14ac:dyDescent="0.3">
      <c r="A366" s="490" t="s">
        <v>3701</v>
      </c>
      <c r="B366" s="491"/>
      <c r="C366" s="491"/>
      <c r="D366" s="491"/>
      <c r="E366" s="491"/>
      <c r="F366" s="491"/>
      <c r="G366" s="491"/>
      <c r="H366" s="491"/>
      <c r="I366" s="491"/>
      <c r="J366" s="491"/>
      <c r="K366" s="491"/>
      <c r="L366" s="491"/>
      <c r="M366" s="491"/>
      <c r="N366" s="491"/>
      <c r="O366" s="491"/>
      <c r="P366" s="491"/>
      <c r="Q366" s="491"/>
      <c r="R366" s="491"/>
      <c r="S366" s="20"/>
    </row>
    <row r="367" spans="1:19" x14ac:dyDescent="0.3">
      <c r="A367" s="18"/>
      <c r="B367" s="21"/>
      <c r="C367" s="21"/>
      <c r="D367" s="21"/>
      <c r="E367" s="21"/>
      <c r="F367" s="21"/>
      <c r="G367" s="21"/>
      <c r="H367" s="21"/>
      <c r="I367" s="21"/>
      <c r="J367" s="21"/>
      <c r="K367" s="21"/>
      <c r="L367" s="21"/>
      <c r="M367" s="21"/>
      <c r="N367" s="21"/>
      <c r="O367" s="21"/>
      <c r="P367" s="21"/>
      <c r="Q367" s="21"/>
      <c r="R367" s="21"/>
      <c r="S367" s="20"/>
    </row>
    <row r="368" spans="1:19" x14ac:dyDescent="0.3">
      <c r="A368" s="18"/>
      <c r="B368" s="21"/>
      <c r="C368" s="492" t="s">
        <v>631</v>
      </c>
      <c r="D368" s="529"/>
      <c r="E368" s="529"/>
      <c r="F368" s="529"/>
      <c r="G368" s="529"/>
      <c r="H368" s="493"/>
      <c r="I368" s="21"/>
      <c r="J368" s="21"/>
      <c r="K368" s="21"/>
      <c r="L368" s="21"/>
      <c r="M368" s="21"/>
      <c r="N368" s="21"/>
      <c r="O368" s="21"/>
      <c r="P368" s="21"/>
      <c r="Q368" s="21"/>
      <c r="R368" s="21"/>
      <c r="S368" s="20"/>
    </row>
    <row r="369" spans="1:19" x14ac:dyDescent="0.3">
      <c r="A369" s="18"/>
      <c r="B369" s="21"/>
      <c r="C369" s="155">
        <v>43157</v>
      </c>
      <c r="D369" s="155">
        <v>43158</v>
      </c>
      <c r="E369" s="155">
        <v>43159</v>
      </c>
      <c r="F369" s="155">
        <v>43160</v>
      </c>
      <c r="G369" s="155">
        <v>43161</v>
      </c>
      <c r="H369" s="155">
        <v>43164</v>
      </c>
      <c r="I369" s="21"/>
      <c r="J369" s="21" t="str">
        <f t="array" ref="J369:P374">_xll.U.REPLACE(B369:H374,"grid()",B379:F382)</f>
        <v/>
      </c>
      <c r="K369" s="195">
        <v>43157</v>
      </c>
      <c r="L369" s="195">
        <v>43158</v>
      </c>
      <c r="M369" s="195">
        <v>43159</v>
      </c>
      <c r="N369" s="195">
        <v>43160</v>
      </c>
      <c r="O369" s="195">
        <v>43161</v>
      </c>
      <c r="P369" s="195">
        <v>43164</v>
      </c>
      <c r="Q369" s="21"/>
      <c r="R369" s="21"/>
      <c r="S369" s="20"/>
    </row>
    <row r="370" spans="1:19" x14ac:dyDescent="0.3">
      <c r="A370" s="18"/>
      <c r="B370" s="59" t="s">
        <v>106</v>
      </c>
      <c r="C370" s="61">
        <v>175.4</v>
      </c>
      <c r="D370" s="61">
        <v>175.96</v>
      </c>
      <c r="E370" s="61">
        <v>176.04000000000002</v>
      </c>
      <c r="F370" s="61">
        <v>176.84000000000003</v>
      </c>
      <c r="G370" s="61">
        <v>176.64000000000004</v>
      </c>
      <c r="H370" s="61">
        <v>176.05000000000004</v>
      </c>
      <c r="I370" s="21"/>
      <c r="J370" s="3" t="str">
        <v>AAPL</v>
      </c>
      <c r="K370" s="319" t="str">
        <v>AAPL-20180226</v>
      </c>
      <c r="L370" s="30">
        <v>175.96</v>
      </c>
      <c r="M370" s="30">
        <v>176.04000000000002</v>
      </c>
      <c r="N370" s="319" t="str">
        <v>AAPL-20180301</v>
      </c>
      <c r="O370" s="30">
        <v>176.64000000000004</v>
      </c>
      <c r="P370" s="319" t="str">
        <v>AAPL-20180305</v>
      </c>
      <c r="Q370" s="21"/>
      <c r="R370" s="21"/>
      <c r="S370" s="20"/>
    </row>
    <row r="371" spans="1:19" x14ac:dyDescent="0.3">
      <c r="A371" s="18"/>
      <c r="B371" s="59" t="s">
        <v>107</v>
      </c>
      <c r="C371" s="61">
        <v>154.79</v>
      </c>
      <c r="D371" s="61">
        <v>152.54</v>
      </c>
      <c r="E371" s="61">
        <v>154.51</v>
      </c>
      <c r="F371" s="61">
        <v>154.64999999999998</v>
      </c>
      <c r="G371" s="61">
        <v>151.65999999999997</v>
      </c>
      <c r="H371" s="61">
        <v>153.88999999999996</v>
      </c>
      <c r="I371" s="21"/>
      <c r="J371" s="3" t="str">
        <v>IBM</v>
      </c>
      <c r="K371" s="30">
        <v>154.79</v>
      </c>
      <c r="L371" s="30">
        <v>152.54</v>
      </c>
      <c r="M371" s="30">
        <v>154.51</v>
      </c>
      <c r="N371" s="30">
        <v>154.64999999999998</v>
      </c>
      <c r="O371" s="30">
        <v>151.65999999999997</v>
      </c>
      <c r="P371" s="30">
        <v>153.88999999999996</v>
      </c>
      <c r="Q371" s="21"/>
      <c r="R371" s="21"/>
      <c r="S371" s="20"/>
    </row>
    <row r="372" spans="1:19" x14ac:dyDescent="0.3">
      <c r="A372" s="18"/>
      <c r="B372" s="59" t="s">
        <v>256</v>
      </c>
      <c r="C372" s="61">
        <v>94.06</v>
      </c>
      <c r="D372" s="61">
        <v>95.54</v>
      </c>
      <c r="E372" s="61">
        <v>94.81</v>
      </c>
      <c r="F372" s="61">
        <v>94.43</v>
      </c>
      <c r="G372" s="61">
        <v>91.64</v>
      </c>
      <c r="H372" s="61">
        <v>93.8</v>
      </c>
      <c r="I372" s="21"/>
      <c r="J372" s="3" t="str">
        <v>MSFT</v>
      </c>
      <c r="K372" s="319" t="str">
        <v>MSFT-20180226</v>
      </c>
      <c r="L372" s="30">
        <v>95.54</v>
      </c>
      <c r="M372" s="30">
        <v>94.81</v>
      </c>
      <c r="N372" s="319" t="str">
        <v>MSFT-20180301</v>
      </c>
      <c r="O372" s="30">
        <v>91.64</v>
      </c>
      <c r="P372" s="319">
        <v>93.8</v>
      </c>
      <c r="Q372" s="21"/>
      <c r="R372" s="21"/>
      <c r="S372" s="20"/>
    </row>
    <row r="373" spans="1:19" x14ac:dyDescent="0.3">
      <c r="A373" s="18"/>
      <c r="B373" s="59" t="s">
        <v>183</v>
      </c>
      <c r="C373" s="61">
        <v>183.3</v>
      </c>
      <c r="D373" s="61">
        <v>185.12</v>
      </c>
      <c r="E373" s="61">
        <v>187.81</v>
      </c>
      <c r="F373" s="61">
        <v>185.59</v>
      </c>
      <c r="G373" s="61">
        <v>185.98</v>
      </c>
      <c r="H373" s="61">
        <v>186.98</v>
      </c>
      <c r="I373" s="21"/>
      <c r="J373" s="3" t="str">
        <v>FB</v>
      </c>
      <c r="K373" s="30">
        <v>183.3</v>
      </c>
      <c r="L373" s="30">
        <v>185.12</v>
      </c>
      <c r="M373" s="30">
        <v>187.81</v>
      </c>
      <c r="N373" s="30">
        <v>185.59</v>
      </c>
      <c r="O373" s="30">
        <v>185.98</v>
      </c>
      <c r="P373" s="30">
        <v>186.98</v>
      </c>
      <c r="Q373" s="21"/>
      <c r="R373" s="21"/>
      <c r="S373" s="20"/>
    </row>
    <row r="374" spans="1:19" x14ac:dyDescent="0.3">
      <c r="A374" s="18"/>
      <c r="B374" s="59" t="s">
        <v>628</v>
      </c>
      <c r="C374" s="61">
        <v>40.909999999999997</v>
      </c>
      <c r="D374" s="61">
        <v>43.76</v>
      </c>
      <c r="E374" s="61">
        <v>44.01</v>
      </c>
      <c r="F374" s="61">
        <v>42.78</v>
      </c>
      <c r="G374" s="61">
        <v>44.21</v>
      </c>
      <c r="H374" s="61">
        <v>45.7</v>
      </c>
      <c r="I374" s="21"/>
      <c r="J374" s="3" t="str">
        <v>GM</v>
      </c>
      <c r="K374" s="30">
        <v>40.909999999999997</v>
      </c>
      <c r="L374" s="30">
        <v>43.76</v>
      </c>
      <c r="M374" s="30">
        <v>44.01</v>
      </c>
      <c r="N374" s="30">
        <v>42.78</v>
      </c>
      <c r="O374" s="30">
        <v>44.21</v>
      </c>
      <c r="P374" s="30">
        <v>45.7</v>
      </c>
      <c r="Q374" s="21"/>
      <c r="R374" s="21"/>
      <c r="S374" s="20"/>
    </row>
    <row r="375" spans="1:19" x14ac:dyDescent="0.3">
      <c r="A375" s="18"/>
      <c r="B375" s="21"/>
      <c r="C375" s="21"/>
      <c r="D375" s="21"/>
      <c r="E375" s="21"/>
      <c r="F375" s="21"/>
      <c r="G375" s="21"/>
      <c r="H375" s="21"/>
      <c r="I375" s="21"/>
      <c r="J375" s="21"/>
      <c r="K375" s="21"/>
      <c r="L375" s="21"/>
      <c r="M375" s="21"/>
      <c r="N375" s="21"/>
      <c r="O375" s="21"/>
      <c r="P375" s="21"/>
      <c r="Q375" s="21"/>
      <c r="R375" s="21"/>
      <c r="S375" s="20"/>
    </row>
    <row r="376" spans="1:19" x14ac:dyDescent="0.3">
      <c r="A376" s="18"/>
      <c r="B376" s="21"/>
      <c r="C376" s="21"/>
      <c r="D376" s="21"/>
      <c r="E376" s="21"/>
      <c r="F376" s="21"/>
      <c r="G376" s="21"/>
      <c r="H376" s="21"/>
      <c r="I376" s="21"/>
      <c r="J376" s="21"/>
      <c r="K376" s="21"/>
      <c r="L376" s="21"/>
      <c r="M376" s="21"/>
      <c r="N376" s="21"/>
      <c r="O376" s="21"/>
      <c r="P376" s="21"/>
      <c r="Q376" s="21"/>
      <c r="R376" s="21"/>
      <c r="S376" s="20"/>
    </row>
    <row r="377" spans="1:19" x14ac:dyDescent="0.3">
      <c r="A377" s="18"/>
      <c r="B377" s="21"/>
      <c r="C377" s="21"/>
      <c r="D377" s="21"/>
      <c r="E377" s="21"/>
      <c r="F377" s="21"/>
      <c r="G377" s="21"/>
      <c r="H377" s="21"/>
      <c r="I377" s="21"/>
      <c r="J377" s="21"/>
      <c r="K377" s="21"/>
      <c r="L377" s="21"/>
      <c r="M377" s="21"/>
      <c r="N377" s="21"/>
      <c r="O377" s="21"/>
      <c r="P377" s="21"/>
      <c r="Q377" s="21"/>
      <c r="R377" s="21"/>
      <c r="S377" s="20"/>
    </row>
    <row r="378" spans="1:19" x14ac:dyDescent="0.3">
      <c r="A378" s="18"/>
      <c r="B378" s="21"/>
      <c r="C378" s="21"/>
      <c r="D378" s="21"/>
      <c r="E378" s="21"/>
      <c r="F378" s="21"/>
      <c r="G378" s="21"/>
      <c r="H378" s="21"/>
      <c r="I378" s="21"/>
      <c r="J378" s="21"/>
      <c r="K378" s="21"/>
      <c r="L378" s="21"/>
      <c r="M378" s="21"/>
      <c r="N378" s="21"/>
      <c r="O378" s="21"/>
      <c r="P378" s="21"/>
      <c r="Q378" s="21"/>
      <c r="R378" s="21"/>
      <c r="S378" s="20"/>
    </row>
    <row r="379" spans="1:19" x14ac:dyDescent="0.3">
      <c r="A379" s="18"/>
      <c r="B379" s="21"/>
      <c r="C379" s="155">
        <v>43160</v>
      </c>
      <c r="D379" s="155">
        <v>43157</v>
      </c>
      <c r="E379" s="155">
        <v>43316</v>
      </c>
      <c r="F379" s="155">
        <v>43164</v>
      </c>
      <c r="G379" s="21"/>
      <c r="H379" s="21"/>
      <c r="I379" s="21"/>
      <c r="J379" s="21"/>
      <c r="K379" s="21"/>
      <c r="L379" s="21"/>
      <c r="M379" s="21"/>
      <c r="N379" s="21"/>
      <c r="O379" s="21"/>
      <c r="P379" s="21"/>
      <c r="Q379" s="21"/>
      <c r="R379" s="21"/>
      <c r="S379" s="20"/>
    </row>
    <row r="380" spans="1:19" x14ac:dyDescent="0.3">
      <c r="A380" s="18"/>
      <c r="B380" s="59" t="s">
        <v>256</v>
      </c>
      <c r="C380" s="242" t="str">
        <f>$B380&amp;TEXT(C$379,"-YYYYMMDD")</f>
        <v>MSFT-20180301</v>
      </c>
      <c r="D380" s="242" t="str">
        <f t="shared" ref="D380:F382" si="0">$B380&amp;TEXT(D$379,"-YYYYMMDD")</f>
        <v>MSFT-20180226</v>
      </c>
      <c r="E380" s="242" t="str">
        <f t="shared" si="0"/>
        <v>MSFT-20180804</v>
      </c>
      <c r="F380" s="461" t="s">
        <v>3700</v>
      </c>
      <c r="G380" s="21"/>
      <c r="H380" s="21"/>
      <c r="I380" s="21"/>
      <c r="J380" s="21"/>
      <c r="K380" s="21"/>
      <c r="L380" s="21"/>
      <c r="M380" s="21"/>
      <c r="N380" s="21"/>
      <c r="O380" s="21"/>
      <c r="P380" s="21"/>
      <c r="Q380" s="21"/>
      <c r="R380" s="21"/>
      <c r="S380" s="20"/>
    </row>
    <row r="381" spans="1:19" x14ac:dyDescent="0.3">
      <c r="A381" s="18"/>
      <c r="B381" s="59" t="s">
        <v>3696</v>
      </c>
      <c r="C381" s="242" t="str">
        <f t="shared" ref="C381:C382" si="1">$B381&amp;TEXT(C$379,"-YYYYMMDD")</f>
        <v>DIS-20180301</v>
      </c>
      <c r="D381" s="242" t="str">
        <f t="shared" si="0"/>
        <v>DIS-20180226</v>
      </c>
      <c r="E381" s="242" t="str">
        <f t="shared" si="0"/>
        <v>DIS-20180804</v>
      </c>
      <c r="F381" s="242" t="str">
        <f t="shared" si="0"/>
        <v>DIS-20180305</v>
      </c>
      <c r="G381" s="21"/>
      <c r="H381" s="21"/>
      <c r="I381" s="21"/>
      <c r="J381" s="21"/>
      <c r="K381" s="21"/>
      <c r="L381" s="21"/>
      <c r="M381" s="21"/>
      <c r="N381" s="21"/>
      <c r="O381" s="21"/>
      <c r="P381" s="21"/>
      <c r="Q381" s="21"/>
      <c r="R381" s="21"/>
      <c r="S381" s="20"/>
    </row>
    <row r="382" spans="1:19" x14ac:dyDescent="0.3">
      <c r="A382" s="18"/>
      <c r="B382" s="59" t="s">
        <v>106</v>
      </c>
      <c r="C382" s="242" t="str">
        <f t="shared" si="1"/>
        <v>AAPL-20180301</v>
      </c>
      <c r="D382" s="242" t="str">
        <f t="shared" si="0"/>
        <v>AAPL-20180226</v>
      </c>
      <c r="E382" s="242" t="str">
        <f t="shared" si="0"/>
        <v>AAPL-20180804</v>
      </c>
      <c r="F382" s="242" t="str">
        <f t="shared" si="0"/>
        <v>AAPL-20180305</v>
      </c>
      <c r="G382" s="21"/>
      <c r="H382" s="21"/>
      <c r="I382" s="21"/>
      <c r="J382" s="21"/>
      <c r="K382" s="21"/>
      <c r="L382" s="21"/>
      <c r="M382" s="21"/>
      <c r="N382" s="21"/>
      <c r="O382" s="21"/>
      <c r="P382" s="21"/>
      <c r="Q382" s="21"/>
      <c r="R382" s="21"/>
      <c r="S382" s="20"/>
    </row>
    <row r="383" spans="1:19" x14ac:dyDescent="0.3">
      <c r="A383" s="18"/>
      <c r="B383" s="21"/>
      <c r="C383" s="21"/>
      <c r="D383" s="21"/>
      <c r="E383" s="21"/>
      <c r="F383" s="21"/>
      <c r="G383" s="21"/>
      <c r="H383" s="21"/>
      <c r="I383" s="21"/>
      <c r="J383" s="21"/>
      <c r="K383" s="21"/>
      <c r="L383" s="21"/>
      <c r="M383" s="21"/>
      <c r="N383" s="21"/>
      <c r="O383" s="21"/>
      <c r="P383" s="21"/>
      <c r="Q383" s="21"/>
      <c r="R383" s="21"/>
      <c r="S383" s="20"/>
    </row>
    <row r="384" spans="1:19" x14ac:dyDescent="0.3">
      <c r="A384" s="18"/>
      <c r="B384" s="21"/>
      <c r="C384" s="21"/>
      <c r="D384" s="21"/>
      <c r="E384" s="21"/>
      <c r="F384" s="21"/>
      <c r="G384" s="21"/>
      <c r="H384" s="21"/>
      <c r="I384" s="21"/>
      <c r="J384" s="21"/>
      <c r="K384" s="21"/>
      <c r="L384" s="21"/>
      <c r="M384" s="21"/>
      <c r="N384" s="21"/>
      <c r="O384" s="21"/>
      <c r="P384" s="21"/>
      <c r="Q384" s="21"/>
      <c r="R384" s="21"/>
      <c r="S384" s="20"/>
    </row>
    <row r="385" spans="1:19" x14ac:dyDescent="0.3">
      <c r="A385" s="18"/>
      <c r="B385" s="21"/>
      <c r="C385" s="21"/>
      <c r="D385" s="21"/>
      <c r="E385" s="21"/>
      <c r="F385" s="21"/>
      <c r="G385" s="21"/>
      <c r="H385" s="21"/>
      <c r="I385" s="21"/>
      <c r="J385" s="21"/>
      <c r="K385" s="21"/>
      <c r="L385" s="21"/>
      <c r="M385" s="21"/>
      <c r="N385" s="21"/>
      <c r="O385" s="21"/>
      <c r="P385" s="21"/>
      <c r="Q385" s="21"/>
      <c r="R385" s="21"/>
      <c r="S385" s="20"/>
    </row>
    <row r="386" spans="1:19" x14ac:dyDescent="0.3">
      <c r="A386" s="18"/>
      <c r="B386" s="21"/>
      <c r="C386" s="21"/>
      <c r="D386" s="21"/>
      <c r="E386" s="21"/>
      <c r="F386" s="21"/>
      <c r="G386" s="21"/>
      <c r="H386" s="21"/>
      <c r="I386" s="21"/>
      <c r="J386" s="21"/>
      <c r="K386" s="21"/>
      <c r="L386" s="21"/>
      <c r="M386" s="21"/>
      <c r="N386" s="21"/>
      <c r="O386" s="21"/>
      <c r="P386" s="21"/>
      <c r="Q386" s="21"/>
      <c r="R386" s="21"/>
      <c r="S386" s="20"/>
    </row>
    <row r="387" spans="1:19" x14ac:dyDescent="0.3">
      <c r="A387" s="18"/>
      <c r="B387" s="21"/>
      <c r="C387" s="21"/>
      <c r="D387" s="21"/>
      <c r="E387" s="21"/>
      <c r="F387" s="21"/>
      <c r="G387" s="21"/>
      <c r="H387" s="21"/>
      <c r="I387" s="21"/>
      <c r="J387" s="21"/>
      <c r="K387" s="21"/>
      <c r="L387" s="21"/>
      <c r="M387" s="21"/>
      <c r="N387" s="21"/>
      <c r="O387" s="21"/>
      <c r="P387" s="21"/>
      <c r="Q387" s="21"/>
      <c r="R387" s="21"/>
      <c r="S387" s="20"/>
    </row>
    <row r="388" spans="1:19" x14ac:dyDescent="0.3">
      <c r="A388" s="18"/>
      <c r="B388" s="21"/>
      <c r="C388" s="21"/>
      <c r="D388" s="21"/>
      <c r="E388" s="21"/>
      <c r="F388" s="21"/>
      <c r="G388" s="21"/>
      <c r="H388" s="21"/>
      <c r="I388" s="21"/>
      <c r="J388" s="21"/>
      <c r="K388" s="21"/>
      <c r="L388" s="21"/>
      <c r="M388" s="21"/>
      <c r="N388" s="21"/>
      <c r="O388" s="21"/>
      <c r="P388" s="21"/>
      <c r="Q388" s="21"/>
      <c r="R388" s="21"/>
      <c r="S388" s="20"/>
    </row>
    <row r="389" spans="1:19" ht="15" thickBot="1" x14ac:dyDescent="0.35">
      <c r="A389" s="22"/>
      <c r="B389" s="23"/>
      <c r="C389" s="23"/>
      <c r="D389" s="23"/>
      <c r="E389" s="23"/>
      <c r="F389" s="23"/>
      <c r="G389" s="23"/>
      <c r="H389" s="23"/>
      <c r="I389" s="23"/>
      <c r="J389" s="23"/>
      <c r="K389" s="23"/>
      <c r="L389" s="23"/>
      <c r="M389" s="23"/>
      <c r="N389" s="23"/>
      <c r="O389" s="23"/>
      <c r="P389" s="23"/>
      <c r="Q389" s="23"/>
      <c r="R389" s="23"/>
      <c r="S389" s="24"/>
    </row>
  </sheetData>
  <mergeCells count="78">
    <mergeCell ref="H131:K131"/>
    <mergeCell ref="H85:K85"/>
    <mergeCell ref="H187:K187"/>
    <mergeCell ref="M187:Q187"/>
    <mergeCell ref="A176:R176"/>
    <mergeCell ref="B178:E178"/>
    <mergeCell ref="H121:K121"/>
    <mergeCell ref="H109:K109"/>
    <mergeCell ref="H96:K96"/>
    <mergeCell ref="AD26:AD28"/>
    <mergeCell ref="U29:V31"/>
    <mergeCell ref="W29:AC31"/>
    <mergeCell ref="AD29:AD31"/>
    <mergeCell ref="U26:V28"/>
    <mergeCell ref="W26:AC28"/>
    <mergeCell ref="U3:AD3"/>
    <mergeCell ref="U4:V6"/>
    <mergeCell ref="W4:AD6"/>
    <mergeCell ref="U8:V10"/>
    <mergeCell ref="W8:AC10"/>
    <mergeCell ref="AD8:AD10"/>
    <mergeCell ref="U7:V7"/>
    <mergeCell ref="W7:AC7"/>
    <mergeCell ref="W11:AC13"/>
    <mergeCell ref="AD11:AD13"/>
    <mergeCell ref="U14:V16"/>
    <mergeCell ref="W14:AC16"/>
    <mergeCell ref="W23:AC25"/>
    <mergeCell ref="AD23:AD25"/>
    <mergeCell ref="W17:AC19"/>
    <mergeCell ref="AD14:AD16"/>
    <mergeCell ref="AD17:AD19"/>
    <mergeCell ref="U20:V22"/>
    <mergeCell ref="W20:AC22"/>
    <mergeCell ref="AD20:AD22"/>
    <mergeCell ref="U11:V13"/>
    <mergeCell ref="U17:V19"/>
    <mergeCell ref="U23:V25"/>
    <mergeCell ref="A3:R3"/>
    <mergeCell ref="H15:K15"/>
    <mergeCell ref="H24:K24"/>
    <mergeCell ref="M25:N25"/>
    <mergeCell ref="H33:K33"/>
    <mergeCell ref="B5:E5"/>
    <mergeCell ref="H5:K5"/>
    <mergeCell ref="H69:K69"/>
    <mergeCell ref="M34:N34"/>
    <mergeCell ref="H42:K42"/>
    <mergeCell ref="H51:K51"/>
    <mergeCell ref="H60:K60"/>
    <mergeCell ref="H218:K218"/>
    <mergeCell ref="M218:R218"/>
    <mergeCell ref="H204:K204"/>
    <mergeCell ref="M204:N204"/>
    <mergeCell ref="D142:J142"/>
    <mergeCell ref="H178:K178"/>
    <mergeCell ref="M178:N178"/>
    <mergeCell ref="H236:K236"/>
    <mergeCell ref="M236:N236"/>
    <mergeCell ref="H247:K247"/>
    <mergeCell ref="M247:O247"/>
    <mergeCell ref="H256:K256"/>
    <mergeCell ref="A366:R366"/>
    <mergeCell ref="C368:H368"/>
    <mergeCell ref="H286:K286"/>
    <mergeCell ref="A266:R266"/>
    <mergeCell ref="B268:E268"/>
    <mergeCell ref="H268:K268"/>
    <mergeCell ref="H294:K294"/>
    <mergeCell ref="H302:K302"/>
    <mergeCell ref="H312:L312"/>
    <mergeCell ref="H320:L320"/>
    <mergeCell ref="H330:L330"/>
    <mergeCell ref="H338:L338"/>
    <mergeCell ref="B348:C348"/>
    <mergeCell ref="B356:C356"/>
    <mergeCell ref="K348:L348"/>
    <mergeCell ref="K356:L356"/>
  </mergeCells>
  <pageMargins left="0.7" right="0.7" top="0.75" bottom="0.75" header="0.3" footer="0.3"/>
  <pageSetup orientation="portrait" horizontalDpi="4294967293"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dimension ref="A1:Y78"/>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31.21875" customWidth="1"/>
    <col min="4" max="4" width="17.44140625" customWidth="1"/>
    <col min="5" max="5" width="17.77734375" customWidth="1"/>
    <col min="6" max="6" width="16.77734375" customWidth="1"/>
    <col min="10" max="11" width="11.77734375" customWidth="1"/>
    <col min="18" max="24" width="11.21875" customWidth="1"/>
  </cols>
  <sheetData>
    <row r="1" spans="1:25" ht="34.5" customHeight="1" thickBot="1" x14ac:dyDescent="0.35">
      <c r="A1" s="292" t="s">
        <v>1580</v>
      </c>
      <c r="B1" s="473" t="e" vm="1">
        <v>#VALUE!</v>
      </c>
      <c r="C1" s="8" t="s">
        <v>2606</v>
      </c>
      <c r="D1" s="29"/>
      <c r="E1" s="16"/>
      <c r="F1" s="16"/>
      <c r="G1" s="16"/>
      <c r="H1" s="16"/>
      <c r="I1" s="16"/>
      <c r="J1" s="16"/>
      <c r="K1" s="16"/>
      <c r="L1" s="16"/>
      <c r="M1" s="16"/>
      <c r="N1" s="19"/>
    </row>
    <row r="2" spans="1:25" ht="15" customHeight="1" x14ac:dyDescent="0.3">
      <c r="A2" s="18"/>
      <c r="B2" s="25"/>
      <c r="C2" s="25"/>
      <c r="D2" s="21"/>
      <c r="E2" s="21"/>
      <c r="F2" s="21"/>
      <c r="G2" s="21"/>
      <c r="H2" s="21"/>
      <c r="I2" s="21"/>
      <c r="J2" s="21"/>
      <c r="K2" s="21"/>
      <c r="L2" s="21"/>
      <c r="M2" s="21"/>
      <c r="N2" s="20"/>
    </row>
    <row r="3" spans="1:25" ht="15" customHeight="1" x14ac:dyDescent="0.3">
      <c r="A3" s="18"/>
      <c r="B3" s="25"/>
      <c r="C3" s="25"/>
      <c r="D3" s="21"/>
      <c r="E3" s="21"/>
      <c r="F3" s="21"/>
      <c r="G3" s="21"/>
      <c r="H3" s="21"/>
      <c r="I3" s="21"/>
      <c r="J3" s="21"/>
      <c r="K3" s="21"/>
      <c r="L3" s="21"/>
      <c r="M3" s="21"/>
      <c r="N3" s="20"/>
      <c r="P3" s="486" t="s">
        <v>3410</v>
      </c>
      <c r="Q3" s="486"/>
      <c r="R3" s="486"/>
      <c r="S3" s="486"/>
      <c r="T3" s="486"/>
      <c r="U3" s="486"/>
      <c r="V3" s="486"/>
      <c r="W3" s="486"/>
      <c r="X3" s="486"/>
      <c r="Y3" s="486"/>
    </row>
    <row r="4" spans="1:25" ht="15" customHeight="1" x14ac:dyDescent="0.3">
      <c r="A4" s="18"/>
      <c r="B4" s="25"/>
      <c r="C4" s="25"/>
      <c r="D4" s="21"/>
      <c r="E4" s="21"/>
      <c r="F4" s="21"/>
      <c r="G4" s="21"/>
      <c r="H4" s="21"/>
      <c r="I4" s="21"/>
      <c r="J4" s="21"/>
      <c r="K4" s="21"/>
      <c r="L4" s="21"/>
      <c r="M4" s="21"/>
      <c r="N4" s="20"/>
      <c r="P4" s="487" t="s">
        <v>333</v>
      </c>
      <c r="Q4" s="487"/>
      <c r="R4" s="487" t="s">
        <v>2605</v>
      </c>
      <c r="S4" s="487"/>
      <c r="T4" s="487"/>
      <c r="U4" s="487"/>
      <c r="V4" s="487"/>
      <c r="W4" s="487"/>
      <c r="X4" s="487"/>
      <c r="Y4" s="487"/>
    </row>
    <row r="5" spans="1:25" ht="15" customHeight="1" x14ac:dyDescent="0.3">
      <c r="A5" s="18"/>
      <c r="B5" s="25"/>
      <c r="C5" s="25"/>
      <c r="D5" s="21"/>
      <c r="E5" s="21"/>
      <c r="F5" s="21"/>
      <c r="G5" s="21"/>
      <c r="H5" s="21"/>
      <c r="I5" s="21"/>
      <c r="J5" s="21"/>
      <c r="K5" s="21"/>
      <c r="L5" s="21"/>
      <c r="M5" s="21"/>
      <c r="N5" s="20"/>
      <c r="P5" s="487"/>
      <c r="Q5" s="487"/>
      <c r="R5" s="487"/>
      <c r="S5" s="487"/>
      <c r="T5" s="487"/>
      <c r="U5" s="487"/>
      <c r="V5" s="487"/>
      <c r="W5" s="487"/>
      <c r="X5" s="487"/>
      <c r="Y5" s="487"/>
    </row>
    <row r="6" spans="1:25" ht="15" customHeight="1" x14ac:dyDescent="0.3">
      <c r="A6" s="18"/>
      <c r="B6" s="25"/>
      <c r="C6" s="25"/>
      <c r="D6" s="21"/>
      <c r="E6" s="21"/>
      <c r="F6" s="21"/>
      <c r="G6" s="21"/>
      <c r="H6" s="21"/>
      <c r="I6" s="21"/>
      <c r="J6" s="21"/>
      <c r="K6" s="21"/>
      <c r="L6" s="21"/>
      <c r="M6" s="21"/>
      <c r="N6" s="20"/>
      <c r="P6" s="487"/>
      <c r="Q6" s="487"/>
      <c r="R6" s="487"/>
      <c r="S6" s="487"/>
      <c r="T6" s="487"/>
      <c r="U6" s="487"/>
      <c r="V6" s="487"/>
      <c r="W6" s="487"/>
      <c r="X6" s="487"/>
      <c r="Y6" s="487"/>
    </row>
    <row r="7" spans="1:25" x14ac:dyDescent="0.3">
      <c r="A7" s="490" t="s">
        <v>2614</v>
      </c>
      <c r="B7" s="491"/>
      <c r="C7" s="491"/>
      <c r="D7" s="491"/>
      <c r="E7" s="491"/>
      <c r="F7" s="491"/>
      <c r="G7" s="491"/>
      <c r="H7" s="491"/>
      <c r="I7" s="491"/>
      <c r="J7" s="491"/>
      <c r="K7" s="491"/>
      <c r="L7" s="491"/>
      <c r="M7" s="491"/>
      <c r="N7" s="20"/>
      <c r="P7" s="483" t="s">
        <v>323</v>
      </c>
      <c r="Q7" s="483"/>
      <c r="R7" s="483" t="s">
        <v>1</v>
      </c>
      <c r="S7" s="483"/>
      <c r="T7" s="483"/>
      <c r="U7" s="483"/>
      <c r="V7" s="483"/>
      <c r="W7" s="483"/>
      <c r="X7" s="483"/>
      <c r="Y7" s="85" t="s">
        <v>324</v>
      </c>
    </row>
    <row r="8" spans="1:25" x14ac:dyDescent="0.3">
      <c r="A8" s="18"/>
      <c r="B8" s="21"/>
      <c r="C8" s="21"/>
      <c r="D8" s="26"/>
      <c r="E8" s="21"/>
      <c r="F8" s="21"/>
      <c r="G8" s="21"/>
      <c r="H8" s="21"/>
      <c r="I8" s="21"/>
      <c r="J8" s="21"/>
      <c r="K8" s="21"/>
      <c r="L8" s="21"/>
      <c r="M8" s="21"/>
      <c r="N8" s="20"/>
      <c r="P8" s="487" t="s">
        <v>443</v>
      </c>
      <c r="Q8" s="487"/>
      <c r="R8" s="487" t="s">
        <v>2607</v>
      </c>
      <c r="S8" s="487"/>
      <c r="T8" s="487"/>
      <c r="U8" s="487"/>
      <c r="V8" s="487"/>
      <c r="W8" s="487"/>
      <c r="X8" s="487"/>
      <c r="Y8" s="509" t="s">
        <v>325</v>
      </c>
    </row>
    <row r="9" spans="1:25" x14ac:dyDescent="0.3">
      <c r="A9" s="18"/>
      <c r="B9" s="21"/>
      <c r="C9" s="21"/>
      <c r="D9" s="26"/>
      <c r="E9" s="21"/>
      <c r="F9" s="21"/>
      <c r="G9" s="21"/>
      <c r="H9" s="21"/>
      <c r="I9" s="21"/>
      <c r="J9" s="21"/>
      <c r="K9" s="21"/>
      <c r="L9" s="21"/>
      <c r="M9" s="21"/>
      <c r="N9" s="20"/>
      <c r="P9" s="487"/>
      <c r="Q9" s="487"/>
      <c r="R9" s="487"/>
      <c r="S9" s="487"/>
      <c r="T9" s="487"/>
      <c r="U9" s="487"/>
      <c r="V9" s="487"/>
      <c r="W9" s="487"/>
      <c r="X9" s="487"/>
      <c r="Y9" s="509"/>
    </row>
    <row r="10" spans="1:25" x14ac:dyDescent="0.3">
      <c r="A10" s="18"/>
      <c r="B10" s="21"/>
      <c r="C10" s="21"/>
      <c r="D10" s="26"/>
      <c r="E10" s="21"/>
      <c r="F10" s="21"/>
      <c r="G10" s="21"/>
      <c r="H10" s="21"/>
      <c r="I10" s="21"/>
      <c r="J10" s="21"/>
      <c r="K10" s="21"/>
      <c r="L10" s="21"/>
      <c r="M10" s="21"/>
      <c r="N10" s="20"/>
      <c r="P10" s="487"/>
      <c r="Q10" s="487"/>
      <c r="R10" s="487"/>
      <c r="S10" s="487"/>
      <c r="T10" s="487"/>
      <c r="U10" s="487"/>
      <c r="V10" s="487"/>
      <c r="W10" s="487"/>
      <c r="X10" s="487"/>
      <c r="Y10" s="509"/>
    </row>
    <row r="11" spans="1:25" ht="15" customHeight="1" x14ac:dyDescent="0.3">
      <c r="A11" s="18"/>
      <c r="B11" s="21"/>
      <c r="C11" s="21"/>
      <c r="D11" s="26"/>
      <c r="E11" s="21"/>
      <c r="F11" s="21"/>
      <c r="G11" s="21"/>
      <c r="H11" s="21"/>
      <c r="I11" s="21"/>
      <c r="J11" s="21"/>
      <c r="K11" s="21"/>
      <c r="L11" s="21"/>
      <c r="M11" s="21"/>
      <c r="N11" s="20"/>
      <c r="P11" s="487" t="s">
        <v>699</v>
      </c>
      <c r="Q11" s="487"/>
      <c r="R11" s="487" t="s">
        <v>2608</v>
      </c>
      <c r="S11" s="487"/>
      <c r="T11" s="487"/>
      <c r="U11" s="487"/>
      <c r="V11" s="487"/>
      <c r="W11" s="487"/>
      <c r="X11" s="487"/>
      <c r="Y11" s="509" t="s">
        <v>325</v>
      </c>
    </row>
    <row r="12" spans="1:25" x14ac:dyDescent="0.3">
      <c r="A12" s="18"/>
      <c r="B12" s="89" t="s">
        <v>156</v>
      </c>
      <c r="C12" s="2" t="s">
        <v>157</v>
      </c>
      <c r="D12" s="21"/>
      <c r="E12" s="21"/>
      <c r="F12" s="21"/>
      <c r="G12" s="21"/>
      <c r="H12" s="21"/>
      <c r="I12" s="21"/>
      <c r="J12" s="21"/>
      <c r="K12" s="159"/>
      <c r="L12" s="21"/>
      <c r="M12" s="21"/>
      <c r="N12" s="20"/>
      <c r="P12" s="487"/>
      <c r="Q12" s="487"/>
      <c r="R12" s="487"/>
      <c r="S12" s="487"/>
      <c r="T12" s="487"/>
      <c r="U12" s="487"/>
      <c r="V12" s="487"/>
      <c r="W12" s="487"/>
      <c r="X12" s="487"/>
      <c r="Y12" s="509"/>
    </row>
    <row r="13" spans="1:25" x14ac:dyDescent="0.3">
      <c r="A13" s="18"/>
      <c r="B13" s="90" t="s">
        <v>151</v>
      </c>
      <c r="C13" s="88">
        <v>4.1979099999999998E+43</v>
      </c>
      <c r="D13" s="21"/>
      <c r="E13" s="21"/>
      <c r="F13" s="21"/>
      <c r="G13" s="21"/>
      <c r="H13" s="21"/>
      <c r="I13" s="21"/>
      <c r="J13" s="21"/>
      <c r="K13" s="159"/>
      <c r="L13" s="21"/>
      <c r="M13" s="21"/>
      <c r="N13" s="20"/>
      <c r="P13" s="487"/>
      <c r="Q13" s="487"/>
      <c r="R13" s="487"/>
      <c r="S13" s="487"/>
      <c r="T13" s="487"/>
      <c r="U13" s="487"/>
      <c r="V13" s="487"/>
      <c r="W13" s="487"/>
      <c r="X13" s="487"/>
      <c r="Y13" s="509"/>
    </row>
    <row r="14" spans="1:25" ht="15" customHeight="1" x14ac:dyDescent="0.3">
      <c r="A14" s="18"/>
      <c r="B14" s="90" t="s">
        <v>153</v>
      </c>
      <c r="C14" s="88">
        <v>436704600000</v>
      </c>
      <c r="D14" s="21"/>
      <c r="E14" s="21"/>
      <c r="F14" s="21"/>
      <c r="G14" s="21"/>
      <c r="H14" s="21"/>
      <c r="I14" s="21"/>
      <c r="J14" s="21"/>
      <c r="K14" s="21"/>
      <c r="L14" s="21"/>
      <c r="M14" s="21"/>
      <c r="N14" s="20"/>
      <c r="P14" s="484" t="s">
        <v>700</v>
      </c>
      <c r="Q14" s="484"/>
      <c r="R14" s="484" t="s">
        <v>2610</v>
      </c>
      <c r="S14" s="484"/>
      <c r="T14" s="484"/>
      <c r="U14" s="484"/>
      <c r="V14" s="484"/>
      <c r="W14" s="484"/>
      <c r="X14" s="484"/>
      <c r="Y14" s="485" t="s">
        <v>326</v>
      </c>
    </row>
    <row r="15" spans="1:25" x14ac:dyDescent="0.3">
      <c r="A15" s="18"/>
      <c r="B15" s="90" t="s">
        <v>154</v>
      </c>
      <c r="C15" s="39" t="s">
        <v>154</v>
      </c>
      <c r="D15" s="21"/>
      <c r="E15" s="21"/>
      <c r="F15" s="21"/>
      <c r="G15" s="21"/>
      <c r="H15" s="21"/>
      <c r="I15" s="21"/>
      <c r="J15" s="21"/>
      <c r="K15" s="21"/>
      <c r="L15" s="21"/>
      <c r="M15" s="21"/>
      <c r="N15" s="20"/>
      <c r="P15" s="484"/>
      <c r="Q15" s="484"/>
      <c r="R15" s="484"/>
      <c r="S15" s="484"/>
      <c r="T15" s="484"/>
      <c r="U15" s="484"/>
      <c r="V15" s="484"/>
      <c r="W15" s="484"/>
      <c r="X15" s="484"/>
      <c r="Y15" s="485"/>
    </row>
    <row r="16" spans="1:25" x14ac:dyDescent="0.3">
      <c r="A16" s="18"/>
      <c r="B16" s="90" t="s">
        <v>155</v>
      </c>
      <c r="C16" s="39" t="s">
        <v>155</v>
      </c>
      <c r="D16" s="21"/>
      <c r="E16" s="21"/>
      <c r="F16" s="21"/>
      <c r="G16" s="21"/>
      <c r="H16" s="21"/>
      <c r="I16" s="21"/>
      <c r="J16" s="21"/>
      <c r="K16" s="159"/>
      <c r="L16" s="21"/>
      <c r="M16" s="21"/>
      <c r="N16" s="20"/>
      <c r="P16" s="484"/>
      <c r="Q16" s="484"/>
      <c r="R16" s="484"/>
      <c r="S16" s="484"/>
      <c r="T16" s="484"/>
      <c r="U16" s="484"/>
      <c r="V16" s="484"/>
      <c r="W16" s="484"/>
      <c r="X16" s="484"/>
      <c r="Y16" s="485"/>
    </row>
    <row r="17" spans="1:25" ht="15" customHeight="1" x14ac:dyDescent="0.3">
      <c r="A17" s="18"/>
      <c r="B17" s="90" t="s">
        <v>152</v>
      </c>
      <c r="C17" s="88">
        <v>9.3534099999999996E+57</v>
      </c>
      <c r="D17" s="21"/>
      <c r="E17" s="21"/>
      <c r="F17" s="21"/>
      <c r="G17" s="21"/>
      <c r="H17" s="21"/>
      <c r="I17" s="21"/>
      <c r="J17" s="21"/>
      <c r="K17" s="21"/>
      <c r="L17" s="21"/>
      <c r="M17" s="21"/>
      <c r="N17" s="20"/>
      <c r="P17" s="496" t="s">
        <v>2609</v>
      </c>
      <c r="Q17" s="497"/>
      <c r="R17" s="496" t="s">
        <v>2613</v>
      </c>
      <c r="S17" s="502"/>
      <c r="T17" s="502"/>
      <c r="U17" s="502"/>
      <c r="V17" s="502"/>
      <c r="W17" s="502"/>
      <c r="X17" s="497"/>
      <c r="Y17" s="505" t="s">
        <v>326</v>
      </c>
    </row>
    <row r="18" spans="1:25" x14ac:dyDescent="0.3">
      <c r="A18" s="18"/>
      <c r="B18" s="90"/>
      <c r="C18" s="39"/>
      <c r="D18" s="21"/>
      <c r="E18" s="21"/>
      <c r="F18" s="21"/>
      <c r="G18" s="21"/>
      <c r="H18" s="21"/>
      <c r="I18" s="21"/>
      <c r="J18" s="21"/>
      <c r="K18" s="21"/>
      <c r="L18" s="21"/>
      <c r="M18" s="21"/>
      <c r="N18" s="20"/>
      <c r="P18" s="498"/>
      <c r="Q18" s="499"/>
      <c r="R18" s="498"/>
      <c r="S18" s="503"/>
      <c r="T18" s="503"/>
      <c r="U18" s="503"/>
      <c r="V18" s="503"/>
      <c r="W18" s="503"/>
      <c r="X18" s="499"/>
      <c r="Y18" s="506"/>
    </row>
    <row r="19" spans="1:25" x14ac:dyDescent="0.3">
      <c r="A19" s="18"/>
      <c r="B19" s="21"/>
      <c r="C19" s="21"/>
      <c r="D19" s="21"/>
      <c r="E19" s="21"/>
      <c r="F19" s="21"/>
      <c r="G19" s="21"/>
      <c r="H19" s="21"/>
      <c r="I19" s="21"/>
      <c r="J19" s="21"/>
      <c r="K19" s="21"/>
      <c r="L19" s="21"/>
      <c r="M19" s="21"/>
      <c r="N19" s="20"/>
      <c r="P19" s="500"/>
      <c r="Q19" s="501"/>
      <c r="R19" s="500"/>
      <c r="S19" s="504"/>
      <c r="T19" s="504"/>
      <c r="U19" s="504"/>
      <c r="V19" s="504"/>
      <c r="W19" s="504"/>
      <c r="X19" s="501"/>
      <c r="Y19" s="507"/>
    </row>
    <row r="20" spans="1:25" ht="15" customHeight="1" x14ac:dyDescent="0.3">
      <c r="A20" s="18"/>
      <c r="B20" s="21"/>
      <c r="C20" s="21"/>
      <c r="D20" s="21"/>
      <c r="E20" s="21"/>
      <c r="F20" s="21"/>
      <c r="G20" s="21"/>
      <c r="H20" s="21"/>
      <c r="I20" s="21"/>
      <c r="J20" s="21"/>
      <c r="K20" s="21"/>
      <c r="L20" s="21"/>
      <c r="M20" s="21"/>
      <c r="N20" s="20"/>
      <c r="P20" s="484" t="s">
        <v>2611</v>
      </c>
      <c r="Q20" s="484"/>
      <c r="R20" s="484" t="s">
        <v>2612</v>
      </c>
      <c r="S20" s="484"/>
      <c r="T20" s="484"/>
      <c r="U20" s="484"/>
      <c r="V20" s="484"/>
      <c r="W20" s="484"/>
      <c r="X20" s="484"/>
      <c r="Y20" s="485" t="s">
        <v>326</v>
      </c>
    </row>
    <row r="21" spans="1:25" x14ac:dyDescent="0.3">
      <c r="A21" s="18"/>
      <c r="B21" s="21"/>
      <c r="C21" s="21"/>
      <c r="D21" s="21"/>
      <c r="E21" s="21"/>
      <c r="F21" s="21"/>
      <c r="G21" s="21"/>
      <c r="H21" s="21"/>
      <c r="I21" s="21"/>
      <c r="J21" s="21"/>
      <c r="K21" s="21"/>
      <c r="L21" s="21"/>
      <c r="M21" s="21"/>
      <c r="N21" s="20"/>
      <c r="P21" s="484"/>
      <c r="Q21" s="484"/>
      <c r="R21" s="484"/>
      <c r="S21" s="484"/>
      <c r="T21" s="484"/>
      <c r="U21" s="484"/>
      <c r="V21" s="484"/>
      <c r="W21" s="484"/>
      <c r="X21" s="484"/>
      <c r="Y21" s="485"/>
    </row>
    <row r="22" spans="1:25" x14ac:dyDescent="0.3">
      <c r="A22" s="18"/>
      <c r="B22" s="21"/>
      <c r="C22" s="2" t="s">
        <v>3411</v>
      </c>
      <c r="D22" s="21"/>
      <c r="E22" s="21"/>
      <c r="F22" s="21"/>
      <c r="G22" s="21"/>
      <c r="H22" s="21"/>
      <c r="I22" s="21"/>
      <c r="J22" s="21"/>
      <c r="K22" s="21"/>
      <c r="L22" s="21"/>
      <c r="M22" s="21"/>
      <c r="N22" s="20"/>
      <c r="P22" s="484"/>
      <c r="Q22" s="484"/>
      <c r="R22" s="484"/>
      <c r="S22" s="484"/>
      <c r="T22" s="484"/>
      <c r="U22" s="484"/>
      <c r="V22" s="484"/>
      <c r="W22" s="484"/>
      <c r="X22" s="484"/>
      <c r="Y22" s="485"/>
    </row>
    <row r="23" spans="1:25" ht="15" customHeight="1" x14ac:dyDescent="0.3">
      <c r="A23" s="18"/>
      <c r="B23" s="21"/>
      <c r="C23" s="214" t="str">
        <f t="array" ref="C23:C28">_xll.U.CONVERT(C13:C18,"cusip")</f>
        <v>419791E38</v>
      </c>
      <c r="D23" s="21"/>
      <c r="E23" s="21"/>
      <c r="F23" s="21"/>
      <c r="G23" s="21"/>
      <c r="H23" s="21"/>
      <c r="I23" s="21"/>
      <c r="J23" s="21"/>
      <c r="K23" s="21"/>
      <c r="L23" s="21"/>
      <c r="M23" s="21"/>
      <c r="N23" s="20"/>
      <c r="P23" s="484" t="s">
        <v>2611</v>
      </c>
      <c r="Q23" s="484"/>
      <c r="R23" s="484" t="s">
        <v>2612</v>
      </c>
      <c r="S23" s="484"/>
      <c r="T23" s="484"/>
      <c r="U23" s="484"/>
      <c r="V23" s="484"/>
      <c r="W23" s="484"/>
      <c r="X23" s="484"/>
      <c r="Y23" s="485" t="s">
        <v>326</v>
      </c>
    </row>
    <row r="24" spans="1:25" x14ac:dyDescent="0.3">
      <c r="A24" s="18"/>
      <c r="B24" s="21"/>
      <c r="C24" s="214" t="str">
        <v>4367046E5</v>
      </c>
      <c r="D24" s="21"/>
      <c r="E24" s="21"/>
      <c r="F24" s="21"/>
      <c r="G24" s="21"/>
      <c r="H24" s="21"/>
      <c r="I24" s="21"/>
      <c r="J24" s="21"/>
      <c r="K24" s="21"/>
      <c r="L24" s="21"/>
      <c r="M24" s="21"/>
      <c r="N24" s="20"/>
      <c r="P24" s="484"/>
      <c r="Q24" s="484"/>
      <c r="R24" s="484"/>
      <c r="S24" s="484"/>
      <c r="T24" s="484"/>
      <c r="U24" s="484"/>
      <c r="V24" s="484"/>
      <c r="W24" s="484"/>
      <c r="X24" s="484"/>
      <c r="Y24" s="485"/>
    </row>
    <row r="25" spans="1:25" x14ac:dyDescent="0.3">
      <c r="A25" s="18"/>
      <c r="B25" s="21"/>
      <c r="C25" s="214" t="str">
        <v>441060AG5</v>
      </c>
      <c r="D25" s="21"/>
      <c r="E25" s="21"/>
      <c r="F25" s="21"/>
      <c r="G25" s="21"/>
      <c r="H25" s="21"/>
      <c r="I25" s="21"/>
      <c r="J25" s="21"/>
      <c r="K25" s="21"/>
      <c r="L25" s="21"/>
      <c r="M25" s="21"/>
      <c r="N25" s="20"/>
      <c r="P25" s="484"/>
      <c r="Q25" s="484"/>
      <c r="R25" s="484"/>
      <c r="S25" s="484"/>
      <c r="T25" s="484"/>
      <c r="U25" s="484"/>
      <c r="V25" s="484"/>
      <c r="W25" s="484"/>
      <c r="X25" s="484"/>
      <c r="Y25" s="485"/>
    </row>
    <row r="26" spans="1:25" ht="15" customHeight="1" x14ac:dyDescent="0.3">
      <c r="A26" s="18"/>
      <c r="B26" s="21"/>
      <c r="C26" s="214" t="str">
        <v>14149YAR9</v>
      </c>
      <c r="D26" s="21"/>
      <c r="E26" s="21"/>
      <c r="F26" s="21"/>
      <c r="G26" s="21"/>
      <c r="H26" s="21"/>
      <c r="I26" s="21"/>
      <c r="J26" s="21"/>
      <c r="K26" s="21"/>
      <c r="L26" s="21"/>
      <c r="M26" s="21"/>
      <c r="N26" s="20"/>
      <c r="P26" s="484" t="s">
        <v>2611</v>
      </c>
      <c r="Q26" s="484"/>
      <c r="R26" s="484" t="s">
        <v>2612</v>
      </c>
      <c r="S26" s="484"/>
      <c r="T26" s="484"/>
      <c r="U26" s="484"/>
      <c r="V26" s="484"/>
      <c r="W26" s="484"/>
      <c r="X26" s="484"/>
      <c r="Y26" s="505" t="s">
        <v>326</v>
      </c>
    </row>
    <row r="27" spans="1:25" x14ac:dyDescent="0.3">
      <c r="A27" s="18"/>
      <c r="B27" s="21"/>
      <c r="C27" s="214" t="str">
        <v>935341E52</v>
      </c>
      <c r="D27" s="21"/>
      <c r="E27" s="21"/>
      <c r="F27" s="21"/>
      <c r="G27" s="21"/>
      <c r="H27" s="21"/>
      <c r="I27" s="21"/>
      <c r="J27" s="21"/>
      <c r="K27" s="21"/>
      <c r="L27" s="21"/>
      <c r="M27" s="21"/>
      <c r="N27" s="20"/>
      <c r="P27" s="484"/>
      <c r="Q27" s="484"/>
      <c r="R27" s="484"/>
      <c r="S27" s="484"/>
      <c r="T27" s="484"/>
      <c r="U27" s="484"/>
      <c r="V27" s="484"/>
      <c r="W27" s="484"/>
      <c r="X27" s="484"/>
      <c r="Y27" s="506"/>
    </row>
    <row r="28" spans="1:25" x14ac:dyDescent="0.3">
      <c r="A28" s="18"/>
      <c r="B28" s="21"/>
      <c r="C28" s="214" t="str">
        <v/>
      </c>
      <c r="D28" s="21"/>
      <c r="E28" s="21"/>
      <c r="F28" s="21"/>
      <c r="G28" s="21"/>
      <c r="H28" s="21"/>
      <c r="I28" s="21"/>
      <c r="J28" s="21"/>
      <c r="K28" s="21"/>
      <c r="L28" s="21"/>
      <c r="M28" s="21"/>
      <c r="N28" s="20"/>
      <c r="P28" s="484"/>
      <c r="Q28" s="484"/>
      <c r="R28" s="484"/>
      <c r="S28" s="484"/>
      <c r="T28" s="484"/>
      <c r="U28" s="484"/>
      <c r="V28" s="484"/>
      <c r="W28" s="484"/>
      <c r="X28" s="484"/>
      <c r="Y28" s="507"/>
    </row>
    <row r="29" spans="1:25" x14ac:dyDescent="0.3">
      <c r="A29" s="18"/>
      <c r="B29" s="21"/>
      <c r="C29" s="21"/>
      <c r="D29" s="21"/>
      <c r="E29" s="21"/>
      <c r="F29" s="21"/>
      <c r="G29" s="21"/>
      <c r="H29" s="21"/>
      <c r="I29" s="21"/>
      <c r="J29" s="21"/>
      <c r="K29" s="21"/>
      <c r="L29" s="21"/>
      <c r="M29" s="21"/>
      <c r="N29" s="20"/>
      <c r="P29" s="126" t="s">
        <v>328</v>
      </c>
    </row>
    <row r="30" spans="1:25" x14ac:dyDescent="0.3">
      <c r="A30" s="18"/>
      <c r="B30" s="21"/>
      <c r="C30" s="21"/>
      <c r="D30" s="21"/>
      <c r="E30" s="21"/>
      <c r="F30" s="21"/>
      <c r="G30" s="21"/>
      <c r="H30" s="21"/>
      <c r="I30" s="21"/>
      <c r="J30" s="21"/>
      <c r="K30" s="21"/>
      <c r="L30" s="21"/>
      <c r="M30" s="21"/>
      <c r="N30" s="20"/>
    </row>
    <row r="31" spans="1:25" x14ac:dyDescent="0.3">
      <c r="A31" s="18"/>
      <c r="B31" s="159"/>
      <c r="C31" s="21"/>
      <c r="D31" s="21"/>
      <c r="E31" s="21"/>
      <c r="F31" s="21"/>
      <c r="G31" s="21"/>
      <c r="H31" s="21"/>
      <c r="I31" s="21"/>
      <c r="J31" s="21"/>
      <c r="K31" s="21"/>
      <c r="L31" s="21"/>
      <c r="M31" s="21"/>
      <c r="N31" s="20"/>
    </row>
    <row r="32" spans="1:25" x14ac:dyDescent="0.3">
      <c r="A32" s="18"/>
      <c r="B32" s="21"/>
      <c r="C32" s="21"/>
      <c r="D32" s="21"/>
      <c r="E32" s="21"/>
      <c r="F32" s="21"/>
      <c r="G32" s="21"/>
      <c r="H32" s="21"/>
      <c r="I32" s="21"/>
      <c r="J32" s="21"/>
      <c r="K32" s="21"/>
      <c r="L32" s="21"/>
      <c r="M32" s="21"/>
      <c r="N32" s="20"/>
    </row>
    <row r="33" spans="1:14" x14ac:dyDescent="0.3">
      <c r="A33" s="18"/>
      <c r="B33" s="21"/>
      <c r="C33" s="21"/>
      <c r="D33" s="21"/>
      <c r="E33" s="21"/>
      <c r="F33" s="21"/>
      <c r="G33" s="21"/>
      <c r="H33" s="21"/>
      <c r="I33" s="21"/>
      <c r="J33" s="21"/>
      <c r="K33" s="21"/>
      <c r="L33" s="21"/>
      <c r="M33" s="21"/>
      <c r="N33" s="20"/>
    </row>
    <row r="34" spans="1:14" x14ac:dyDescent="0.3">
      <c r="A34" s="18"/>
      <c r="B34" s="21"/>
      <c r="C34" s="21"/>
      <c r="D34" s="21"/>
      <c r="E34" s="21"/>
      <c r="F34" s="21"/>
      <c r="G34" s="21"/>
      <c r="H34" s="21"/>
      <c r="I34" s="21"/>
      <c r="J34" s="21"/>
      <c r="K34" s="21"/>
      <c r="L34" s="21"/>
      <c r="M34" s="21"/>
      <c r="N34" s="20"/>
    </row>
    <row r="35" spans="1:14" x14ac:dyDescent="0.3">
      <c r="A35" s="18"/>
      <c r="B35" s="21"/>
      <c r="C35" s="21"/>
      <c r="D35" s="21"/>
      <c r="E35" s="21"/>
      <c r="F35" s="21"/>
      <c r="G35" s="21"/>
      <c r="H35" s="21"/>
      <c r="I35" s="21"/>
      <c r="J35" s="21"/>
      <c r="K35" s="21"/>
      <c r="L35" s="21"/>
      <c r="M35" s="21"/>
      <c r="N35" s="20"/>
    </row>
    <row r="36" spans="1:14" x14ac:dyDescent="0.3">
      <c r="A36" s="18"/>
      <c r="B36" s="21"/>
      <c r="C36" s="21"/>
      <c r="D36" s="21"/>
      <c r="E36" s="21"/>
      <c r="F36" s="21"/>
      <c r="G36" s="21"/>
      <c r="H36" s="21"/>
      <c r="I36" s="21"/>
      <c r="J36" s="21"/>
      <c r="K36" s="21"/>
      <c r="L36" s="21"/>
      <c r="M36" s="21"/>
      <c r="N36" s="20"/>
    </row>
    <row r="37" spans="1:14" x14ac:dyDescent="0.3">
      <c r="A37" s="490" t="s">
        <v>2615</v>
      </c>
      <c r="B37" s="491"/>
      <c r="C37" s="491"/>
      <c r="D37" s="491"/>
      <c r="E37" s="491"/>
      <c r="F37" s="491"/>
      <c r="G37" s="491"/>
      <c r="H37" s="491"/>
      <c r="I37" s="491"/>
      <c r="J37" s="491"/>
      <c r="K37" s="491"/>
      <c r="L37" s="491"/>
      <c r="M37" s="491"/>
      <c r="N37" s="20"/>
    </row>
    <row r="38" spans="1:14" x14ac:dyDescent="0.3">
      <c r="A38" s="18"/>
      <c r="B38" s="21"/>
      <c r="C38" s="21"/>
      <c r="D38" s="21"/>
      <c r="E38" s="21"/>
      <c r="F38" s="21"/>
      <c r="G38" s="21"/>
      <c r="H38" s="21"/>
      <c r="I38" s="21"/>
      <c r="J38" s="21"/>
      <c r="K38" s="21"/>
      <c r="L38" s="21"/>
      <c r="M38" s="21"/>
      <c r="N38" s="20"/>
    </row>
    <row r="39" spans="1:14" x14ac:dyDescent="0.3">
      <c r="A39" s="18"/>
      <c r="B39" s="21"/>
      <c r="C39" s="21"/>
      <c r="D39" s="21"/>
      <c r="E39" s="21"/>
      <c r="F39" s="21"/>
      <c r="G39" s="21"/>
      <c r="H39" s="21"/>
      <c r="I39" s="21"/>
      <c r="J39" s="21"/>
      <c r="K39" s="21"/>
      <c r="L39" s="21"/>
      <c r="M39" s="21"/>
      <c r="N39" s="20"/>
    </row>
    <row r="40" spans="1:14" x14ac:dyDescent="0.3">
      <c r="A40" s="18"/>
      <c r="B40" s="21"/>
      <c r="C40" s="21"/>
      <c r="D40" s="21"/>
      <c r="E40" s="21"/>
      <c r="F40" s="21"/>
      <c r="G40" s="21"/>
      <c r="H40" s="21"/>
      <c r="I40" s="21"/>
      <c r="J40" s="21"/>
      <c r="K40" s="21"/>
      <c r="L40" s="21"/>
      <c r="M40" s="21"/>
      <c r="N40" s="20"/>
    </row>
    <row r="41" spans="1:14" x14ac:dyDescent="0.3">
      <c r="A41" s="18"/>
      <c r="B41" s="21"/>
      <c r="C41" s="21"/>
      <c r="D41" s="21"/>
      <c r="E41" s="21"/>
      <c r="F41" s="21"/>
      <c r="G41" s="21"/>
      <c r="H41" s="21"/>
      <c r="I41" s="21"/>
      <c r="J41" s="21"/>
      <c r="K41" s="21"/>
      <c r="L41" s="21"/>
      <c r="M41" s="21"/>
      <c r="N41" s="20"/>
    </row>
    <row r="42" spans="1:14" x14ac:dyDescent="0.3">
      <c r="A42" s="18"/>
      <c r="B42" s="190" t="s">
        <v>630</v>
      </c>
      <c r="C42" s="21"/>
      <c r="D42" s="190" t="s">
        <v>2618</v>
      </c>
      <c r="E42" s="21"/>
      <c r="F42" s="21"/>
      <c r="G42" s="21"/>
      <c r="H42" s="21"/>
      <c r="I42" s="21"/>
      <c r="J42" s="21"/>
      <c r="K42" s="21"/>
      <c r="L42" s="21"/>
      <c r="M42" s="21"/>
      <c r="N42" s="20"/>
    </row>
    <row r="43" spans="1:14" x14ac:dyDescent="0.3">
      <c r="A43" s="18"/>
      <c r="B43" s="392" t="s">
        <v>2616</v>
      </c>
      <c r="C43" s="21"/>
      <c r="D43" s="30" t="str">
        <f t="array" ref="D43:D47">_xll.U.CONVERT(B43:B47,"tenor")</f>
        <v>Z4</v>
      </c>
      <c r="E43" s="21"/>
      <c r="F43" s="21"/>
      <c r="G43" s="21"/>
      <c r="H43" s="21"/>
      <c r="I43" s="21"/>
      <c r="J43" s="21"/>
      <c r="K43" s="21"/>
      <c r="L43" s="21"/>
      <c r="M43" s="21"/>
      <c r="N43" s="20"/>
    </row>
    <row r="44" spans="1:14" x14ac:dyDescent="0.3">
      <c r="A44" s="18"/>
      <c r="B44" s="393" t="s">
        <v>2617</v>
      </c>
      <c r="C44" s="21"/>
      <c r="D44" s="30" t="str">
        <v>Q1</v>
      </c>
      <c r="E44" s="21"/>
      <c r="F44" s="21"/>
      <c r="G44" s="21"/>
      <c r="H44" s="21"/>
      <c r="I44" s="21"/>
      <c r="J44" s="21"/>
      <c r="K44" s="21"/>
      <c r="L44" s="21"/>
      <c r="M44" s="21"/>
      <c r="N44" s="20"/>
    </row>
    <row r="45" spans="1:14" x14ac:dyDescent="0.3">
      <c r="A45" s="18"/>
      <c r="B45" s="394">
        <v>44256</v>
      </c>
      <c r="C45" s="21"/>
      <c r="D45" s="30" t="str">
        <v>H1</v>
      </c>
      <c r="E45" s="21"/>
      <c r="F45" s="21"/>
      <c r="G45" s="21"/>
      <c r="H45" s="21"/>
      <c r="I45" s="21"/>
      <c r="J45" s="21"/>
      <c r="K45" s="21"/>
      <c r="L45" s="21"/>
      <c r="M45" s="21"/>
      <c r="N45" s="20"/>
    </row>
    <row r="46" spans="1:14" x14ac:dyDescent="0.3">
      <c r="A46" s="18"/>
      <c r="B46" s="394" t="s">
        <v>2619</v>
      </c>
      <c r="C46" s="21"/>
      <c r="D46" s="30" t="str">
        <v>H1</v>
      </c>
      <c r="E46" s="21"/>
      <c r="F46" s="21"/>
      <c r="G46" s="21"/>
      <c r="H46" s="21"/>
      <c r="I46" s="21"/>
      <c r="J46" s="21"/>
      <c r="K46" s="21"/>
      <c r="L46" s="21"/>
      <c r="M46" s="21"/>
      <c r="N46" s="20"/>
    </row>
    <row r="47" spans="1:14" x14ac:dyDescent="0.3">
      <c r="A47" s="18"/>
      <c r="B47" s="394" t="s">
        <v>2623</v>
      </c>
      <c r="C47" s="21"/>
      <c r="D47" s="30" t="str">
        <v>H1</v>
      </c>
      <c r="E47" s="21"/>
      <c r="F47" s="21"/>
      <c r="G47" s="21"/>
      <c r="H47" s="21"/>
      <c r="I47" s="21"/>
      <c r="J47" s="21"/>
      <c r="K47" s="21"/>
      <c r="L47" s="21"/>
      <c r="M47" s="21"/>
      <c r="N47" s="20"/>
    </row>
    <row r="48" spans="1:14" x14ac:dyDescent="0.3">
      <c r="A48" s="18"/>
      <c r="B48" s="21"/>
      <c r="C48" s="21"/>
      <c r="D48" s="21"/>
      <c r="E48" s="21"/>
      <c r="F48" s="21"/>
      <c r="G48" s="21"/>
      <c r="H48" s="21"/>
      <c r="I48" s="21"/>
      <c r="J48" s="21"/>
      <c r="K48" s="21"/>
      <c r="L48" s="21"/>
      <c r="M48" s="21"/>
      <c r="N48" s="20"/>
    </row>
    <row r="49" spans="1:18" x14ac:dyDescent="0.3">
      <c r="A49" s="18"/>
      <c r="B49" s="21"/>
      <c r="C49" s="21"/>
      <c r="D49" s="190" t="s">
        <v>2618</v>
      </c>
      <c r="E49" s="21"/>
      <c r="F49" s="21"/>
      <c r="G49" s="21"/>
      <c r="H49" s="21"/>
      <c r="I49" s="21"/>
      <c r="J49" s="21"/>
      <c r="K49" s="21"/>
      <c r="L49" s="21"/>
      <c r="M49" s="21"/>
      <c r="N49" s="20"/>
    </row>
    <row r="50" spans="1:18" x14ac:dyDescent="0.3">
      <c r="A50" s="18"/>
      <c r="B50" s="21"/>
      <c r="C50" s="21"/>
      <c r="D50" s="30" t="str">
        <f t="array" ref="D50:D54">_xll.U.CONVERT(B43:B47,"tenor",,,2)</f>
        <v>Z24</v>
      </c>
      <c r="E50" s="21"/>
      <c r="F50" s="21"/>
      <c r="G50" s="21"/>
      <c r="H50" s="21"/>
      <c r="I50" s="21"/>
      <c r="J50" s="21"/>
      <c r="K50" s="21"/>
      <c r="L50" s="21"/>
      <c r="M50" s="21"/>
      <c r="N50" s="20"/>
    </row>
    <row r="51" spans="1:18" x14ac:dyDescent="0.3">
      <c r="A51" s="18"/>
      <c r="B51" s="21"/>
      <c r="C51" s="21"/>
      <c r="D51" s="30" t="str">
        <v>Q21</v>
      </c>
      <c r="E51" s="21"/>
      <c r="F51" s="21"/>
      <c r="G51" s="21"/>
      <c r="H51" s="21"/>
      <c r="I51" s="21"/>
      <c r="J51" s="21"/>
      <c r="K51" s="21"/>
      <c r="L51" s="21"/>
      <c r="M51" s="21"/>
      <c r="N51" s="20"/>
    </row>
    <row r="52" spans="1:18" x14ac:dyDescent="0.3">
      <c r="A52" s="18"/>
      <c r="B52" s="21"/>
      <c r="C52" s="21"/>
      <c r="D52" s="30" t="str">
        <v>H21</v>
      </c>
      <c r="E52" s="21"/>
      <c r="F52" s="21"/>
      <c r="G52" s="21"/>
      <c r="H52" s="21"/>
      <c r="I52" s="21"/>
      <c r="J52" s="21"/>
      <c r="K52" s="21"/>
      <c r="L52" s="21"/>
      <c r="M52" s="21"/>
      <c r="N52" s="20"/>
    </row>
    <row r="53" spans="1:18" x14ac:dyDescent="0.3">
      <c r="A53" s="18"/>
      <c r="B53" s="21"/>
      <c r="C53" s="21"/>
      <c r="D53" s="30" t="str">
        <v>H31</v>
      </c>
      <c r="E53" s="21"/>
      <c r="F53" s="21"/>
      <c r="G53" s="21"/>
      <c r="H53" s="21"/>
      <c r="I53" s="21"/>
      <c r="J53" s="21"/>
      <c r="K53" s="21"/>
      <c r="L53" s="21"/>
      <c r="M53" s="21"/>
      <c r="N53" s="20"/>
    </row>
    <row r="54" spans="1:18" x14ac:dyDescent="0.3">
      <c r="A54" s="18"/>
      <c r="B54" s="21"/>
      <c r="C54" s="21"/>
      <c r="D54" s="30" t="str">
        <v>H21</v>
      </c>
      <c r="E54" s="21"/>
      <c r="F54" s="21"/>
      <c r="G54" s="21"/>
      <c r="H54" s="21"/>
      <c r="I54" s="21"/>
      <c r="J54" s="21"/>
      <c r="K54" s="21"/>
      <c r="L54" s="21"/>
      <c r="M54" s="21"/>
      <c r="N54" s="20"/>
    </row>
    <row r="55" spans="1:18" x14ac:dyDescent="0.3">
      <c r="A55" s="18"/>
      <c r="B55" s="21"/>
      <c r="C55" s="21"/>
      <c r="D55" s="21"/>
      <c r="E55" s="21"/>
      <c r="F55" s="21"/>
      <c r="G55" s="21"/>
      <c r="H55" s="21"/>
      <c r="I55" s="21"/>
      <c r="J55" s="21"/>
      <c r="K55" s="21"/>
      <c r="L55" s="21"/>
      <c r="M55" s="21"/>
      <c r="N55" s="20"/>
    </row>
    <row r="56" spans="1:18" x14ac:dyDescent="0.3">
      <c r="A56" s="18"/>
      <c r="B56" s="21"/>
      <c r="C56" s="21"/>
      <c r="D56" s="190" t="s">
        <v>2618</v>
      </c>
      <c r="E56" s="21"/>
      <c r="F56" s="21"/>
      <c r="G56" s="21"/>
      <c r="H56" s="21"/>
      <c r="I56" s="21"/>
      <c r="J56" s="21"/>
      <c r="K56" s="21"/>
      <c r="L56" s="21"/>
      <c r="M56" s="21"/>
      <c r="N56" s="20"/>
    </row>
    <row r="57" spans="1:18" x14ac:dyDescent="0.3">
      <c r="A57" s="18"/>
      <c r="B57" s="21"/>
      <c r="C57" s="21"/>
      <c r="D57" s="30" t="str">
        <f t="array" ref="D57:D61">_xll.U.CONVERT(B43:B47,"tenor",,,2,75)</f>
        <v>Z24</v>
      </c>
      <c r="E57" s="21"/>
      <c r="F57" s="21"/>
      <c r="G57" s="21"/>
      <c r="H57" s="21"/>
      <c r="I57" s="21"/>
      <c r="J57" s="21"/>
      <c r="K57" s="21"/>
      <c r="L57" s="21"/>
      <c r="M57" s="21"/>
      <c r="N57" s="20"/>
    </row>
    <row r="58" spans="1:18" x14ac:dyDescent="0.3">
      <c r="A58" s="18"/>
      <c r="B58" s="21"/>
      <c r="C58" s="21"/>
      <c r="D58" s="30" t="str">
        <v>Q21</v>
      </c>
      <c r="E58" s="21"/>
      <c r="F58" s="21"/>
      <c r="G58" s="21"/>
      <c r="H58" s="21"/>
      <c r="I58" s="21"/>
      <c r="J58" s="21"/>
      <c r="K58" s="21"/>
      <c r="L58" s="21"/>
      <c r="M58" s="21"/>
      <c r="N58" s="20"/>
    </row>
    <row r="59" spans="1:18" x14ac:dyDescent="0.3">
      <c r="A59" s="18"/>
      <c r="B59" s="21"/>
      <c r="C59" s="21"/>
      <c r="D59" s="30" t="str">
        <v>H21</v>
      </c>
      <c r="E59" s="21"/>
      <c r="F59" s="21"/>
      <c r="G59" s="21"/>
      <c r="H59" s="21"/>
      <c r="I59" s="21"/>
      <c r="J59" s="21"/>
      <c r="K59" s="21"/>
      <c r="L59" s="21"/>
      <c r="M59" s="21"/>
      <c r="N59" s="20"/>
    </row>
    <row r="60" spans="1:18" x14ac:dyDescent="0.3">
      <c r="A60" s="18"/>
      <c r="B60" s="21"/>
      <c r="C60" s="21"/>
      <c r="D60" s="395" t="str">
        <v>H31</v>
      </c>
      <c r="E60" s="21"/>
      <c r="F60" s="21"/>
      <c r="G60" s="21"/>
      <c r="H60" s="21"/>
      <c r="I60" s="21"/>
      <c r="J60" s="21"/>
      <c r="K60" s="21"/>
      <c r="L60" s="21"/>
      <c r="M60" s="21"/>
      <c r="N60" s="20"/>
    </row>
    <row r="61" spans="1:18" x14ac:dyDescent="0.3">
      <c r="A61" s="18"/>
      <c r="B61" s="21"/>
      <c r="C61" s="21"/>
      <c r="D61" s="30" t="str">
        <v>H21</v>
      </c>
      <c r="E61" s="21"/>
      <c r="F61" s="21"/>
      <c r="G61" s="21"/>
      <c r="H61" s="21"/>
      <c r="I61" s="21"/>
      <c r="J61" s="21"/>
      <c r="K61" s="21"/>
      <c r="L61" s="21"/>
      <c r="M61" s="21"/>
      <c r="N61" s="20"/>
    </row>
    <row r="62" spans="1:18" x14ac:dyDescent="0.3">
      <c r="A62" s="18"/>
      <c r="B62" s="21"/>
      <c r="C62" s="21"/>
      <c r="D62" s="21"/>
      <c r="E62" s="21"/>
      <c r="F62" s="21"/>
      <c r="G62" s="21"/>
      <c r="H62" s="21"/>
      <c r="I62" s="21"/>
      <c r="J62" s="21"/>
      <c r="K62" s="21"/>
      <c r="L62" s="21"/>
      <c r="M62" s="21"/>
      <c r="N62" s="20"/>
      <c r="R62" s="172"/>
    </row>
    <row r="63" spans="1:18" x14ac:dyDescent="0.3">
      <c r="A63" s="18"/>
      <c r="B63" s="21"/>
      <c r="C63" s="21"/>
      <c r="D63" s="21"/>
      <c r="E63" s="21"/>
      <c r="F63" s="21"/>
      <c r="G63" s="21"/>
      <c r="H63" s="21"/>
      <c r="I63" s="21"/>
      <c r="J63" s="21"/>
      <c r="K63" s="21"/>
      <c r="L63" s="21"/>
      <c r="M63" s="21"/>
      <c r="N63" s="20"/>
      <c r="R63" s="172"/>
    </row>
    <row r="64" spans="1:18" x14ac:dyDescent="0.3">
      <c r="A64" s="18"/>
      <c r="B64" s="21"/>
      <c r="C64" s="21"/>
      <c r="D64" s="21"/>
      <c r="E64" s="21"/>
      <c r="F64" s="21"/>
      <c r="G64" s="21"/>
      <c r="H64" s="21"/>
      <c r="I64" s="21"/>
      <c r="J64" s="21"/>
      <c r="K64" s="21"/>
      <c r="L64" s="21"/>
      <c r="M64" s="21"/>
      <c r="N64" s="20"/>
    </row>
    <row r="65" spans="1:14" x14ac:dyDescent="0.3">
      <c r="A65" s="18"/>
      <c r="B65" s="190" t="s">
        <v>2618</v>
      </c>
      <c r="C65" s="21"/>
      <c r="D65" s="190" t="s">
        <v>630</v>
      </c>
      <c r="E65" s="21"/>
      <c r="F65" s="21"/>
      <c r="G65" s="21"/>
      <c r="H65" s="21"/>
      <c r="I65" s="21"/>
      <c r="J65" s="21"/>
      <c r="K65" s="21"/>
      <c r="L65" s="21"/>
      <c r="M65" s="21"/>
      <c r="N65" s="20"/>
    </row>
    <row r="66" spans="1:14" x14ac:dyDescent="0.3">
      <c r="A66" s="18"/>
      <c r="B66" s="392" t="s">
        <v>2621</v>
      </c>
      <c r="C66" s="21"/>
      <c r="D66" s="97">
        <f t="array" ref="D66:D69">_xll.U.CONVERT(B66:B69,"date","tenor")</f>
        <v>49279</v>
      </c>
      <c r="E66" s="21"/>
      <c r="F66" s="21"/>
      <c r="G66" s="21"/>
      <c r="H66" s="21"/>
      <c r="I66" s="21"/>
      <c r="J66" s="21"/>
      <c r="K66" s="21"/>
      <c r="L66" s="21"/>
      <c r="M66" s="21"/>
      <c r="N66" s="20"/>
    </row>
    <row r="67" spans="1:14" x14ac:dyDescent="0.3">
      <c r="A67" s="18"/>
      <c r="B67" s="393" t="s">
        <v>2622</v>
      </c>
      <c r="C67" s="21"/>
      <c r="D67" s="97">
        <v>44409</v>
      </c>
      <c r="E67" s="21"/>
      <c r="F67" s="21"/>
      <c r="G67" s="21"/>
      <c r="H67" s="21"/>
      <c r="I67" s="21"/>
      <c r="J67" s="21"/>
      <c r="K67" s="21"/>
      <c r="L67" s="21"/>
      <c r="M67" s="21"/>
      <c r="N67" s="20"/>
    </row>
    <row r="68" spans="1:14" x14ac:dyDescent="0.3">
      <c r="A68" s="18"/>
      <c r="B68" s="394" t="s">
        <v>2619</v>
      </c>
      <c r="C68" s="21"/>
      <c r="D68" s="97">
        <v>47908</v>
      </c>
      <c r="E68" s="21"/>
      <c r="F68" s="21"/>
      <c r="G68" s="21"/>
      <c r="H68" s="21"/>
      <c r="I68" s="21"/>
      <c r="J68" s="21"/>
      <c r="K68" s="21"/>
      <c r="L68" s="21"/>
      <c r="M68" s="21"/>
      <c r="N68" s="20"/>
    </row>
    <row r="69" spans="1:14" x14ac:dyDescent="0.3">
      <c r="A69" s="18"/>
      <c r="B69" s="394" t="s">
        <v>2620</v>
      </c>
      <c r="C69" s="21"/>
      <c r="D69" s="97">
        <v>47939</v>
      </c>
      <c r="E69" s="21"/>
      <c r="F69" s="21"/>
      <c r="G69" s="21"/>
      <c r="H69" s="21"/>
      <c r="I69" s="21"/>
      <c r="J69" s="21"/>
      <c r="K69" s="21"/>
      <c r="L69" s="21"/>
      <c r="M69" s="21"/>
      <c r="N69" s="20"/>
    </row>
    <row r="70" spans="1:14" x14ac:dyDescent="0.3">
      <c r="A70" s="18"/>
      <c r="B70" s="21"/>
      <c r="C70" s="21"/>
      <c r="D70" s="21"/>
      <c r="E70" s="21"/>
      <c r="F70" s="21"/>
      <c r="G70" s="21"/>
      <c r="H70" s="21"/>
      <c r="I70" s="21"/>
      <c r="J70" s="21"/>
      <c r="K70" s="21"/>
      <c r="L70" s="21"/>
      <c r="M70" s="21"/>
      <c r="N70" s="20"/>
    </row>
    <row r="71" spans="1:14" x14ac:dyDescent="0.3">
      <c r="A71" s="18"/>
      <c r="B71" s="21"/>
      <c r="C71" s="21"/>
      <c r="D71" s="190" t="s">
        <v>630</v>
      </c>
      <c r="E71" s="21"/>
      <c r="F71" s="21"/>
      <c r="G71" s="21"/>
      <c r="H71" s="21"/>
      <c r="I71" s="21"/>
      <c r="J71" s="21"/>
      <c r="K71" s="21"/>
      <c r="L71" s="21"/>
      <c r="M71" s="21"/>
      <c r="N71" s="20"/>
    </row>
    <row r="72" spans="1:14" x14ac:dyDescent="0.3">
      <c r="A72" s="18"/>
      <c r="B72" s="21"/>
      <c r="C72" s="21"/>
      <c r="D72" s="97">
        <f t="array" ref="D72:D75">_xll.U.CONVERT(B66:B69,"date","tenor",,75)</f>
        <v>49279</v>
      </c>
      <c r="E72" s="21"/>
      <c r="F72" s="21"/>
      <c r="G72" s="21"/>
      <c r="H72" s="21"/>
      <c r="I72" s="21"/>
      <c r="J72" s="21"/>
      <c r="K72" s="21"/>
      <c r="L72" s="21"/>
      <c r="M72" s="21"/>
      <c r="N72" s="20"/>
    </row>
    <row r="73" spans="1:14" x14ac:dyDescent="0.3">
      <c r="A73" s="18"/>
      <c r="B73" s="21"/>
      <c r="C73" s="21"/>
      <c r="D73" s="97">
        <v>44409</v>
      </c>
      <c r="E73" s="21"/>
      <c r="F73" s="21"/>
      <c r="G73" s="21"/>
      <c r="H73" s="21"/>
      <c r="I73" s="21"/>
      <c r="J73" s="21"/>
      <c r="K73" s="21"/>
      <c r="L73" s="21"/>
      <c r="M73" s="21"/>
      <c r="N73" s="20"/>
    </row>
    <row r="74" spans="1:14" x14ac:dyDescent="0.3">
      <c r="A74" s="18"/>
      <c r="B74" s="21"/>
      <c r="C74" s="21"/>
      <c r="D74" s="396">
        <v>47908</v>
      </c>
      <c r="E74" s="21"/>
      <c r="F74" s="21"/>
      <c r="G74" s="21"/>
      <c r="H74" s="21"/>
      <c r="I74" s="21"/>
      <c r="J74" s="21"/>
      <c r="K74" s="21"/>
      <c r="L74" s="21"/>
      <c r="M74" s="21"/>
      <c r="N74" s="20"/>
    </row>
    <row r="75" spans="1:14" x14ac:dyDescent="0.3">
      <c r="A75" s="18"/>
      <c r="B75" s="21"/>
      <c r="C75" s="21"/>
      <c r="D75" s="97">
        <v>47939</v>
      </c>
      <c r="E75" s="21"/>
      <c r="F75" s="21"/>
      <c r="G75" s="21"/>
      <c r="H75" s="21"/>
      <c r="I75" s="21"/>
      <c r="J75" s="21"/>
      <c r="K75" s="21"/>
      <c r="L75" s="21"/>
      <c r="M75" s="21"/>
      <c r="N75" s="20"/>
    </row>
    <row r="76" spans="1:14" x14ac:dyDescent="0.3">
      <c r="A76" s="18"/>
      <c r="B76" s="21"/>
      <c r="C76" s="21"/>
      <c r="D76" s="21"/>
      <c r="E76" s="21"/>
      <c r="F76" s="21"/>
      <c r="G76" s="21"/>
      <c r="H76" s="21"/>
      <c r="I76" s="21"/>
      <c r="J76" s="21"/>
      <c r="K76" s="21"/>
      <c r="L76" s="21"/>
      <c r="M76" s="21"/>
      <c r="N76" s="20"/>
    </row>
    <row r="77" spans="1:14" x14ac:dyDescent="0.3">
      <c r="A77" s="18"/>
      <c r="B77" s="21"/>
      <c r="C77" s="21"/>
      <c r="D77" s="21"/>
      <c r="E77" s="21"/>
      <c r="F77" s="21"/>
      <c r="G77" s="21"/>
      <c r="H77" s="21"/>
      <c r="I77" s="21"/>
      <c r="J77" s="21"/>
      <c r="K77" s="21"/>
      <c r="L77" s="21"/>
      <c r="M77" s="21"/>
      <c r="N77" s="20"/>
    </row>
    <row r="78" spans="1:14" ht="15" thickBot="1" x14ac:dyDescent="0.35">
      <c r="A78" s="22"/>
      <c r="B78" s="23"/>
      <c r="C78" s="23"/>
      <c r="D78" s="23"/>
      <c r="E78" s="23"/>
      <c r="F78" s="23"/>
      <c r="G78" s="23"/>
      <c r="H78" s="23"/>
      <c r="I78" s="23"/>
      <c r="J78" s="23"/>
      <c r="K78" s="23"/>
      <c r="L78" s="23"/>
      <c r="M78" s="23"/>
      <c r="N78" s="24"/>
    </row>
  </sheetData>
  <mergeCells count="28">
    <mergeCell ref="A7:M7"/>
    <mergeCell ref="A37:M37"/>
    <mergeCell ref="R17:X19"/>
    <mergeCell ref="Y17:Y19"/>
    <mergeCell ref="P20:Q22"/>
    <mergeCell ref="R20:X22"/>
    <mergeCell ref="Y20:Y22"/>
    <mergeCell ref="P26:Q28"/>
    <mergeCell ref="R26:X28"/>
    <mergeCell ref="Y26:Y28"/>
    <mergeCell ref="P8:Q10"/>
    <mergeCell ref="R8:X10"/>
    <mergeCell ref="Y8:Y10"/>
    <mergeCell ref="P11:Q13"/>
    <mergeCell ref="R11:X13"/>
    <mergeCell ref="Y11:Y13"/>
    <mergeCell ref="P23:Q25"/>
    <mergeCell ref="R23:X25"/>
    <mergeCell ref="Y23:Y25"/>
    <mergeCell ref="P14:Q16"/>
    <mergeCell ref="R14:X16"/>
    <mergeCell ref="Y14:Y16"/>
    <mergeCell ref="P17:Q19"/>
    <mergeCell ref="P3:Y3"/>
    <mergeCell ref="P4:Q6"/>
    <mergeCell ref="R4:Y6"/>
    <mergeCell ref="P7:Q7"/>
    <mergeCell ref="R7:X7"/>
  </mergeCell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AE81"/>
  <sheetViews>
    <sheetView zoomScaleNormal="100"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3.77734375" customWidth="1"/>
    <col min="4" max="4" width="8" customWidth="1"/>
    <col min="5" max="5" width="9.5546875" customWidth="1"/>
    <col min="6" max="6" width="11.21875" customWidth="1"/>
    <col min="7" max="7" width="11.44140625" customWidth="1"/>
    <col min="8" max="8" width="9.44140625" customWidth="1"/>
    <col min="9" max="10" width="17.77734375" customWidth="1"/>
    <col min="11" max="11" width="10.5546875" customWidth="1"/>
    <col min="12" max="12" width="10.77734375" customWidth="1"/>
    <col min="13" max="13" width="11.21875" customWidth="1"/>
    <col min="14" max="14" width="12.77734375" customWidth="1"/>
    <col min="15" max="15" width="8.77734375" customWidth="1"/>
    <col min="16" max="16" width="13" customWidth="1"/>
    <col min="17" max="17" width="16.5546875" customWidth="1"/>
    <col min="24" max="30" width="12" customWidth="1"/>
  </cols>
  <sheetData>
    <row r="1" spans="1:31" ht="34.5" customHeight="1" thickBot="1" x14ac:dyDescent="0.35">
      <c r="A1" s="292" t="s">
        <v>1580</v>
      </c>
      <c r="B1" s="473" t="e" vm="1">
        <v>#VALUE!</v>
      </c>
      <c r="C1" s="8" t="s">
        <v>278</v>
      </c>
      <c r="D1" s="27"/>
      <c r="E1" s="26"/>
      <c r="F1" s="26"/>
      <c r="G1" s="26"/>
      <c r="H1" s="26"/>
      <c r="I1" s="16"/>
      <c r="J1" s="16"/>
      <c r="K1" s="16"/>
      <c r="L1" s="16"/>
      <c r="M1" s="16"/>
      <c r="N1" s="16"/>
      <c r="O1" s="16"/>
      <c r="P1" s="16"/>
      <c r="Q1" s="16"/>
      <c r="R1" s="16"/>
      <c r="S1" s="16"/>
      <c r="T1" s="19"/>
    </row>
    <row r="2" spans="1:31" ht="15" customHeight="1" x14ac:dyDescent="0.3">
      <c r="A2" s="18"/>
      <c r="B2" s="25"/>
      <c r="C2" s="25"/>
      <c r="D2" s="21"/>
      <c r="E2" s="21"/>
      <c r="F2" s="21"/>
      <c r="G2" s="21"/>
      <c r="H2" s="21"/>
      <c r="I2" s="21"/>
      <c r="J2" s="21"/>
      <c r="K2" s="21"/>
      <c r="L2" s="21"/>
      <c r="M2" s="21"/>
      <c r="N2" s="21"/>
      <c r="O2" s="21"/>
      <c r="P2" s="21"/>
      <c r="Q2" s="21"/>
      <c r="R2" s="21"/>
      <c r="S2" s="21"/>
      <c r="T2" s="20"/>
    </row>
    <row r="3" spans="1:31" ht="15" customHeight="1" x14ac:dyDescent="0.3">
      <c r="A3" s="18"/>
      <c r="B3" s="21"/>
      <c r="C3" s="21"/>
      <c r="D3" s="26"/>
      <c r="E3" s="26"/>
      <c r="F3" s="26"/>
      <c r="G3" s="26"/>
      <c r="H3" s="26"/>
      <c r="I3" s="21"/>
      <c r="J3" s="21"/>
      <c r="K3" s="21"/>
      <c r="L3" s="21"/>
      <c r="M3" s="21"/>
      <c r="N3" s="21"/>
      <c r="O3" s="21"/>
      <c r="P3" s="21"/>
      <c r="Q3" s="21"/>
      <c r="R3" s="21"/>
      <c r="S3" s="21"/>
      <c r="T3" s="20"/>
      <c r="V3" s="486" t="s">
        <v>3412</v>
      </c>
      <c r="W3" s="486"/>
      <c r="X3" s="486"/>
      <c r="Y3" s="486"/>
      <c r="Z3" s="486"/>
      <c r="AA3" s="486"/>
      <c r="AB3" s="486"/>
      <c r="AC3" s="486"/>
      <c r="AD3" s="486"/>
      <c r="AE3" s="486"/>
    </row>
    <row r="4" spans="1:31" ht="15" customHeight="1" x14ac:dyDescent="0.3">
      <c r="A4" s="18"/>
      <c r="B4" s="21"/>
      <c r="C4" s="21"/>
      <c r="D4" s="26"/>
      <c r="E4" s="26"/>
      <c r="F4" s="26"/>
      <c r="G4" s="26"/>
      <c r="H4" s="26"/>
      <c r="I4" s="21"/>
      <c r="J4" s="21"/>
      <c r="K4" s="21"/>
      <c r="L4" s="21"/>
      <c r="M4" s="21"/>
      <c r="N4" s="21"/>
      <c r="O4" s="21"/>
      <c r="P4" s="21"/>
      <c r="Q4" s="21"/>
      <c r="R4" s="21"/>
      <c r="S4" s="21"/>
      <c r="T4" s="20"/>
      <c r="V4" s="487" t="s">
        <v>333</v>
      </c>
      <c r="W4" s="487"/>
      <c r="X4" s="487" t="s">
        <v>482</v>
      </c>
      <c r="Y4" s="487"/>
      <c r="Z4" s="487"/>
      <c r="AA4" s="487"/>
      <c r="AB4" s="487"/>
      <c r="AC4" s="487"/>
      <c r="AD4" s="487"/>
      <c r="AE4" s="487"/>
    </row>
    <row r="5" spans="1:31" ht="15" customHeight="1" x14ac:dyDescent="0.3">
      <c r="A5" s="18"/>
      <c r="B5" s="475" t="s">
        <v>279</v>
      </c>
      <c r="C5" s="475"/>
      <c r="D5" s="475"/>
      <c r="E5" s="475"/>
      <c r="F5" s="21"/>
      <c r="G5" s="26"/>
      <c r="H5" s="26"/>
      <c r="I5" s="475" t="s">
        <v>3412</v>
      </c>
      <c r="J5" s="475"/>
      <c r="K5" s="475"/>
      <c r="L5" s="475"/>
      <c r="M5" s="21"/>
      <c r="N5" s="21"/>
      <c r="O5" s="21"/>
      <c r="P5" s="21"/>
      <c r="Q5" s="21"/>
      <c r="R5" s="21"/>
      <c r="S5" s="21"/>
      <c r="T5" s="20"/>
      <c r="V5" s="487"/>
      <c r="W5" s="487"/>
      <c r="X5" s="487"/>
      <c r="Y5" s="487"/>
      <c r="Z5" s="487"/>
      <c r="AA5" s="487"/>
      <c r="AB5" s="487"/>
      <c r="AC5" s="487"/>
      <c r="AD5" s="487"/>
      <c r="AE5" s="487"/>
    </row>
    <row r="6" spans="1:31" x14ac:dyDescent="0.3">
      <c r="A6" s="18"/>
      <c r="B6" s="59" t="s">
        <v>280</v>
      </c>
      <c r="C6" s="60" t="s">
        <v>207</v>
      </c>
      <c r="D6" s="60" t="s">
        <v>281</v>
      </c>
      <c r="E6" s="60" t="e">
        <f>NA()</f>
        <v>#N/A</v>
      </c>
      <c r="F6" s="21"/>
      <c r="G6" s="21"/>
      <c r="H6" s="21"/>
      <c r="I6" s="3" t="str">
        <f t="array" ref="I6:L10">_xll.U.SUBRANGE(B6:E12,1,"B")</f>
        <v>B</v>
      </c>
      <c r="J6" s="3" t="str">
        <v>C</v>
      </c>
      <c r="K6" s="3" t="e">
        <v>#N/A</v>
      </c>
      <c r="L6" s="3" t="e">
        <v>#N/A</v>
      </c>
      <c r="M6" s="21"/>
      <c r="N6" s="21"/>
      <c r="O6" s="21"/>
      <c r="P6" s="21"/>
      <c r="Q6" s="21"/>
      <c r="R6" s="21"/>
      <c r="S6" s="21"/>
      <c r="T6" s="20"/>
      <c r="V6" s="487"/>
      <c r="W6" s="487"/>
      <c r="X6" s="487"/>
      <c r="Y6" s="487"/>
      <c r="Z6" s="487"/>
      <c r="AA6" s="487"/>
      <c r="AB6" s="487"/>
      <c r="AC6" s="487"/>
      <c r="AD6" s="487"/>
      <c r="AE6" s="487"/>
    </row>
    <row r="7" spans="1:31" x14ac:dyDescent="0.3">
      <c r="A7" s="18"/>
      <c r="B7" s="42">
        <v>1</v>
      </c>
      <c r="C7" s="42">
        <v>4</v>
      </c>
      <c r="D7" s="42">
        <v>7</v>
      </c>
      <c r="E7" s="44"/>
      <c r="F7" s="21"/>
      <c r="G7" s="21"/>
      <c r="H7" s="21"/>
      <c r="I7" s="30">
        <v>4</v>
      </c>
      <c r="J7" s="30">
        <v>7</v>
      </c>
      <c r="K7" s="30" t="e">
        <v>#N/A</v>
      </c>
      <c r="L7" s="36" t="e">
        <v>#N/A</v>
      </c>
      <c r="M7" s="21"/>
      <c r="N7" s="21"/>
      <c r="O7" s="21"/>
      <c r="P7" s="21"/>
      <c r="Q7" s="21"/>
      <c r="R7" s="21"/>
      <c r="S7" s="21"/>
      <c r="T7" s="20"/>
      <c r="V7" s="483" t="s">
        <v>323</v>
      </c>
      <c r="W7" s="483"/>
      <c r="X7" s="483" t="s">
        <v>1</v>
      </c>
      <c r="Y7" s="483"/>
      <c r="Z7" s="483"/>
      <c r="AA7" s="483"/>
      <c r="AB7" s="483"/>
      <c r="AC7" s="483"/>
      <c r="AD7" s="483"/>
      <c r="AE7" s="85" t="s">
        <v>324</v>
      </c>
    </row>
    <row r="8" spans="1:31" x14ac:dyDescent="0.3">
      <c r="A8" s="18"/>
      <c r="B8" s="42">
        <v>2</v>
      </c>
      <c r="C8" s="42">
        <v>5</v>
      </c>
      <c r="D8" s="42">
        <v>8</v>
      </c>
      <c r="E8" s="44"/>
      <c r="F8" s="21"/>
      <c r="G8" s="21"/>
      <c r="H8" s="21"/>
      <c r="I8" s="30">
        <v>5</v>
      </c>
      <c r="J8" s="30">
        <v>8</v>
      </c>
      <c r="K8" s="30" t="e">
        <v>#N/A</v>
      </c>
      <c r="L8" s="36" t="e">
        <v>#N/A</v>
      </c>
      <c r="M8" s="21"/>
      <c r="N8" s="21"/>
      <c r="O8" s="21"/>
      <c r="P8" s="21"/>
      <c r="Q8" s="21"/>
      <c r="R8" s="21"/>
      <c r="S8" s="21"/>
      <c r="T8" s="20"/>
      <c r="V8" s="487" t="s">
        <v>477</v>
      </c>
      <c r="W8" s="487"/>
      <c r="X8" s="487" t="s">
        <v>2967</v>
      </c>
      <c r="Y8" s="487"/>
      <c r="Z8" s="487"/>
      <c r="AA8" s="487"/>
      <c r="AB8" s="487"/>
      <c r="AC8" s="487"/>
      <c r="AD8" s="487"/>
      <c r="AE8" s="509" t="s">
        <v>325</v>
      </c>
    </row>
    <row r="9" spans="1:31" x14ac:dyDescent="0.3">
      <c r="A9" s="18"/>
      <c r="B9" s="42">
        <v>3</v>
      </c>
      <c r="C9" s="42">
        <v>6</v>
      </c>
      <c r="D9" s="42">
        <v>9</v>
      </c>
      <c r="E9" s="44"/>
      <c r="F9" s="21"/>
      <c r="G9" s="21"/>
      <c r="H9" s="21"/>
      <c r="I9" s="30">
        <v>6</v>
      </c>
      <c r="J9" s="30">
        <v>9</v>
      </c>
      <c r="K9" s="30" t="e">
        <v>#N/A</v>
      </c>
      <c r="L9" s="36" t="e">
        <v>#N/A</v>
      </c>
      <c r="M9" s="21"/>
      <c r="N9" s="21"/>
      <c r="O9" s="21"/>
      <c r="P9" s="21"/>
      <c r="Q9" s="21"/>
      <c r="R9" s="21"/>
      <c r="S9" s="21"/>
      <c r="T9" s="20"/>
      <c r="V9" s="487"/>
      <c r="W9" s="487"/>
      <c r="X9" s="487"/>
      <c r="Y9" s="487"/>
      <c r="Z9" s="487"/>
      <c r="AA9" s="487"/>
      <c r="AB9" s="487"/>
      <c r="AC9" s="487"/>
      <c r="AD9" s="487"/>
      <c r="AE9" s="509"/>
    </row>
    <row r="10" spans="1:31" x14ac:dyDescent="0.3">
      <c r="A10" s="18"/>
      <c r="B10" s="42"/>
      <c r="C10" s="42" t="e">
        <f>1/0</f>
        <v>#DIV/0!</v>
      </c>
      <c r="D10" s="42"/>
      <c r="E10" s="42" t="e">
        <f>1/0</f>
        <v>#DIV/0!</v>
      </c>
      <c r="F10" s="21"/>
      <c r="G10" s="21"/>
      <c r="H10" s="21"/>
      <c r="I10" s="30" t="e">
        <v>#N/A</v>
      </c>
      <c r="J10" s="30" t="e">
        <v>#N/A</v>
      </c>
      <c r="K10" s="30" t="e">
        <v>#N/A</v>
      </c>
      <c r="L10" s="36" t="e">
        <v>#N/A</v>
      </c>
      <c r="M10" s="21"/>
      <c r="N10" s="21"/>
      <c r="O10" s="21"/>
      <c r="P10" s="21"/>
      <c r="Q10" s="21"/>
      <c r="R10" s="21"/>
      <c r="S10" s="21"/>
      <c r="T10" s="20"/>
      <c r="V10" s="487"/>
      <c r="W10" s="487"/>
      <c r="X10" s="487"/>
      <c r="Y10" s="487"/>
      <c r="Z10" s="487"/>
      <c r="AA10" s="487"/>
      <c r="AB10" s="487"/>
      <c r="AC10" s="487"/>
      <c r="AD10" s="487"/>
      <c r="AE10" s="509"/>
    </row>
    <row r="11" spans="1:31" x14ac:dyDescent="0.3">
      <c r="A11" s="18"/>
      <c r="B11" s="42"/>
      <c r="C11" s="42"/>
      <c r="D11" s="42"/>
      <c r="E11" s="44"/>
      <c r="F11" s="21"/>
      <c r="G11" s="21"/>
      <c r="H11" s="21"/>
      <c r="I11" s="21"/>
      <c r="J11" s="21"/>
      <c r="K11" s="21"/>
      <c r="L11" s="21"/>
      <c r="M11" s="21"/>
      <c r="N11" s="21"/>
      <c r="O11" s="21"/>
      <c r="P11" s="21"/>
      <c r="Q11" s="21"/>
      <c r="R11" s="21"/>
      <c r="S11" s="21"/>
      <c r="T11" s="20"/>
      <c r="V11" s="484" t="s">
        <v>478</v>
      </c>
      <c r="W11" s="484"/>
      <c r="X11" s="484" t="s">
        <v>483</v>
      </c>
      <c r="Y11" s="484"/>
      <c r="Z11" s="484"/>
      <c r="AA11" s="484"/>
      <c r="AB11" s="484"/>
      <c r="AC11" s="484"/>
      <c r="AD11" s="484"/>
      <c r="AE11" s="485" t="s">
        <v>326</v>
      </c>
    </row>
    <row r="12" spans="1:31" x14ac:dyDescent="0.3">
      <c r="A12" s="18"/>
      <c r="B12" s="42" t="e">
        <f>1/0</f>
        <v>#DIV/0!</v>
      </c>
      <c r="C12" s="42" t="e">
        <f>1/0</f>
        <v>#DIV/0!</v>
      </c>
      <c r="D12" s="42" t="e">
        <f>1/0</f>
        <v>#DIV/0!</v>
      </c>
      <c r="E12" s="42" t="e">
        <f>1/0</f>
        <v>#DIV/0!</v>
      </c>
      <c r="F12" s="21"/>
      <c r="G12" s="21"/>
      <c r="H12" s="21"/>
      <c r="I12" s="21"/>
      <c r="J12" s="21"/>
      <c r="K12" s="21"/>
      <c r="L12" s="21"/>
      <c r="M12" s="21"/>
      <c r="N12" s="21"/>
      <c r="O12" s="21"/>
      <c r="P12" s="21"/>
      <c r="Q12" s="21"/>
      <c r="R12" s="21"/>
      <c r="S12" s="21"/>
      <c r="T12" s="20"/>
      <c r="V12" s="484"/>
      <c r="W12" s="484"/>
      <c r="X12" s="484"/>
      <c r="Y12" s="484"/>
      <c r="Z12" s="484"/>
      <c r="AA12" s="484"/>
      <c r="AB12" s="484"/>
      <c r="AC12" s="484"/>
      <c r="AD12" s="484"/>
      <c r="AE12" s="485"/>
    </row>
    <row r="13" spans="1:31" x14ac:dyDescent="0.3">
      <c r="A13" s="18"/>
      <c r="B13" s="21"/>
      <c r="C13" s="21"/>
      <c r="D13" s="21"/>
      <c r="E13" s="21"/>
      <c r="F13" s="21"/>
      <c r="G13" s="21"/>
      <c r="H13" s="21"/>
      <c r="I13" s="21"/>
      <c r="J13" s="21"/>
      <c r="K13" s="21"/>
      <c r="L13" s="21"/>
      <c r="M13" s="21"/>
      <c r="N13" s="21"/>
      <c r="O13" s="21"/>
      <c r="P13" s="21"/>
      <c r="Q13" s="21"/>
      <c r="R13" s="21"/>
      <c r="S13" s="21"/>
      <c r="T13" s="20"/>
      <c r="V13" s="484"/>
      <c r="W13" s="484"/>
      <c r="X13" s="484"/>
      <c r="Y13" s="484"/>
      <c r="Z13" s="484"/>
      <c r="AA13" s="484"/>
      <c r="AB13" s="484"/>
      <c r="AC13" s="484"/>
      <c r="AD13" s="484"/>
      <c r="AE13" s="485"/>
    </row>
    <row r="14" spans="1:31" x14ac:dyDescent="0.3">
      <c r="A14" s="18"/>
      <c r="B14" s="21"/>
      <c r="C14" s="21"/>
      <c r="D14" s="21"/>
      <c r="E14" s="21"/>
      <c r="F14" s="21"/>
      <c r="G14" s="21"/>
      <c r="H14" s="21"/>
      <c r="I14" s="21"/>
      <c r="J14" s="21"/>
      <c r="K14" s="21"/>
      <c r="L14" s="21"/>
      <c r="M14" s="21"/>
      <c r="N14" s="21"/>
      <c r="O14" s="21"/>
      <c r="P14" s="21"/>
      <c r="Q14" s="21"/>
      <c r="R14" s="21"/>
      <c r="S14" s="21"/>
      <c r="T14" s="20"/>
      <c r="V14" s="484" t="s">
        <v>479</v>
      </c>
      <c r="W14" s="484"/>
      <c r="X14" s="484" t="s">
        <v>484</v>
      </c>
      <c r="Y14" s="484"/>
      <c r="Z14" s="484"/>
      <c r="AA14" s="484"/>
      <c r="AB14" s="484"/>
      <c r="AC14" s="484"/>
      <c r="AD14" s="484"/>
      <c r="AE14" s="485" t="s">
        <v>326</v>
      </c>
    </row>
    <row r="15" spans="1:31" x14ac:dyDescent="0.3">
      <c r="A15" s="18"/>
      <c r="B15" s="21"/>
      <c r="C15" s="21"/>
      <c r="D15" s="21"/>
      <c r="E15" s="21"/>
      <c r="F15" s="21"/>
      <c r="G15" s="21"/>
      <c r="H15" s="21"/>
      <c r="I15" s="475" t="s">
        <v>3412</v>
      </c>
      <c r="J15" s="475"/>
      <c r="K15" s="475"/>
      <c r="L15" s="475"/>
      <c r="M15" s="21"/>
      <c r="N15" s="21"/>
      <c r="O15" s="21"/>
      <c r="P15" s="21"/>
      <c r="Q15" s="21"/>
      <c r="R15" s="21"/>
      <c r="S15" s="21"/>
      <c r="T15" s="20"/>
      <c r="V15" s="484"/>
      <c r="W15" s="484"/>
      <c r="X15" s="484"/>
      <c r="Y15" s="484"/>
      <c r="Z15" s="484"/>
      <c r="AA15" s="484"/>
      <c r="AB15" s="484"/>
      <c r="AC15" s="484"/>
      <c r="AD15" s="484"/>
      <c r="AE15" s="485"/>
    </row>
    <row r="16" spans="1:31" x14ac:dyDescent="0.3">
      <c r="A16" s="18"/>
      <c r="B16" s="21"/>
      <c r="C16" s="21"/>
      <c r="D16" s="21"/>
      <c r="E16" s="21"/>
      <c r="F16" s="21"/>
      <c r="G16" s="21"/>
      <c r="H16" s="21"/>
      <c r="I16" s="3" t="str">
        <f t="array" ref="I16:L20">_xll.U.SUBRANGE(B6:E12,1,1,2,3)</f>
        <v>A</v>
      </c>
      <c r="J16" s="3" t="str">
        <v>B</v>
      </c>
      <c r="K16" s="3" t="str">
        <v>C</v>
      </c>
      <c r="L16" s="3" t="e">
        <v>#N/A</v>
      </c>
      <c r="M16" s="21"/>
      <c r="N16" s="21"/>
      <c r="O16" s="21"/>
      <c r="P16" s="21"/>
      <c r="Q16" s="21"/>
      <c r="R16" s="21"/>
      <c r="S16" s="21"/>
      <c r="T16" s="20"/>
      <c r="V16" s="484"/>
      <c r="W16" s="484"/>
      <c r="X16" s="484"/>
      <c r="Y16" s="484"/>
      <c r="Z16" s="484"/>
      <c r="AA16" s="484"/>
      <c r="AB16" s="484"/>
      <c r="AC16" s="484"/>
      <c r="AD16" s="484"/>
      <c r="AE16" s="485"/>
    </row>
    <row r="17" spans="1:31" ht="15" customHeight="1" x14ac:dyDescent="0.3">
      <c r="A17" s="18"/>
      <c r="B17" s="21"/>
      <c r="C17" s="21"/>
      <c r="D17" s="21"/>
      <c r="E17" s="21"/>
      <c r="F17" s="21"/>
      <c r="G17" s="21"/>
      <c r="H17" s="21"/>
      <c r="I17" s="30">
        <v>1</v>
      </c>
      <c r="J17" s="30">
        <v>4</v>
      </c>
      <c r="K17" s="30">
        <v>7</v>
      </c>
      <c r="L17" s="36" t="e">
        <v>#N/A</v>
      </c>
      <c r="M17" s="21"/>
      <c r="N17" s="21"/>
      <c r="O17" s="21"/>
      <c r="P17" s="21"/>
      <c r="Q17" s="21"/>
      <c r="R17" s="21"/>
      <c r="S17" s="21"/>
      <c r="T17" s="20"/>
      <c r="V17" s="484" t="s">
        <v>480</v>
      </c>
      <c r="W17" s="484"/>
      <c r="X17" s="484" t="s">
        <v>485</v>
      </c>
      <c r="Y17" s="484"/>
      <c r="Z17" s="484"/>
      <c r="AA17" s="484"/>
      <c r="AB17" s="484"/>
      <c r="AC17" s="484"/>
      <c r="AD17" s="484"/>
      <c r="AE17" s="485" t="s">
        <v>326</v>
      </c>
    </row>
    <row r="18" spans="1:31" x14ac:dyDescent="0.3">
      <c r="A18" s="18"/>
      <c r="B18" s="21"/>
      <c r="C18" s="21"/>
      <c r="D18" s="21"/>
      <c r="E18" s="21"/>
      <c r="F18" s="21"/>
      <c r="G18" s="21"/>
      <c r="H18" s="21"/>
      <c r="I18" s="30" t="e">
        <v>#N/A</v>
      </c>
      <c r="J18" s="30" t="e">
        <v>#N/A</v>
      </c>
      <c r="K18" s="30" t="e">
        <v>#N/A</v>
      </c>
      <c r="L18" s="36" t="e">
        <v>#N/A</v>
      </c>
      <c r="M18" s="21"/>
      <c r="N18" s="21"/>
      <c r="O18" s="21"/>
      <c r="P18" s="21"/>
      <c r="Q18" s="21"/>
      <c r="R18" s="21"/>
      <c r="S18" s="21"/>
      <c r="T18" s="20"/>
      <c r="V18" s="484"/>
      <c r="W18" s="484"/>
      <c r="X18" s="484"/>
      <c r="Y18" s="484"/>
      <c r="Z18" s="484"/>
      <c r="AA18" s="484"/>
      <c r="AB18" s="484"/>
      <c r="AC18" s="484"/>
      <c r="AD18" s="484"/>
      <c r="AE18" s="485"/>
    </row>
    <row r="19" spans="1:31" x14ac:dyDescent="0.3">
      <c r="A19" s="18"/>
      <c r="B19" s="21"/>
      <c r="C19" s="21"/>
      <c r="D19" s="21"/>
      <c r="E19" s="21"/>
      <c r="F19" s="21"/>
      <c r="G19" s="21"/>
      <c r="H19" s="21"/>
      <c r="I19" s="30" t="e">
        <v>#N/A</v>
      </c>
      <c r="J19" s="30" t="e">
        <v>#N/A</v>
      </c>
      <c r="K19" s="30" t="e">
        <v>#N/A</v>
      </c>
      <c r="L19" s="36" t="e">
        <v>#N/A</v>
      </c>
      <c r="M19" s="21"/>
      <c r="N19" s="21"/>
      <c r="O19" s="21"/>
      <c r="P19" s="21"/>
      <c r="Q19" s="21"/>
      <c r="R19" s="21"/>
      <c r="S19" s="21"/>
      <c r="T19" s="20"/>
      <c r="V19" s="484"/>
      <c r="W19" s="484"/>
      <c r="X19" s="484"/>
      <c r="Y19" s="484"/>
      <c r="Z19" s="484"/>
      <c r="AA19" s="484"/>
      <c r="AB19" s="484"/>
      <c r="AC19" s="484"/>
      <c r="AD19" s="484"/>
      <c r="AE19" s="485"/>
    </row>
    <row r="20" spans="1:31" ht="15" customHeight="1" x14ac:dyDescent="0.3">
      <c r="A20" s="18"/>
      <c r="B20" s="21"/>
      <c r="C20" s="21"/>
      <c r="D20" s="21"/>
      <c r="E20" s="21"/>
      <c r="F20" s="21"/>
      <c r="G20" s="21"/>
      <c r="H20" s="21"/>
      <c r="I20" s="30" t="e">
        <v>#N/A</v>
      </c>
      <c r="J20" s="30" t="e">
        <v>#N/A</v>
      </c>
      <c r="K20" s="30" t="e">
        <v>#N/A</v>
      </c>
      <c r="L20" s="36" t="e">
        <v>#N/A</v>
      </c>
      <c r="M20" s="21"/>
      <c r="N20" s="21"/>
      <c r="O20" s="21"/>
      <c r="P20" s="21"/>
      <c r="Q20" s="21"/>
      <c r="R20" s="21"/>
      <c r="S20" s="21"/>
      <c r="T20" s="20"/>
      <c r="V20" s="484" t="s">
        <v>481</v>
      </c>
      <c r="W20" s="484"/>
      <c r="X20" s="484" t="s">
        <v>486</v>
      </c>
      <c r="Y20" s="484"/>
      <c r="Z20" s="484"/>
      <c r="AA20" s="484"/>
      <c r="AB20" s="484"/>
      <c r="AC20" s="484"/>
      <c r="AD20" s="484"/>
      <c r="AE20" s="485" t="s">
        <v>326</v>
      </c>
    </row>
    <row r="21" spans="1:31" x14ac:dyDescent="0.3">
      <c r="A21" s="18"/>
      <c r="B21" s="21"/>
      <c r="C21" s="21"/>
      <c r="D21" s="21"/>
      <c r="E21" s="21"/>
      <c r="F21" s="21"/>
      <c r="G21" s="21"/>
      <c r="H21" s="21"/>
      <c r="I21" s="21"/>
      <c r="J21" s="21"/>
      <c r="K21" s="21"/>
      <c r="L21" s="21"/>
      <c r="M21" s="21"/>
      <c r="N21" s="21"/>
      <c r="O21" s="21"/>
      <c r="P21" s="21"/>
      <c r="Q21" s="21"/>
      <c r="R21" s="21"/>
      <c r="S21" s="21"/>
      <c r="T21" s="20"/>
      <c r="V21" s="484"/>
      <c r="W21" s="484"/>
      <c r="X21" s="484"/>
      <c r="Y21" s="484"/>
      <c r="Z21" s="484"/>
      <c r="AA21" s="484"/>
      <c r="AB21" s="484"/>
      <c r="AC21" s="484"/>
      <c r="AD21" s="484"/>
      <c r="AE21" s="485"/>
    </row>
    <row r="22" spans="1:31" x14ac:dyDescent="0.3">
      <c r="A22" s="18"/>
      <c r="B22" s="21"/>
      <c r="C22" s="21"/>
      <c r="D22" s="21"/>
      <c r="E22" s="21"/>
      <c r="F22" s="21"/>
      <c r="G22" s="21"/>
      <c r="H22" s="21"/>
      <c r="I22" s="21"/>
      <c r="J22" s="21"/>
      <c r="K22" s="21"/>
      <c r="L22" s="21"/>
      <c r="M22" s="21"/>
      <c r="N22" s="21"/>
      <c r="O22" s="21"/>
      <c r="P22" s="21"/>
      <c r="Q22" s="21"/>
      <c r="R22" s="21"/>
      <c r="S22" s="21"/>
      <c r="T22" s="20"/>
      <c r="V22" s="484"/>
      <c r="W22" s="484"/>
      <c r="X22" s="484"/>
      <c r="Y22" s="484"/>
      <c r="Z22" s="484"/>
      <c r="AA22" s="484"/>
      <c r="AB22" s="484"/>
      <c r="AC22" s="484"/>
      <c r="AD22" s="484"/>
      <c r="AE22" s="485"/>
    </row>
    <row r="23" spans="1:31" ht="15" customHeight="1" x14ac:dyDescent="0.3">
      <c r="A23" s="18"/>
      <c r="B23" s="21"/>
      <c r="C23" s="21"/>
      <c r="D23" s="21"/>
      <c r="E23" s="21"/>
      <c r="F23" s="21"/>
      <c r="G23" s="21"/>
      <c r="H23" s="21"/>
      <c r="I23" s="475" t="s">
        <v>3412</v>
      </c>
      <c r="J23" s="475"/>
      <c r="K23" s="475"/>
      <c r="L23" s="475"/>
      <c r="M23" s="21"/>
      <c r="N23" s="21"/>
      <c r="O23" s="21"/>
      <c r="P23" s="21"/>
      <c r="Q23" s="21"/>
      <c r="R23" s="21"/>
      <c r="S23" s="21"/>
      <c r="T23" s="20"/>
      <c r="V23" s="484" t="s">
        <v>531</v>
      </c>
      <c r="W23" s="484"/>
      <c r="X23" s="484" t="s">
        <v>2651</v>
      </c>
      <c r="Y23" s="484"/>
      <c r="Z23" s="484"/>
      <c r="AA23" s="484"/>
      <c r="AB23" s="484"/>
      <c r="AC23" s="484"/>
      <c r="AD23" s="484"/>
      <c r="AE23" s="485" t="s">
        <v>326</v>
      </c>
    </row>
    <row r="24" spans="1:31" x14ac:dyDescent="0.3">
      <c r="A24" s="18"/>
      <c r="B24" s="21"/>
      <c r="C24" s="21"/>
      <c r="D24" s="21"/>
      <c r="E24" s="21"/>
      <c r="F24" s="21"/>
      <c r="G24" s="21"/>
      <c r="H24" s="21"/>
      <c r="I24" s="3" t="str">
        <f t="array" ref="I24:L28">_xll.U.SUBRANGE(B6:E12,1,1,-5,-3)</f>
        <v>A</v>
      </c>
      <c r="J24" s="3" t="str">
        <v>B</v>
      </c>
      <c r="K24" s="3" t="e">
        <v>#N/A</v>
      </c>
      <c r="L24" s="3" t="e">
        <v>#N/A</v>
      </c>
      <c r="M24" s="21"/>
      <c r="N24" s="21"/>
      <c r="O24" s="21"/>
      <c r="P24" s="21"/>
      <c r="Q24" s="21"/>
      <c r="R24" s="21"/>
      <c r="S24" s="21"/>
      <c r="T24" s="20"/>
      <c r="V24" s="484"/>
      <c r="W24" s="484"/>
      <c r="X24" s="484"/>
      <c r="Y24" s="484"/>
      <c r="Z24" s="484"/>
      <c r="AA24" s="484"/>
      <c r="AB24" s="484"/>
      <c r="AC24" s="484"/>
      <c r="AD24" s="484"/>
      <c r="AE24" s="485"/>
    </row>
    <row r="25" spans="1:31" x14ac:dyDescent="0.3">
      <c r="A25" s="18"/>
      <c r="B25" s="21"/>
      <c r="C25" s="21"/>
      <c r="D25" s="21"/>
      <c r="E25" s="21"/>
      <c r="F25" s="21"/>
      <c r="G25" s="21"/>
      <c r="H25" s="21"/>
      <c r="I25" s="30">
        <v>1</v>
      </c>
      <c r="J25" s="30">
        <v>4</v>
      </c>
      <c r="K25" s="30" t="e">
        <v>#N/A</v>
      </c>
      <c r="L25" s="36" t="e">
        <v>#N/A</v>
      </c>
      <c r="M25" s="21"/>
      <c r="N25" s="21"/>
      <c r="O25" s="21"/>
      <c r="P25" s="21"/>
      <c r="Q25" s="21"/>
      <c r="R25" s="21"/>
      <c r="S25" s="21"/>
      <c r="T25" s="20"/>
      <c r="V25" s="484"/>
      <c r="W25" s="484"/>
      <c r="X25" s="484"/>
      <c r="Y25" s="484"/>
      <c r="Z25" s="484"/>
      <c r="AA25" s="484"/>
      <c r="AB25" s="484"/>
      <c r="AC25" s="484"/>
      <c r="AD25" s="484"/>
      <c r="AE25" s="485"/>
    </row>
    <row r="26" spans="1:31" x14ac:dyDescent="0.3">
      <c r="A26" s="18"/>
      <c r="B26" s="21"/>
      <c r="C26" s="21"/>
      <c r="D26" s="21"/>
      <c r="E26" s="21"/>
      <c r="F26" s="21"/>
      <c r="G26" s="21"/>
      <c r="H26" s="21"/>
      <c r="I26" s="30">
        <v>2</v>
      </c>
      <c r="J26" s="30">
        <v>5</v>
      </c>
      <c r="K26" s="30" t="e">
        <v>#N/A</v>
      </c>
      <c r="L26" s="36" t="e">
        <v>#N/A</v>
      </c>
      <c r="M26" s="21"/>
      <c r="N26" s="21"/>
      <c r="O26" s="21"/>
      <c r="P26" s="21"/>
      <c r="Q26" s="21"/>
      <c r="R26" s="21"/>
      <c r="S26" s="21"/>
      <c r="T26" s="20"/>
      <c r="V26" s="126" t="s">
        <v>328</v>
      </c>
    </row>
    <row r="27" spans="1:31" x14ac:dyDescent="0.3">
      <c r="A27" s="18"/>
      <c r="B27" s="21"/>
      <c r="C27" s="21"/>
      <c r="D27" s="21"/>
      <c r="E27" s="21"/>
      <c r="F27" s="21"/>
      <c r="G27" s="21"/>
      <c r="H27" s="21"/>
      <c r="I27" s="30" t="e">
        <v>#N/A</v>
      </c>
      <c r="J27" s="30" t="e">
        <v>#N/A</v>
      </c>
      <c r="K27" s="30" t="e">
        <v>#N/A</v>
      </c>
      <c r="L27" s="36" t="e">
        <v>#N/A</v>
      </c>
      <c r="M27" s="21"/>
      <c r="N27" s="21"/>
      <c r="O27" s="21"/>
      <c r="P27" s="21"/>
      <c r="Q27" s="21"/>
      <c r="R27" s="21"/>
      <c r="S27" s="21"/>
      <c r="T27" s="20"/>
    </row>
    <row r="28" spans="1:31" x14ac:dyDescent="0.3">
      <c r="A28" s="18"/>
      <c r="B28" s="21"/>
      <c r="C28" s="21"/>
      <c r="D28" s="21"/>
      <c r="E28" s="21"/>
      <c r="F28" s="21"/>
      <c r="G28" s="21"/>
      <c r="H28" s="21"/>
      <c r="I28" s="30" t="e">
        <v>#N/A</v>
      </c>
      <c r="J28" s="30" t="e">
        <v>#N/A</v>
      </c>
      <c r="K28" s="30" t="e">
        <v>#N/A</v>
      </c>
      <c r="L28" s="36" t="e">
        <v>#N/A</v>
      </c>
      <c r="M28" s="21"/>
      <c r="N28" s="21"/>
      <c r="O28" s="21"/>
      <c r="P28" s="21"/>
      <c r="Q28" s="21"/>
      <c r="R28" s="21"/>
      <c r="S28" s="21"/>
      <c r="T28" s="20"/>
    </row>
    <row r="29" spans="1:31" x14ac:dyDescent="0.3">
      <c r="A29" s="18"/>
      <c r="B29" s="21"/>
      <c r="C29" s="21"/>
      <c r="D29" s="21"/>
      <c r="E29" s="21"/>
      <c r="F29" s="21"/>
      <c r="G29" s="21"/>
      <c r="H29" s="21"/>
      <c r="I29" s="21"/>
      <c r="J29" s="21"/>
      <c r="K29" s="21"/>
      <c r="L29" s="21"/>
      <c r="M29" s="21"/>
      <c r="N29" s="21"/>
      <c r="O29" s="21"/>
      <c r="P29" s="21"/>
      <c r="Q29" s="21"/>
      <c r="R29" s="21"/>
      <c r="S29" s="21"/>
      <c r="T29" s="20"/>
    </row>
    <row r="30" spans="1:31" x14ac:dyDescent="0.3">
      <c r="A30" s="18"/>
      <c r="B30" s="21"/>
      <c r="C30" s="21"/>
      <c r="D30" s="21"/>
      <c r="E30" s="21"/>
      <c r="F30" s="21"/>
      <c r="G30" s="21"/>
      <c r="H30" s="21"/>
      <c r="I30" s="21"/>
      <c r="J30" s="21"/>
      <c r="K30" s="21"/>
      <c r="L30" s="21"/>
      <c r="M30" s="21"/>
      <c r="N30" s="21"/>
      <c r="O30" s="21"/>
      <c r="P30" s="21"/>
      <c r="Q30" s="21"/>
      <c r="R30" s="21"/>
      <c r="S30" s="21"/>
      <c r="T30" s="20"/>
    </row>
    <row r="31" spans="1:31" x14ac:dyDescent="0.3">
      <c r="A31" s="18"/>
      <c r="B31" s="21"/>
      <c r="C31" s="21"/>
      <c r="D31" s="21"/>
      <c r="E31" s="21"/>
      <c r="F31" s="21"/>
      <c r="G31" s="21"/>
      <c r="H31" s="21"/>
      <c r="I31" s="67"/>
      <c r="J31" s="67"/>
      <c r="K31" s="67"/>
      <c r="L31" s="67"/>
      <c r="M31" s="67"/>
      <c r="N31" s="67"/>
      <c r="O31" s="67"/>
      <c r="P31" s="67"/>
      <c r="Q31" s="67"/>
      <c r="R31" s="21"/>
      <c r="S31" s="21"/>
      <c r="T31" s="20"/>
    </row>
    <row r="32" spans="1:31" x14ac:dyDescent="0.3">
      <c r="A32" s="18"/>
      <c r="B32" s="21"/>
      <c r="C32" s="21"/>
      <c r="D32" s="21"/>
      <c r="E32" s="21"/>
      <c r="F32" s="21"/>
      <c r="G32" s="21"/>
      <c r="H32" s="21"/>
      <c r="I32" s="21"/>
      <c r="J32" s="21"/>
      <c r="K32" s="21"/>
      <c r="L32" s="21"/>
      <c r="M32" s="21"/>
      <c r="N32" s="21"/>
      <c r="O32" s="21"/>
      <c r="P32" s="21"/>
      <c r="Q32" s="21"/>
      <c r="R32" s="21"/>
      <c r="S32" s="21"/>
      <c r="T32" s="20"/>
    </row>
    <row r="33" spans="1:20" x14ac:dyDescent="0.3">
      <c r="A33" s="18"/>
      <c r="B33" s="475" t="s">
        <v>279</v>
      </c>
      <c r="C33" s="475"/>
      <c r="D33" s="475"/>
      <c r="E33" s="475"/>
      <c r="F33" s="21"/>
      <c r="G33" s="21"/>
      <c r="H33" s="21"/>
      <c r="I33" s="475" t="s">
        <v>3412</v>
      </c>
      <c r="J33" s="475"/>
      <c r="K33" s="475"/>
      <c r="L33" s="475"/>
      <c r="M33" s="21"/>
      <c r="N33" s="21"/>
      <c r="O33" s="21"/>
      <c r="P33" s="21"/>
      <c r="Q33" s="21"/>
      <c r="R33" s="21"/>
      <c r="S33" s="21"/>
      <c r="T33" s="20"/>
    </row>
    <row r="34" spans="1:20" x14ac:dyDescent="0.3">
      <c r="A34" s="18"/>
      <c r="B34" s="42" t="e">
        <f>1/0</f>
        <v>#DIV/0!</v>
      </c>
      <c r="C34" s="42" t="e">
        <f>NA()</f>
        <v>#N/A</v>
      </c>
      <c r="D34" s="42"/>
      <c r="E34" s="44"/>
      <c r="F34" s="21"/>
      <c r="G34" s="21"/>
      <c r="H34" s="21"/>
      <c r="I34" s="1" t="str">
        <f t="array" ref="I34:L38">_xll.U.SUBRANGE(B34:E40)</f>
        <v>a</v>
      </c>
      <c r="J34" s="1">
        <v>1</v>
      </c>
      <c r="K34" s="1" t="e">
        <v>#N/A</v>
      </c>
      <c r="L34" s="1" t="e">
        <v>#N/A</v>
      </c>
      <c r="M34" s="21"/>
      <c r="N34" s="21"/>
      <c r="O34" s="21"/>
      <c r="P34" s="21"/>
      <c r="Q34" s="21"/>
      <c r="R34" s="21"/>
      <c r="S34" s="21"/>
      <c r="T34" s="20"/>
    </row>
    <row r="35" spans="1:20" x14ac:dyDescent="0.3">
      <c r="A35" s="18"/>
      <c r="B35" s="42"/>
      <c r="C35" s="42" t="s">
        <v>77</v>
      </c>
      <c r="D35" s="42">
        <v>1</v>
      </c>
      <c r="E35" s="44"/>
      <c r="F35" s="21"/>
      <c r="G35" s="21"/>
      <c r="H35" s="21"/>
      <c r="I35" s="30" t="str">
        <v>b</v>
      </c>
      <c r="J35" s="30">
        <v>2</v>
      </c>
      <c r="K35" s="30" t="e">
        <v>#N/A</v>
      </c>
      <c r="L35" s="36" t="e">
        <v>#N/A</v>
      </c>
      <c r="M35" s="21"/>
      <c r="N35" s="21"/>
      <c r="O35" s="21"/>
      <c r="P35" s="21"/>
      <c r="Q35" s="21"/>
      <c r="R35" s="21"/>
      <c r="S35" s="21"/>
      <c r="T35" s="20"/>
    </row>
    <row r="36" spans="1:20" x14ac:dyDescent="0.3">
      <c r="A36" s="18"/>
      <c r="B36" s="42" t="e">
        <f>1/0</f>
        <v>#DIV/0!</v>
      </c>
      <c r="C36" s="42" t="s">
        <v>78</v>
      </c>
      <c r="D36" s="42">
        <v>2</v>
      </c>
      <c r="E36" s="44"/>
      <c r="F36" s="21"/>
      <c r="G36" s="21"/>
      <c r="H36" s="21"/>
      <c r="I36" s="30" t="str">
        <v>c</v>
      </c>
      <c r="J36" s="30">
        <v>3</v>
      </c>
      <c r="K36" s="30" t="e">
        <v>#N/A</v>
      </c>
      <c r="L36" s="36" t="e">
        <v>#N/A</v>
      </c>
      <c r="M36" s="21"/>
      <c r="N36" s="21"/>
      <c r="O36" s="21"/>
      <c r="P36" s="21"/>
      <c r="Q36" s="21"/>
      <c r="R36" s="21"/>
      <c r="S36" s="21"/>
      <c r="T36" s="20"/>
    </row>
    <row r="37" spans="1:20" x14ac:dyDescent="0.3">
      <c r="A37" s="18"/>
      <c r="B37" s="42"/>
      <c r="C37" s="42" t="s">
        <v>79</v>
      </c>
      <c r="D37" s="42">
        <v>3</v>
      </c>
      <c r="E37" s="44"/>
      <c r="F37" s="21"/>
      <c r="G37" s="21"/>
      <c r="H37" s="21"/>
      <c r="I37" s="30" t="e">
        <v>#N/A</v>
      </c>
      <c r="J37" s="30" t="e">
        <v>#N/A</v>
      </c>
      <c r="K37" s="30" t="e">
        <v>#N/A</v>
      </c>
      <c r="L37" s="36" t="e">
        <v>#N/A</v>
      </c>
      <c r="M37" s="21"/>
      <c r="N37" s="21"/>
      <c r="O37" s="21"/>
      <c r="P37" s="21"/>
      <c r="Q37" s="21"/>
      <c r="R37" s="21"/>
      <c r="S37" s="21"/>
      <c r="T37" s="20"/>
    </row>
    <row r="38" spans="1:20" x14ac:dyDescent="0.3">
      <c r="A38" s="18"/>
      <c r="B38" s="42"/>
      <c r="C38" s="42" t="e">
        <f>1/0</f>
        <v>#DIV/0!</v>
      </c>
      <c r="D38" s="42"/>
      <c r="E38" s="42" t="e">
        <f>1/0</f>
        <v>#DIV/0!</v>
      </c>
      <c r="F38" s="21"/>
      <c r="G38" s="21"/>
      <c r="H38" s="21"/>
      <c r="I38" s="30" t="e">
        <v>#N/A</v>
      </c>
      <c r="J38" s="30" t="e">
        <v>#N/A</v>
      </c>
      <c r="K38" s="30" t="e">
        <v>#N/A</v>
      </c>
      <c r="L38" s="36" t="e">
        <v>#N/A</v>
      </c>
      <c r="M38" s="21"/>
      <c r="N38" s="21"/>
      <c r="O38" s="21"/>
      <c r="P38" s="21"/>
      <c r="Q38" s="21"/>
      <c r="R38" s="21"/>
      <c r="S38" s="21"/>
      <c r="T38" s="20"/>
    </row>
    <row r="39" spans="1:20" x14ac:dyDescent="0.3">
      <c r="A39" s="18"/>
      <c r="B39" s="42"/>
      <c r="C39" s="42"/>
      <c r="D39" s="42"/>
      <c r="E39" s="44"/>
      <c r="F39" s="21"/>
      <c r="G39" s="21"/>
      <c r="H39" s="21"/>
      <c r="I39" s="21"/>
      <c r="J39" s="21"/>
      <c r="K39" s="21"/>
      <c r="L39" s="21"/>
      <c r="M39" s="21"/>
      <c r="N39" s="21"/>
      <c r="O39" s="21"/>
      <c r="P39" s="21"/>
      <c r="Q39" s="21"/>
      <c r="R39" s="21"/>
      <c r="S39" s="21"/>
      <c r="T39" s="20"/>
    </row>
    <row r="40" spans="1:20" x14ac:dyDescent="0.3">
      <c r="A40" s="18"/>
      <c r="B40" s="42" t="e">
        <f>1/0</f>
        <v>#DIV/0!</v>
      </c>
      <c r="C40" s="42" t="e">
        <f>1/0</f>
        <v>#DIV/0!</v>
      </c>
      <c r="D40" s="42" t="e">
        <f>1/0</f>
        <v>#DIV/0!</v>
      </c>
      <c r="E40" s="42" t="e">
        <f>1/0</f>
        <v>#DIV/0!</v>
      </c>
      <c r="F40" s="21"/>
      <c r="G40" s="21"/>
      <c r="H40" s="21"/>
      <c r="I40" s="21"/>
      <c r="J40" s="21"/>
      <c r="K40" s="21"/>
      <c r="L40" s="21"/>
      <c r="M40" s="21"/>
      <c r="N40" s="21"/>
      <c r="O40" s="21"/>
      <c r="P40" s="21"/>
      <c r="Q40" s="21"/>
      <c r="R40" s="21"/>
      <c r="S40" s="21"/>
      <c r="T40" s="20"/>
    </row>
    <row r="41" spans="1:20" x14ac:dyDescent="0.3">
      <c r="A41" s="18"/>
      <c r="B41" s="21"/>
      <c r="C41" s="21"/>
      <c r="D41" s="21"/>
      <c r="E41" s="21"/>
      <c r="F41" s="21"/>
      <c r="G41" s="21"/>
      <c r="H41" s="21"/>
      <c r="I41" s="21"/>
      <c r="J41" s="21"/>
      <c r="K41" s="21"/>
      <c r="L41" s="21"/>
      <c r="M41" s="21"/>
      <c r="N41" s="21"/>
      <c r="O41" s="21"/>
      <c r="P41" s="21"/>
      <c r="Q41" s="21"/>
      <c r="R41" s="21"/>
      <c r="S41" s="21"/>
      <c r="T41" s="20"/>
    </row>
    <row r="42" spans="1:20" x14ac:dyDescent="0.3">
      <c r="A42" s="18"/>
      <c r="B42" s="21"/>
      <c r="C42" s="21"/>
      <c r="D42" s="21"/>
      <c r="E42" s="21"/>
      <c r="F42" s="21"/>
      <c r="G42" s="21"/>
      <c r="H42" s="21"/>
      <c r="I42" s="21"/>
      <c r="J42" s="21"/>
      <c r="K42" s="21"/>
      <c r="L42" s="21"/>
      <c r="M42" s="21"/>
      <c r="N42" s="21"/>
      <c r="O42" s="21"/>
      <c r="P42" s="21"/>
      <c r="Q42" s="21"/>
      <c r="R42" s="21"/>
      <c r="S42" s="21"/>
      <c r="T42" s="20"/>
    </row>
    <row r="43" spans="1:20" x14ac:dyDescent="0.3">
      <c r="A43" s="18"/>
      <c r="B43" s="21"/>
      <c r="C43" s="21"/>
      <c r="D43" s="21"/>
      <c r="E43" s="21"/>
      <c r="F43" s="21"/>
      <c r="G43" s="21"/>
      <c r="H43" s="21"/>
      <c r="I43" s="67"/>
      <c r="J43" s="67"/>
      <c r="K43" s="67"/>
      <c r="L43" s="67"/>
      <c r="M43" s="67"/>
      <c r="N43" s="67"/>
      <c r="O43" s="67"/>
      <c r="P43" s="67"/>
      <c r="Q43" s="67"/>
      <c r="R43" s="21"/>
      <c r="S43" s="21"/>
      <c r="T43" s="20"/>
    </row>
    <row r="44" spans="1:20" x14ac:dyDescent="0.3">
      <c r="A44" s="18"/>
      <c r="B44" s="21"/>
      <c r="C44" s="21"/>
      <c r="D44" s="21"/>
      <c r="E44" s="21"/>
      <c r="F44" s="21"/>
      <c r="G44" s="21"/>
      <c r="H44" s="21"/>
      <c r="I44" s="21"/>
      <c r="J44" s="21"/>
      <c r="K44" s="21"/>
      <c r="L44" s="21"/>
      <c r="M44" s="21"/>
      <c r="N44" s="21"/>
      <c r="O44" s="21"/>
      <c r="P44" s="21"/>
      <c r="Q44" s="21"/>
      <c r="R44" s="21"/>
      <c r="S44" s="21"/>
      <c r="T44" s="20"/>
    </row>
    <row r="45" spans="1:20" x14ac:dyDescent="0.3">
      <c r="A45" s="18"/>
      <c r="B45" s="475" t="s">
        <v>279</v>
      </c>
      <c r="C45" s="475"/>
      <c r="D45" s="475"/>
      <c r="E45" s="475"/>
      <c r="F45" s="21"/>
      <c r="G45" s="21"/>
      <c r="H45" s="21"/>
      <c r="I45" s="475" t="s">
        <v>3412</v>
      </c>
      <c r="J45" s="475"/>
      <c r="K45" s="475"/>
      <c r="L45" s="475"/>
      <c r="M45" s="21"/>
      <c r="N45" s="21"/>
      <c r="O45" s="21"/>
      <c r="P45" s="21"/>
      <c r="Q45" s="21"/>
      <c r="R45" s="21"/>
      <c r="S45" s="21"/>
      <c r="T45" s="20"/>
    </row>
    <row r="46" spans="1:20" x14ac:dyDescent="0.3">
      <c r="A46" s="18"/>
      <c r="B46" s="59" t="s">
        <v>284</v>
      </c>
      <c r="C46" s="60" t="s">
        <v>1</v>
      </c>
      <c r="D46" s="60" t="s">
        <v>283</v>
      </c>
      <c r="E46" s="60" t="s">
        <v>63</v>
      </c>
      <c r="F46" s="21"/>
      <c r="G46" s="21"/>
      <c r="H46" s="21"/>
      <c r="I46" s="3" t="str">
        <f t="array" ref="I46:L50">_xll.U.SUBRANGE(B46:E52,1,1,4)</f>
        <v>Item Number</v>
      </c>
      <c r="J46" s="3" t="str">
        <v>Description</v>
      </c>
      <c r="K46" s="3" t="str">
        <v>Qty</v>
      </c>
      <c r="L46" s="3" t="str">
        <v>Price</v>
      </c>
      <c r="M46" s="21"/>
      <c r="N46" s="21"/>
      <c r="O46" s="21"/>
      <c r="P46" s="21"/>
      <c r="Q46" s="21"/>
      <c r="R46" s="21"/>
      <c r="S46" s="21"/>
      <c r="T46" s="20"/>
    </row>
    <row r="47" spans="1:20" x14ac:dyDescent="0.3">
      <c r="A47" s="18"/>
      <c r="B47" s="115">
        <v>4</v>
      </c>
      <c r="C47" s="42" t="s">
        <v>285</v>
      </c>
      <c r="D47" s="42">
        <v>500</v>
      </c>
      <c r="E47" s="114">
        <v>2.59</v>
      </c>
      <c r="F47" s="21"/>
      <c r="G47" s="21"/>
      <c r="H47" s="21"/>
      <c r="I47" s="30">
        <v>4</v>
      </c>
      <c r="J47" s="30" t="str">
        <v>a thing</v>
      </c>
      <c r="K47" s="30">
        <v>500</v>
      </c>
      <c r="L47" s="36">
        <v>2.59</v>
      </c>
      <c r="M47" s="21"/>
      <c r="N47" s="21"/>
      <c r="O47" s="21"/>
      <c r="P47" s="21"/>
      <c r="Q47" s="21"/>
      <c r="R47" s="21"/>
      <c r="S47" s="21"/>
      <c r="T47" s="20"/>
    </row>
    <row r="48" spans="1:20" x14ac:dyDescent="0.3">
      <c r="A48" s="18"/>
      <c r="B48" s="115">
        <v>2</v>
      </c>
      <c r="C48" s="42" t="s">
        <v>286</v>
      </c>
      <c r="D48" s="42">
        <v>4000</v>
      </c>
      <c r="E48" s="114">
        <v>14</v>
      </c>
      <c r="F48" s="21"/>
      <c r="G48" s="21"/>
      <c r="H48" s="21"/>
      <c r="I48" s="30">
        <v>2</v>
      </c>
      <c r="J48" s="30" t="str">
        <v>another thing</v>
      </c>
      <c r="K48" s="30">
        <v>4000</v>
      </c>
      <c r="L48" s="36">
        <v>14</v>
      </c>
      <c r="M48" s="21"/>
      <c r="N48" s="21"/>
      <c r="O48" s="21"/>
      <c r="P48" s="21"/>
      <c r="Q48" s="21"/>
      <c r="R48" s="21"/>
      <c r="S48" s="21"/>
      <c r="T48" s="20"/>
    </row>
    <row r="49" spans="1:20" x14ac:dyDescent="0.3">
      <c r="A49" s="18"/>
      <c r="B49" s="115">
        <v>9</v>
      </c>
      <c r="C49" s="42" t="s">
        <v>287</v>
      </c>
      <c r="D49" s="42">
        <v>50</v>
      </c>
      <c r="E49" s="114">
        <v>350</v>
      </c>
      <c r="F49" s="21"/>
      <c r="G49" s="21"/>
      <c r="H49" s="21"/>
      <c r="I49" s="30">
        <v>9</v>
      </c>
      <c r="J49" s="30" t="str">
        <v>something else</v>
      </c>
      <c r="K49" s="30">
        <v>50</v>
      </c>
      <c r="L49" s="36">
        <v>350</v>
      </c>
      <c r="M49" s="21"/>
      <c r="N49" s="21"/>
      <c r="O49" s="21"/>
      <c r="P49" s="21"/>
      <c r="Q49" s="21"/>
      <c r="R49" s="21"/>
      <c r="S49" s="21"/>
      <c r="T49" s="20"/>
    </row>
    <row r="50" spans="1:20" x14ac:dyDescent="0.3">
      <c r="A50" s="18"/>
      <c r="B50" s="115">
        <v>1</v>
      </c>
      <c r="C50" s="42" t="s">
        <v>288</v>
      </c>
      <c r="D50" s="42">
        <v>200</v>
      </c>
      <c r="E50" s="114">
        <v>5</v>
      </c>
      <c r="F50" s="21"/>
      <c r="G50" s="21"/>
      <c r="H50" s="21"/>
      <c r="I50" s="30" t="e">
        <v>#N/A</v>
      </c>
      <c r="J50" s="30" t="e">
        <v>#N/A</v>
      </c>
      <c r="K50" s="30" t="e">
        <v>#N/A</v>
      </c>
      <c r="L50" s="36" t="e">
        <v>#N/A</v>
      </c>
      <c r="M50" s="21"/>
      <c r="N50" s="21"/>
      <c r="O50" s="21"/>
      <c r="P50" s="21"/>
      <c r="Q50" s="21"/>
      <c r="R50" s="21"/>
      <c r="S50" s="21"/>
      <c r="T50" s="20"/>
    </row>
    <row r="51" spans="1:20" x14ac:dyDescent="0.3">
      <c r="A51" s="18"/>
      <c r="B51" s="115">
        <v>11</v>
      </c>
      <c r="C51" s="42" t="s">
        <v>289</v>
      </c>
      <c r="D51" s="42">
        <v>60</v>
      </c>
      <c r="E51" s="114">
        <v>1.25</v>
      </c>
      <c r="F51" s="21"/>
      <c r="G51" s="21"/>
      <c r="H51" s="21"/>
      <c r="I51" s="21"/>
      <c r="J51" s="21"/>
      <c r="K51" s="21"/>
      <c r="L51" s="21"/>
      <c r="M51" s="21"/>
      <c r="N51" s="21"/>
      <c r="O51" s="21"/>
      <c r="P51" s="21"/>
      <c r="Q51" s="21"/>
      <c r="R51" s="21"/>
      <c r="S51" s="21"/>
      <c r="T51" s="20"/>
    </row>
    <row r="52" spans="1:20" x14ac:dyDescent="0.3">
      <c r="A52" s="18"/>
      <c r="B52" s="115">
        <v>5</v>
      </c>
      <c r="C52" s="42" t="s">
        <v>290</v>
      </c>
      <c r="D52" s="42">
        <v>10</v>
      </c>
      <c r="E52" s="114">
        <v>6</v>
      </c>
      <c r="F52" s="21"/>
      <c r="G52" s="21"/>
      <c r="H52" s="21"/>
      <c r="I52" s="21"/>
      <c r="J52" s="21"/>
      <c r="K52" s="21"/>
      <c r="L52" s="21"/>
      <c r="M52" s="21"/>
      <c r="N52" s="21"/>
      <c r="O52" s="21"/>
      <c r="P52" s="21"/>
      <c r="Q52" s="21"/>
      <c r="R52" s="21"/>
      <c r="S52" s="21"/>
      <c r="T52" s="20"/>
    </row>
    <row r="53" spans="1:20" x14ac:dyDescent="0.3">
      <c r="A53" s="18"/>
      <c r="B53" s="21"/>
      <c r="C53" s="21"/>
      <c r="D53" s="21"/>
      <c r="E53" s="21"/>
      <c r="F53" s="21"/>
      <c r="G53" s="21"/>
      <c r="H53" s="21"/>
      <c r="I53" s="475" t="s">
        <v>3412</v>
      </c>
      <c r="J53" s="475"/>
      <c r="K53" s="475"/>
      <c r="L53" s="475"/>
      <c r="M53" s="21"/>
      <c r="N53" s="21"/>
      <c r="O53" s="21"/>
      <c r="P53" s="21"/>
      <c r="Q53" s="21"/>
      <c r="R53" s="21"/>
      <c r="S53" s="21"/>
      <c r="T53" s="20"/>
    </row>
    <row r="54" spans="1:20" x14ac:dyDescent="0.3">
      <c r="A54" s="18"/>
      <c r="B54" s="21"/>
      <c r="C54" s="21"/>
      <c r="D54" s="21"/>
      <c r="E54" s="21"/>
      <c r="F54" s="21"/>
      <c r="G54" s="21"/>
      <c r="H54" s="21"/>
      <c r="I54" s="3" t="str">
        <f t="array" ref="I54:L58">_xll.U.SUBRANGE(B46:E52,1,1,{4,TRUE})</f>
        <v>Item Number</v>
      </c>
      <c r="J54" s="3" t="str">
        <v>Description</v>
      </c>
      <c r="K54" s="3" t="str">
        <v>Qty</v>
      </c>
      <c r="L54" s="3" t="str">
        <v>Price</v>
      </c>
      <c r="M54" s="21"/>
      <c r="N54" s="21"/>
      <c r="O54" s="21"/>
      <c r="P54" s="21"/>
      <c r="Q54" s="21"/>
      <c r="R54" s="21"/>
      <c r="S54" s="21"/>
      <c r="T54" s="20"/>
    </row>
    <row r="55" spans="1:20" x14ac:dyDescent="0.3">
      <c r="A55" s="18"/>
      <c r="B55" s="21"/>
      <c r="C55" s="21"/>
      <c r="D55" s="21"/>
      <c r="E55" s="21"/>
      <c r="F55" s="21"/>
      <c r="G55" s="21"/>
      <c r="H55" s="21"/>
      <c r="I55" s="30">
        <v>4</v>
      </c>
      <c r="J55" s="30" t="str">
        <v>a thing</v>
      </c>
      <c r="K55" s="30">
        <v>500</v>
      </c>
      <c r="L55" s="36">
        <v>2.59</v>
      </c>
      <c r="M55" s="21"/>
      <c r="N55" s="21"/>
      <c r="O55" s="21"/>
      <c r="P55" s="21"/>
      <c r="Q55" s="21"/>
      <c r="R55" s="21"/>
      <c r="S55" s="21"/>
      <c r="T55" s="20"/>
    </row>
    <row r="56" spans="1:20" x14ac:dyDescent="0.3">
      <c r="A56" s="18"/>
      <c r="B56" s="21"/>
      <c r="C56" s="21"/>
      <c r="D56" s="21"/>
      <c r="E56" s="21"/>
      <c r="F56" s="21"/>
      <c r="G56" s="21"/>
      <c r="H56" s="21"/>
      <c r="I56" s="30" t="e">
        <v>#N/A</v>
      </c>
      <c r="J56" s="30" t="e">
        <v>#N/A</v>
      </c>
      <c r="K56" s="30" t="e">
        <v>#N/A</v>
      </c>
      <c r="L56" s="36" t="e">
        <v>#N/A</v>
      </c>
      <c r="M56" s="21"/>
      <c r="N56" s="21"/>
      <c r="O56" s="21"/>
      <c r="P56" s="21"/>
      <c r="Q56" s="21"/>
      <c r="R56" s="21"/>
      <c r="S56" s="21"/>
      <c r="T56" s="20"/>
    </row>
    <row r="57" spans="1:20" x14ac:dyDescent="0.3">
      <c r="A57" s="18"/>
      <c r="B57" s="21"/>
      <c r="C57" s="21"/>
      <c r="D57" s="21"/>
      <c r="E57" s="21"/>
      <c r="F57" s="21"/>
      <c r="G57" s="21"/>
      <c r="H57" s="21"/>
      <c r="I57" s="30" t="e">
        <v>#N/A</v>
      </c>
      <c r="J57" s="30" t="e">
        <v>#N/A</v>
      </c>
      <c r="K57" s="30" t="e">
        <v>#N/A</v>
      </c>
      <c r="L57" s="36" t="e">
        <v>#N/A</v>
      </c>
      <c r="M57" s="21"/>
      <c r="N57" s="21"/>
      <c r="O57" s="21"/>
      <c r="P57" s="21"/>
      <c r="Q57" s="21"/>
      <c r="R57" s="21"/>
      <c r="S57" s="21"/>
      <c r="T57" s="20"/>
    </row>
    <row r="58" spans="1:20" x14ac:dyDescent="0.3">
      <c r="A58" s="18"/>
      <c r="B58" s="21"/>
      <c r="C58" s="21"/>
      <c r="D58" s="21"/>
      <c r="E58" s="21"/>
      <c r="F58" s="21"/>
      <c r="G58" s="21"/>
      <c r="H58" s="21"/>
      <c r="I58" s="30" t="e">
        <v>#N/A</v>
      </c>
      <c r="J58" s="30" t="e">
        <v>#N/A</v>
      </c>
      <c r="K58" s="30" t="e">
        <v>#N/A</v>
      </c>
      <c r="L58" s="36" t="e">
        <v>#N/A</v>
      </c>
      <c r="M58" s="21"/>
      <c r="N58" s="21"/>
      <c r="O58" s="21"/>
      <c r="P58" s="21"/>
      <c r="Q58" s="21"/>
      <c r="R58" s="21"/>
      <c r="S58" s="21"/>
      <c r="T58" s="20"/>
    </row>
    <row r="59" spans="1:20" x14ac:dyDescent="0.3">
      <c r="A59" s="18"/>
      <c r="B59" s="21"/>
      <c r="C59" s="21"/>
      <c r="D59" s="21"/>
      <c r="E59" s="21"/>
      <c r="F59" s="21"/>
      <c r="G59" s="21"/>
      <c r="H59" s="21"/>
      <c r="I59" s="21"/>
      <c r="J59" s="21"/>
      <c r="K59" s="21"/>
      <c r="L59" s="21"/>
      <c r="M59" s="21"/>
      <c r="N59" s="21"/>
      <c r="O59" s="21"/>
      <c r="P59" s="21"/>
      <c r="Q59" s="21"/>
      <c r="R59" s="21"/>
      <c r="S59" s="21"/>
      <c r="T59" s="20"/>
    </row>
    <row r="60" spans="1:20" x14ac:dyDescent="0.3">
      <c r="A60" s="18"/>
      <c r="B60" s="21"/>
      <c r="C60" s="21"/>
      <c r="D60" s="21"/>
      <c r="E60" s="21"/>
      <c r="F60" s="21"/>
      <c r="G60" s="21"/>
      <c r="H60" s="21"/>
      <c r="I60" s="21"/>
      <c r="J60" s="21"/>
      <c r="K60" s="21"/>
      <c r="L60" s="21"/>
      <c r="M60" s="21"/>
      <c r="N60" s="21"/>
      <c r="O60" s="21"/>
      <c r="P60" s="21"/>
      <c r="Q60" s="21"/>
      <c r="R60" s="21"/>
      <c r="S60" s="21"/>
      <c r="T60" s="20"/>
    </row>
    <row r="61" spans="1:20" x14ac:dyDescent="0.3">
      <c r="A61" s="18"/>
      <c r="B61" s="21"/>
      <c r="C61" s="21"/>
      <c r="D61" s="21"/>
      <c r="E61" s="21"/>
      <c r="F61" s="21"/>
      <c r="G61" s="21"/>
      <c r="H61" s="21"/>
      <c r="I61" s="21"/>
      <c r="J61" s="21"/>
      <c r="K61" s="21"/>
      <c r="L61" s="21"/>
      <c r="M61" s="21"/>
      <c r="N61" s="21"/>
      <c r="O61" s="21"/>
      <c r="P61" s="21"/>
      <c r="Q61" s="21"/>
      <c r="R61" s="21"/>
      <c r="S61" s="21"/>
      <c r="T61" s="20"/>
    </row>
    <row r="62" spans="1:20" x14ac:dyDescent="0.3">
      <c r="A62" s="18"/>
      <c r="B62" s="21"/>
      <c r="C62" s="21"/>
      <c r="D62" s="21"/>
      <c r="E62" s="21"/>
      <c r="F62" s="21"/>
      <c r="G62" s="21"/>
      <c r="H62" s="21"/>
      <c r="I62" s="21"/>
      <c r="J62" s="21"/>
      <c r="K62" s="21"/>
      <c r="L62" s="21"/>
      <c r="M62" s="21"/>
      <c r="N62" s="21"/>
      <c r="O62" s="21"/>
      <c r="P62" s="21"/>
      <c r="Q62" s="21"/>
      <c r="R62" s="21"/>
      <c r="S62" s="21"/>
      <c r="T62" s="20"/>
    </row>
    <row r="63" spans="1:20" x14ac:dyDescent="0.3">
      <c r="A63" s="18"/>
      <c r="B63" s="21"/>
      <c r="C63" s="21"/>
      <c r="D63" s="21"/>
      <c r="E63" s="21"/>
      <c r="F63" s="21"/>
      <c r="G63" s="21"/>
      <c r="H63" s="21"/>
      <c r="I63" s="21"/>
      <c r="J63" s="21"/>
      <c r="K63" s="21"/>
      <c r="L63" s="21"/>
      <c r="M63" s="21"/>
      <c r="N63" s="21"/>
      <c r="O63" s="21"/>
      <c r="P63" s="21"/>
      <c r="Q63" s="21"/>
      <c r="R63" s="21"/>
      <c r="S63" s="21"/>
      <c r="T63" s="20"/>
    </row>
    <row r="64" spans="1:20" x14ac:dyDescent="0.3">
      <c r="A64" s="18"/>
      <c r="B64" s="21"/>
      <c r="C64" s="21"/>
      <c r="D64" s="21"/>
      <c r="E64" s="21"/>
      <c r="F64" s="21"/>
      <c r="G64" s="21"/>
      <c r="H64" s="21"/>
      <c r="I64" s="21"/>
      <c r="J64" s="21"/>
      <c r="K64" s="21"/>
      <c r="L64" s="21"/>
      <c r="M64" s="21"/>
      <c r="N64" s="21"/>
      <c r="O64" s="21"/>
      <c r="P64" s="21"/>
      <c r="Q64" s="21"/>
      <c r="R64" s="21"/>
      <c r="S64" s="21"/>
      <c r="T64" s="20"/>
    </row>
    <row r="65" spans="1:20" x14ac:dyDescent="0.3">
      <c r="A65" s="18"/>
      <c r="B65" s="21"/>
      <c r="C65" s="21"/>
      <c r="D65" s="21"/>
      <c r="E65" s="21"/>
      <c r="F65" s="21"/>
      <c r="G65" s="21"/>
      <c r="H65" s="21"/>
      <c r="I65" s="475" t="s">
        <v>3412</v>
      </c>
      <c r="J65" s="475"/>
      <c r="K65" s="475"/>
      <c r="L65" s="475"/>
      <c r="M65" s="21"/>
      <c r="N65" s="21"/>
      <c r="O65" s="21"/>
      <c r="P65" s="21"/>
      <c r="Q65" s="21"/>
      <c r="R65" s="21"/>
      <c r="S65" s="21"/>
      <c r="T65" s="20"/>
    </row>
    <row r="66" spans="1:20" x14ac:dyDescent="0.3">
      <c r="A66" s="18"/>
      <c r="B66" s="21"/>
      <c r="C66" s="21"/>
      <c r="D66" s="21"/>
      <c r="E66" s="21"/>
      <c r="F66" s="21"/>
      <c r="G66" s="21"/>
      <c r="H66" s="21"/>
      <c r="I66" s="3" t="str">
        <f t="array" ref="I66:L70">_xll.U.SUBRANGE(B46:E52,4,3,,,1)</f>
        <v>Qty</v>
      </c>
      <c r="J66" s="3" t="str">
        <v>Price</v>
      </c>
      <c r="K66" s="3" t="e">
        <v>#N/A</v>
      </c>
      <c r="L66" s="3" t="e">
        <v>#N/A</v>
      </c>
      <c r="M66" s="21"/>
      <c r="N66" s="21"/>
      <c r="O66" s="21"/>
      <c r="P66" s="21"/>
      <c r="Q66" s="21"/>
      <c r="R66" s="21"/>
      <c r="S66" s="21"/>
      <c r="T66" s="20"/>
    </row>
    <row r="67" spans="1:20" x14ac:dyDescent="0.3">
      <c r="A67" s="18"/>
      <c r="B67" s="21"/>
      <c r="C67" s="21"/>
      <c r="D67" s="21"/>
      <c r="E67" s="21"/>
      <c r="F67" s="21"/>
      <c r="G67" s="21"/>
      <c r="H67" s="21"/>
      <c r="I67" s="30">
        <v>50</v>
      </c>
      <c r="J67" s="30">
        <v>350</v>
      </c>
      <c r="K67" s="30" t="e">
        <v>#N/A</v>
      </c>
      <c r="L67" s="36" t="e">
        <v>#N/A</v>
      </c>
      <c r="M67" s="21"/>
      <c r="N67" s="21"/>
      <c r="O67" s="21"/>
      <c r="P67" s="21"/>
      <c r="Q67" s="21"/>
      <c r="R67" s="21"/>
      <c r="S67" s="21"/>
      <c r="T67" s="20"/>
    </row>
    <row r="68" spans="1:20" x14ac:dyDescent="0.3">
      <c r="A68" s="18"/>
      <c r="B68" s="21"/>
      <c r="C68" s="21"/>
      <c r="D68" s="21"/>
      <c r="E68" s="21"/>
      <c r="F68" s="21"/>
      <c r="G68" s="21"/>
      <c r="H68" s="21"/>
      <c r="I68" s="30">
        <v>200</v>
      </c>
      <c r="J68" s="30">
        <v>5</v>
      </c>
      <c r="K68" s="30" t="e">
        <v>#N/A</v>
      </c>
      <c r="L68" s="36" t="e">
        <v>#N/A</v>
      </c>
      <c r="M68" s="21"/>
      <c r="N68" s="21"/>
      <c r="O68" s="21"/>
      <c r="P68" s="21"/>
      <c r="Q68" s="21"/>
      <c r="R68" s="21"/>
      <c r="S68" s="21"/>
      <c r="T68" s="20"/>
    </row>
    <row r="69" spans="1:20" x14ac:dyDescent="0.3">
      <c r="A69" s="18"/>
      <c r="B69" s="21"/>
      <c r="C69" s="21"/>
      <c r="D69" s="21"/>
      <c r="E69" s="21"/>
      <c r="F69" s="21"/>
      <c r="G69" s="21"/>
      <c r="H69" s="21"/>
      <c r="I69" s="30">
        <v>60</v>
      </c>
      <c r="J69" s="30">
        <v>1.25</v>
      </c>
      <c r="K69" s="30" t="e">
        <v>#N/A</v>
      </c>
      <c r="L69" s="36" t="e">
        <v>#N/A</v>
      </c>
      <c r="M69" s="21"/>
      <c r="N69" s="21"/>
      <c r="O69" s="21"/>
      <c r="P69" s="21"/>
      <c r="Q69" s="21"/>
      <c r="R69" s="21"/>
      <c r="S69" s="21"/>
      <c r="T69" s="20"/>
    </row>
    <row r="70" spans="1:20" x14ac:dyDescent="0.3">
      <c r="A70" s="18"/>
      <c r="B70" s="21"/>
      <c r="C70" s="21"/>
      <c r="D70" s="21"/>
      <c r="E70" s="21"/>
      <c r="F70" s="21"/>
      <c r="G70" s="21"/>
      <c r="H70" s="21"/>
      <c r="I70" s="30">
        <v>10</v>
      </c>
      <c r="J70" s="30">
        <v>6</v>
      </c>
      <c r="K70" s="30" t="e">
        <v>#N/A</v>
      </c>
      <c r="L70" s="36" t="e">
        <v>#N/A</v>
      </c>
      <c r="M70" s="21"/>
      <c r="N70" s="21"/>
      <c r="O70" s="21"/>
      <c r="P70" s="21"/>
      <c r="Q70" s="21"/>
      <c r="R70" s="21"/>
      <c r="S70" s="21"/>
      <c r="T70" s="20"/>
    </row>
    <row r="71" spans="1:20" x14ac:dyDescent="0.3">
      <c r="A71" s="18"/>
      <c r="B71" s="21"/>
      <c r="C71" s="21"/>
      <c r="D71" s="21"/>
      <c r="E71" s="21"/>
      <c r="F71" s="21"/>
      <c r="G71" s="21"/>
      <c r="H71" s="21"/>
      <c r="I71" s="21"/>
      <c r="J71" s="21"/>
      <c r="K71" s="21"/>
      <c r="L71" s="21"/>
      <c r="M71" s="21"/>
      <c r="N71" s="21"/>
      <c r="O71" s="21"/>
      <c r="P71" s="21"/>
      <c r="Q71" s="21"/>
      <c r="R71" s="21"/>
      <c r="S71" s="21"/>
      <c r="T71" s="20"/>
    </row>
    <row r="72" spans="1:20" x14ac:dyDescent="0.3">
      <c r="A72" s="18"/>
      <c r="B72" s="21"/>
      <c r="C72" s="21"/>
      <c r="D72" s="21"/>
      <c r="E72" s="21"/>
      <c r="F72" s="21"/>
      <c r="G72" s="21"/>
      <c r="H72" s="21"/>
      <c r="I72" s="21"/>
      <c r="J72" s="21"/>
      <c r="K72" s="21"/>
      <c r="L72" s="21"/>
      <c r="M72" s="21"/>
      <c r="N72" s="21"/>
      <c r="O72" s="21"/>
      <c r="P72" s="21"/>
      <c r="Q72" s="21"/>
      <c r="R72" s="21"/>
      <c r="S72" s="21"/>
      <c r="T72" s="20"/>
    </row>
    <row r="73" spans="1:20" x14ac:dyDescent="0.3">
      <c r="A73" s="18"/>
      <c r="B73" s="21"/>
      <c r="C73" s="21"/>
      <c r="D73" s="21"/>
      <c r="E73" s="21"/>
      <c r="F73" s="21"/>
      <c r="G73" s="21"/>
      <c r="H73" s="21"/>
      <c r="I73" s="21"/>
      <c r="J73" s="21"/>
      <c r="K73" s="21"/>
      <c r="L73" s="21"/>
      <c r="M73" s="21"/>
      <c r="N73" s="21"/>
      <c r="O73" s="21"/>
      <c r="P73" s="21"/>
      <c r="Q73" s="21"/>
      <c r="R73" s="21"/>
      <c r="S73" s="21"/>
      <c r="T73" s="20"/>
    </row>
    <row r="74" spans="1:20" x14ac:dyDescent="0.3">
      <c r="A74" s="18"/>
      <c r="B74" s="21"/>
      <c r="C74" s="21"/>
      <c r="D74" s="21"/>
      <c r="E74" s="21"/>
      <c r="F74" s="21"/>
      <c r="G74" s="21"/>
      <c r="H74" s="21"/>
      <c r="I74" s="475" t="s">
        <v>3412</v>
      </c>
      <c r="J74" s="475"/>
      <c r="K74" s="475"/>
      <c r="L74" s="475"/>
      <c r="M74" s="21"/>
      <c r="N74" s="21"/>
      <c r="O74" s="21"/>
      <c r="P74" s="21"/>
      <c r="Q74" s="21"/>
      <c r="R74" s="21"/>
      <c r="S74" s="21"/>
      <c r="T74" s="20"/>
    </row>
    <row r="75" spans="1:20" x14ac:dyDescent="0.3">
      <c r="A75" s="18"/>
      <c r="B75" s="21"/>
      <c r="C75" s="21"/>
      <c r="D75" s="21"/>
      <c r="E75" s="21"/>
      <c r="F75" s="21"/>
      <c r="G75" s="21"/>
      <c r="H75" s="21"/>
      <c r="I75" s="3" t="str">
        <f t="array" ref="I75:L79">_xll.U.SUBRANGE(B46:E52,4,3,,,{1,2})</f>
        <v>Item Number</v>
      </c>
      <c r="J75" s="3" t="str">
        <v>Description</v>
      </c>
      <c r="K75" s="3" t="str">
        <v>Qty</v>
      </c>
      <c r="L75" s="3" t="str">
        <v>Price</v>
      </c>
      <c r="M75" s="21"/>
      <c r="N75" s="21"/>
      <c r="O75" s="21"/>
      <c r="P75" s="21"/>
      <c r="Q75" s="21"/>
      <c r="R75" s="21"/>
      <c r="S75" s="21"/>
      <c r="T75" s="20"/>
    </row>
    <row r="76" spans="1:20" x14ac:dyDescent="0.3">
      <c r="A76" s="18"/>
      <c r="B76" s="21"/>
      <c r="C76" s="21"/>
      <c r="D76" s="21"/>
      <c r="E76" s="21"/>
      <c r="F76" s="21"/>
      <c r="G76" s="21"/>
      <c r="H76" s="21"/>
      <c r="I76" s="30">
        <v>9</v>
      </c>
      <c r="J76" s="30" t="str">
        <v>something else</v>
      </c>
      <c r="K76" s="30">
        <v>50</v>
      </c>
      <c r="L76" s="36">
        <v>350</v>
      </c>
      <c r="M76" s="21"/>
      <c r="N76" s="21"/>
      <c r="O76" s="21"/>
      <c r="P76" s="21"/>
      <c r="Q76" s="21"/>
      <c r="R76" s="21"/>
      <c r="S76" s="21"/>
      <c r="T76" s="20"/>
    </row>
    <row r="77" spans="1:20" x14ac:dyDescent="0.3">
      <c r="A77" s="18"/>
      <c r="B77" s="21"/>
      <c r="C77" s="21"/>
      <c r="D77" s="21"/>
      <c r="E77" s="21"/>
      <c r="F77" s="21"/>
      <c r="G77" s="21"/>
      <c r="H77" s="21"/>
      <c r="I77" s="30">
        <v>1</v>
      </c>
      <c r="J77" s="30" t="str">
        <v>a big thing</v>
      </c>
      <c r="K77" s="30">
        <v>200</v>
      </c>
      <c r="L77" s="36">
        <v>5</v>
      </c>
      <c r="M77" s="21"/>
      <c r="N77" s="21"/>
      <c r="O77" s="21"/>
      <c r="P77" s="21"/>
      <c r="Q77" s="21"/>
      <c r="R77" s="21"/>
      <c r="S77" s="21"/>
      <c r="T77" s="20"/>
    </row>
    <row r="78" spans="1:20" x14ac:dyDescent="0.3">
      <c r="A78" s="18"/>
      <c r="B78" s="21"/>
      <c r="C78" s="21"/>
      <c r="D78" s="21"/>
      <c r="E78" s="21"/>
      <c r="F78" s="21"/>
      <c r="G78" s="21"/>
      <c r="H78" s="21"/>
      <c r="I78" s="30">
        <v>11</v>
      </c>
      <c r="J78" s="30" t="str">
        <v>a little thing</v>
      </c>
      <c r="K78" s="30">
        <v>60</v>
      </c>
      <c r="L78" s="36">
        <v>1.25</v>
      </c>
      <c r="M78" s="21"/>
      <c r="N78" s="21"/>
      <c r="O78" s="21"/>
      <c r="P78" s="21"/>
      <c r="Q78" s="21"/>
      <c r="R78" s="21"/>
      <c r="S78" s="21"/>
      <c r="T78" s="20"/>
    </row>
    <row r="79" spans="1:20" x14ac:dyDescent="0.3">
      <c r="A79" s="18"/>
      <c r="B79" s="21"/>
      <c r="C79" s="21"/>
      <c r="D79" s="21"/>
      <c r="E79" s="21"/>
      <c r="F79" s="21"/>
      <c r="G79" s="21"/>
      <c r="H79" s="21"/>
      <c r="I79" s="30">
        <v>5</v>
      </c>
      <c r="J79" s="30" t="str">
        <v>yet another thing</v>
      </c>
      <c r="K79" s="30">
        <v>10</v>
      </c>
      <c r="L79" s="36">
        <v>6</v>
      </c>
      <c r="M79" s="21"/>
      <c r="N79" s="21"/>
      <c r="O79" s="21"/>
      <c r="P79" s="21"/>
      <c r="Q79" s="21"/>
      <c r="R79" s="21"/>
      <c r="S79" s="21"/>
      <c r="T79" s="20"/>
    </row>
    <row r="80" spans="1:20" x14ac:dyDescent="0.3">
      <c r="A80" s="18"/>
      <c r="B80" s="21"/>
      <c r="C80" s="21"/>
      <c r="D80" s="21"/>
      <c r="E80" s="21"/>
      <c r="F80" s="21"/>
      <c r="G80" s="21"/>
      <c r="H80" s="21"/>
      <c r="I80" s="21"/>
      <c r="J80" s="21"/>
      <c r="K80" s="21"/>
      <c r="L80" s="21"/>
      <c r="M80" s="21"/>
      <c r="N80" s="21"/>
      <c r="O80" s="21"/>
      <c r="P80" s="21"/>
      <c r="Q80" s="21"/>
      <c r="R80" s="21"/>
      <c r="S80" s="21"/>
      <c r="T80" s="20"/>
    </row>
    <row r="81" spans="1:20" ht="15" thickBot="1" x14ac:dyDescent="0.35">
      <c r="A81" s="22"/>
      <c r="B81" s="23"/>
      <c r="C81" s="23"/>
      <c r="D81" s="23"/>
      <c r="E81" s="23"/>
      <c r="F81" s="23"/>
      <c r="G81" s="23"/>
      <c r="H81" s="23"/>
      <c r="I81" s="23"/>
      <c r="J81" s="23"/>
      <c r="K81" s="23"/>
      <c r="L81" s="23"/>
      <c r="M81" s="23"/>
      <c r="N81" s="23"/>
      <c r="O81" s="23"/>
      <c r="P81" s="23"/>
      <c r="Q81" s="23"/>
      <c r="R81" s="23"/>
      <c r="S81" s="23"/>
      <c r="T81" s="24"/>
    </row>
  </sheetData>
  <mergeCells count="34">
    <mergeCell ref="B45:E45"/>
    <mergeCell ref="I45:L45"/>
    <mergeCell ref="B5:E5"/>
    <mergeCell ref="I5:L5"/>
    <mergeCell ref="I15:L15"/>
    <mergeCell ref="B33:E33"/>
    <mergeCell ref="I33:L33"/>
    <mergeCell ref="I23:L23"/>
    <mergeCell ref="V3:AE3"/>
    <mergeCell ref="V4:W6"/>
    <mergeCell ref="X4:AE6"/>
    <mergeCell ref="V7:W7"/>
    <mergeCell ref="X7:AD7"/>
    <mergeCell ref="V8:W10"/>
    <mergeCell ref="X8:AD10"/>
    <mergeCell ref="AE8:AE10"/>
    <mergeCell ref="V11:W13"/>
    <mergeCell ref="X11:AD13"/>
    <mergeCell ref="AE11:AE13"/>
    <mergeCell ref="V14:W16"/>
    <mergeCell ref="X14:AD16"/>
    <mergeCell ref="AE14:AE16"/>
    <mergeCell ref="V17:W19"/>
    <mergeCell ref="X17:AD19"/>
    <mergeCell ref="AE17:AE19"/>
    <mergeCell ref="I65:L65"/>
    <mergeCell ref="I74:L74"/>
    <mergeCell ref="V20:W22"/>
    <mergeCell ref="X20:AD22"/>
    <mergeCell ref="AE20:AE22"/>
    <mergeCell ref="I53:L53"/>
    <mergeCell ref="AE23:AE25"/>
    <mergeCell ref="X23:AD25"/>
    <mergeCell ref="V23:W25"/>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X59"/>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1" max="1" width="9.21875" style="131"/>
    <col min="2" max="2" width="28.21875" style="131" customWidth="1"/>
    <col min="3" max="3" width="26.21875" style="131" customWidth="1"/>
    <col min="4" max="4" width="17.44140625" style="131" customWidth="1"/>
    <col min="5" max="5" width="17.77734375" style="131" customWidth="1"/>
    <col min="6" max="8" width="18" style="131" customWidth="1"/>
    <col min="9" max="9" width="41.21875" style="131" customWidth="1"/>
    <col min="10" max="10" width="9.21875" style="131"/>
    <col min="11" max="11" width="11.77734375" style="131" customWidth="1"/>
    <col min="12" max="13" width="16" style="131" customWidth="1"/>
    <col min="14" max="16384" width="9.21875" style="131"/>
  </cols>
  <sheetData>
    <row r="1" spans="1:24" ht="34.5" customHeight="1" thickBot="1" x14ac:dyDescent="0.35">
      <c r="A1" s="292" t="s">
        <v>1580</v>
      </c>
      <c r="B1" s="473" t="e" vm="1">
        <v>#VALUE!</v>
      </c>
      <c r="C1" s="127" t="s">
        <v>329</v>
      </c>
      <c r="D1" s="128"/>
      <c r="E1" s="129"/>
      <c r="F1" s="129"/>
      <c r="G1" s="129"/>
      <c r="H1" s="129"/>
      <c r="I1" s="129"/>
      <c r="J1" s="129"/>
      <c r="K1" s="129"/>
      <c r="L1" s="129"/>
      <c r="M1" s="130"/>
    </row>
    <row r="2" spans="1:24" ht="15" customHeight="1" x14ac:dyDescent="0.3">
      <c r="A2" s="132"/>
      <c r="B2" s="133"/>
      <c r="C2" s="133"/>
      <c r="D2" s="134"/>
      <c r="E2" s="134"/>
      <c r="F2" s="134"/>
      <c r="G2" s="134"/>
      <c r="H2" s="134"/>
      <c r="I2" s="134"/>
      <c r="J2" s="134"/>
      <c r="K2" s="134"/>
      <c r="L2" s="134"/>
      <c r="M2" s="135"/>
    </row>
    <row r="3" spans="1:24" ht="15" customHeight="1" x14ac:dyDescent="0.3">
      <c r="A3" s="132"/>
      <c r="B3" s="134"/>
      <c r="C3" s="134"/>
      <c r="D3" s="136"/>
      <c r="E3" s="134"/>
      <c r="F3" s="134"/>
      <c r="G3" s="134"/>
      <c r="H3" s="134"/>
      <c r="I3" s="134"/>
      <c r="J3" s="134"/>
      <c r="K3" s="134"/>
      <c r="L3" s="134"/>
      <c r="M3" s="135"/>
      <c r="O3" s="486" t="s">
        <v>3413</v>
      </c>
      <c r="P3" s="486"/>
      <c r="Q3" s="486"/>
      <c r="R3" s="486"/>
      <c r="S3" s="486"/>
      <c r="T3" s="486"/>
      <c r="U3" s="486"/>
      <c r="V3" s="486"/>
      <c r="W3" s="486"/>
      <c r="X3" s="486"/>
    </row>
    <row r="4" spans="1:24" x14ac:dyDescent="0.3">
      <c r="A4" s="132"/>
      <c r="B4" s="137" t="s">
        <v>330</v>
      </c>
      <c r="C4" s="137" t="s">
        <v>331</v>
      </c>
      <c r="D4" s="138" t="s">
        <v>332</v>
      </c>
      <c r="E4" s="134"/>
      <c r="F4" s="179" t="s">
        <v>3413</v>
      </c>
      <c r="G4" s="134"/>
      <c r="H4" s="134"/>
      <c r="I4" s="134"/>
      <c r="J4" s="556" t="s">
        <v>334</v>
      </c>
      <c r="K4" s="556"/>
      <c r="L4" s="134"/>
      <c r="M4" s="135"/>
      <c r="O4" s="487" t="s">
        <v>333</v>
      </c>
      <c r="P4" s="487"/>
      <c r="Q4" s="487" t="s">
        <v>526</v>
      </c>
      <c r="R4" s="487"/>
      <c r="S4" s="487"/>
      <c r="T4" s="487"/>
      <c r="U4" s="487"/>
      <c r="V4" s="487"/>
      <c r="W4" s="487"/>
      <c r="X4" s="487"/>
    </row>
    <row r="5" spans="1:24" x14ac:dyDescent="0.3">
      <c r="A5" s="132"/>
      <c r="B5" s="93">
        <v>1</v>
      </c>
      <c r="C5" s="93">
        <v>10</v>
      </c>
      <c r="D5" s="93">
        <v>100</v>
      </c>
      <c r="E5" s="134"/>
      <c r="F5" s="93" cm="1">
        <f t="array" ref="F5">_xll.U.OFFSET(B5,K5,K6)</f>
        <v>30</v>
      </c>
      <c r="G5" s="134"/>
      <c r="H5" s="134"/>
      <c r="I5" s="134"/>
      <c r="J5" s="46" t="s">
        <v>93</v>
      </c>
      <c r="K5" s="79">
        <v>2</v>
      </c>
      <c r="L5" s="134"/>
      <c r="M5" s="135"/>
      <c r="O5" s="487"/>
      <c r="P5" s="487"/>
      <c r="Q5" s="487"/>
      <c r="R5" s="487"/>
      <c r="S5" s="487"/>
      <c r="T5" s="487"/>
      <c r="U5" s="487"/>
      <c r="V5" s="487"/>
      <c r="W5" s="487"/>
      <c r="X5" s="487"/>
    </row>
    <row r="6" spans="1:24" x14ac:dyDescent="0.3">
      <c r="A6" s="132"/>
      <c r="B6" s="93">
        <v>2</v>
      </c>
      <c r="C6" s="93">
        <v>20</v>
      </c>
      <c r="D6" s="93">
        <v>200</v>
      </c>
      <c r="E6" s="134"/>
      <c r="F6" s="134"/>
      <c r="G6" s="134"/>
      <c r="H6" s="134"/>
      <c r="I6" s="134"/>
      <c r="J6" s="46" t="s">
        <v>96</v>
      </c>
      <c r="K6" s="79">
        <v>1</v>
      </c>
      <c r="L6" s="134"/>
      <c r="M6" s="135"/>
      <c r="O6" s="487"/>
      <c r="P6" s="487"/>
      <c r="Q6" s="487"/>
      <c r="R6" s="487"/>
      <c r="S6" s="487"/>
      <c r="T6" s="487"/>
      <c r="U6" s="487"/>
      <c r="V6" s="487"/>
      <c r="W6" s="487"/>
      <c r="X6" s="487"/>
    </row>
    <row r="7" spans="1:24" x14ac:dyDescent="0.3">
      <c r="A7" s="132"/>
      <c r="B7" s="93">
        <v>3</v>
      </c>
      <c r="C7" s="93">
        <v>30</v>
      </c>
      <c r="D7" s="93">
        <v>300</v>
      </c>
      <c r="E7" s="134"/>
      <c r="F7" s="134"/>
      <c r="G7" s="134"/>
      <c r="H7" s="134"/>
      <c r="I7" s="134"/>
      <c r="J7" s="134"/>
      <c r="K7" s="134"/>
      <c r="L7" s="134"/>
      <c r="M7" s="135"/>
      <c r="O7" s="483" t="s">
        <v>323</v>
      </c>
      <c r="P7" s="483"/>
      <c r="Q7" s="483" t="s">
        <v>1</v>
      </c>
      <c r="R7" s="483"/>
      <c r="S7" s="483"/>
      <c r="T7" s="483"/>
      <c r="U7" s="483"/>
      <c r="V7" s="483"/>
      <c r="W7" s="483"/>
      <c r="X7" s="85" t="s">
        <v>324</v>
      </c>
    </row>
    <row r="8" spans="1:24" x14ac:dyDescent="0.3">
      <c r="A8" s="132"/>
      <c r="B8" s="93">
        <v>4</v>
      </c>
      <c r="C8" s="93">
        <v>40</v>
      </c>
      <c r="D8" s="93">
        <v>400</v>
      </c>
      <c r="E8" s="134"/>
      <c r="F8" s="134"/>
      <c r="G8" s="134"/>
      <c r="H8" s="134"/>
      <c r="I8" s="134"/>
      <c r="J8" s="134"/>
      <c r="K8" s="134"/>
      <c r="L8" s="134"/>
      <c r="M8" s="135"/>
      <c r="O8" s="487" t="s">
        <v>477</v>
      </c>
      <c r="P8" s="487"/>
      <c r="Q8" s="487" t="s">
        <v>3139</v>
      </c>
      <c r="R8" s="487"/>
      <c r="S8" s="487"/>
      <c r="T8" s="487"/>
      <c r="U8" s="487"/>
      <c r="V8" s="487"/>
      <c r="W8" s="487"/>
      <c r="X8" s="509" t="s">
        <v>325</v>
      </c>
    </row>
    <row r="9" spans="1:24" x14ac:dyDescent="0.3">
      <c r="A9" s="132"/>
      <c r="B9" s="134"/>
      <c r="C9" s="134"/>
      <c r="D9" s="134"/>
      <c r="E9" s="134"/>
      <c r="F9" s="134"/>
      <c r="G9" s="134"/>
      <c r="H9" s="134"/>
      <c r="I9" s="134"/>
      <c r="J9" s="134"/>
      <c r="K9" s="134"/>
      <c r="L9" s="134"/>
      <c r="M9" s="135"/>
      <c r="O9" s="487"/>
      <c r="P9" s="487"/>
      <c r="Q9" s="487"/>
      <c r="R9" s="487"/>
      <c r="S9" s="487"/>
      <c r="T9" s="487"/>
      <c r="U9" s="487"/>
      <c r="V9" s="487"/>
      <c r="W9" s="487"/>
      <c r="X9" s="509"/>
    </row>
    <row r="10" spans="1:24" x14ac:dyDescent="0.3">
      <c r="A10" s="132"/>
      <c r="B10" s="134"/>
      <c r="C10" s="134"/>
      <c r="D10" s="134"/>
      <c r="E10" s="134"/>
      <c r="F10" s="134"/>
      <c r="G10" s="134"/>
      <c r="H10" s="134"/>
      <c r="I10" s="134"/>
      <c r="J10" s="134"/>
      <c r="K10" s="134"/>
      <c r="L10" s="134"/>
      <c r="M10" s="135"/>
      <c r="O10" s="487"/>
      <c r="P10" s="487"/>
      <c r="Q10" s="487"/>
      <c r="R10" s="487"/>
      <c r="S10" s="487"/>
      <c r="T10" s="487"/>
      <c r="U10" s="487"/>
      <c r="V10" s="487"/>
      <c r="W10" s="487"/>
      <c r="X10" s="509"/>
    </row>
    <row r="11" spans="1:24" x14ac:dyDescent="0.3">
      <c r="A11" s="132"/>
      <c r="B11" s="134"/>
      <c r="C11" s="134"/>
      <c r="D11" s="134"/>
      <c r="E11" s="134"/>
      <c r="F11" s="134"/>
      <c r="G11" s="134"/>
      <c r="H11" s="134"/>
      <c r="I11" s="134"/>
      <c r="J11" s="134"/>
      <c r="K11" s="134"/>
      <c r="L11" s="134"/>
      <c r="M11" s="135"/>
      <c r="O11" s="487" t="s">
        <v>527</v>
      </c>
      <c r="P11" s="487"/>
      <c r="Q11" s="487" t="s">
        <v>534</v>
      </c>
      <c r="R11" s="487"/>
      <c r="S11" s="487"/>
      <c r="T11" s="487"/>
      <c r="U11" s="487"/>
      <c r="V11" s="487"/>
      <c r="W11" s="487"/>
      <c r="X11" s="509" t="s">
        <v>325</v>
      </c>
    </row>
    <row r="12" spans="1:24" x14ac:dyDescent="0.3">
      <c r="A12" s="132"/>
      <c r="B12" s="134"/>
      <c r="C12" s="134"/>
      <c r="D12" s="134"/>
      <c r="E12" s="134"/>
      <c r="F12" s="134"/>
      <c r="G12" s="134"/>
      <c r="H12" s="134"/>
      <c r="I12" s="134"/>
      <c r="J12" s="134"/>
      <c r="K12" s="134"/>
      <c r="L12" s="134"/>
      <c r="M12" s="135"/>
      <c r="O12" s="487"/>
      <c r="P12" s="487"/>
      <c r="Q12" s="487"/>
      <c r="R12" s="487"/>
      <c r="S12" s="487"/>
      <c r="T12" s="487"/>
      <c r="U12" s="487"/>
      <c r="V12" s="487"/>
      <c r="W12" s="487"/>
      <c r="X12" s="509"/>
    </row>
    <row r="13" spans="1:24" x14ac:dyDescent="0.3">
      <c r="A13" s="132"/>
      <c r="B13" s="134"/>
      <c r="C13" s="134"/>
      <c r="D13" s="134"/>
      <c r="E13" s="134"/>
      <c r="F13" s="134"/>
      <c r="G13" s="134"/>
      <c r="H13" s="134"/>
      <c r="I13" s="134"/>
      <c r="J13" s="134"/>
      <c r="K13" s="134"/>
      <c r="L13" s="134"/>
      <c r="M13" s="135"/>
      <c r="O13" s="487"/>
      <c r="P13" s="487"/>
      <c r="Q13" s="487"/>
      <c r="R13" s="487"/>
      <c r="S13" s="487"/>
      <c r="T13" s="487"/>
      <c r="U13" s="487"/>
      <c r="V13" s="487"/>
      <c r="W13" s="487"/>
      <c r="X13" s="509"/>
    </row>
    <row r="14" spans="1:24" ht="15" customHeight="1" x14ac:dyDescent="0.3">
      <c r="A14" s="132"/>
      <c r="B14" s="134"/>
      <c r="C14" s="134"/>
      <c r="D14" s="134"/>
      <c r="E14" s="134"/>
      <c r="F14" s="556" t="s">
        <v>3413</v>
      </c>
      <c r="G14" s="556"/>
      <c r="H14" s="556"/>
      <c r="I14" s="134"/>
      <c r="J14" s="556" t="s">
        <v>334</v>
      </c>
      <c r="K14" s="556"/>
      <c r="L14" s="134"/>
      <c r="M14" s="135"/>
      <c r="O14" s="487" t="s">
        <v>528</v>
      </c>
      <c r="P14" s="487"/>
      <c r="Q14" s="487" t="s">
        <v>533</v>
      </c>
      <c r="R14" s="487"/>
      <c r="S14" s="487"/>
      <c r="T14" s="487"/>
      <c r="U14" s="487"/>
      <c r="V14" s="487"/>
      <c r="W14" s="487"/>
      <c r="X14" s="509" t="s">
        <v>325</v>
      </c>
    </row>
    <row r="15" spans="1:24" x14ac:dyDescent="0.3">
      <c r="A15" s="132"/>
      <c r="B15" s="134"/>
      <c r="C15" s="134"/>
      <c r="D15" s="134"/>
      <c r="E15" s="134"/>
      <c r="F15" s="93">
        <f t="array" ref="F15:H17">_xll.U.OFFSET($B$5:$C$6,K15,K16)</f>
        <v>2</v>
      </c>
      <c r="G15" s="95">
        <v>20</v>
      </c>
      <c r="H15" s="95" t="e">
        <v>#N/A</v>
      </c>
      <c r="I15" s="134"/>
      <c r="J15" s="46" t="s">
        <v>93</v>
      </c>
      <c r="K15" s="79">
        <v>1</v>
      </c>
      <c r="L15" s="134"/>
      <c r="M15" s="135"/>
      <c r="O15" s="487"/>
      <c r="P15" s="487"/>
      <c r="Q15" s="487"/>
      <c r="R15" s="487"/>
      <c r="S15" s="487"/>
      <c r="T15" s="487"/>
      <c r="U15" s="487"/>
      <c r="V15" s="487"/>
      <c r="W15" s="487"/>
      <c r="X15" s="509"/>
    </row>
    <row r="16" spans="1:24" x14ac:dyDescent="0.3">
      <c r="A16" s="132"/>
      <c r="B16" s="134"/>
      <c r="C16" s="134"/>
      <c r="D16" s="134"/>
      <c r="E16" s="134"/>
      <c r="F16" s="95">
        <v>3</v>
      </c>
      <c r="G16" s="95">
        <v>30</v>
      </c>
      <c r="H16" s="95" t="e">
        <v>#N/A</v>
      </c>
      <c r="I16" s="134"/>
      <c r="J16" s="46" t="s">
        <v>96</v>
      </c>
      <c r="K16" s="79">
        <v>0</v>
      </c>
      <c r="L16" s="134"/>
      <c r="M16" s="135"/>
      <c r="O16" s="487"/>
      <c r="P16" s="487"/>
      <c r="Q16" s="487"/>
      <c r="R16" s="487"/>
      <c r="S16" s="487"/>
      <c r="T16" s="487"/>
      <c r="U16" s="487"/>
      <c r="V16" s="487"/>
      <c r="W16" s="487"/>
      <c r="X16" s="509"/>
    </row>
    <row r="17" spans="1:24" x14ac:dyDescent="0.3">
      <c r="A17" s="132"/>
      <c r="B17" s="134"/>
      <c r="C17" s="134"/>
      <c r="D17" s="134"/>
      <c r="E17" s="134"/>
      <c r="F17" s="95" t="e">
        <v>#N/A</v>
      </c>
      <c r="G17" s="95" t="e">
        <v>#N/A</v>
      </c>
      <c r="H17" s="95" t="e">
        <v>#N/A</v>
      </c>
      <c r="I17" s="134"/>
      <c r="J17" s="134"/>
      <c r="K17" s="134"/>
      <c r="L17" s="134"/>
      <c r="M17" s="135"/>
      <c r="O17" s="484" t="s">
        <v>529</v>
      </c>
      <c r="P17" s="484"/>
      <c r="Q17" s="484" t="s">
        <v>535</v>
      </c>
      <c r="R17" s="484"/>
      <c r="S17" s="484"/>
      <c r="T17" s="484"/>
      <c r="U17" s="484"/>
      <c r="V17" s="484"/>
      <c r="W17" s="484"/>
      <c r="X17" s="485" t="s">
        <v>326</v>
      </c>
    </row>
    <row r="18" spans="1:24" x14ac:dyDescent="0.3">
      <c r="A18" s="132"/>
      <c r="B18" s="134"/>
      <c r="C18" s="134"/>
      <c r="D18" s="134"/>
      <c r="E18" s="134"/>
      <c r="F18" s="134"/>
      <c r="G18" s="134"/>
      <c r="H18" s="134"/>
      <c r="I18" s="134"/>
      <c r="J18" s="134"/>
      <c r="K18" s="134"/>
      <c r="L18" s="134"/>
      <c r="M18" s="135"/>
      <c r="O18" s="484"/>
      <c r="P18" s="484"/>
      <c r="Q18" s="484"/>
      <c r="R18" s="484"/>
      <c r="S18" s="484"/>
      <c r="T18" s="484"/>
      <c r="U18" s="484"/>
      <c r="V18" s="484"/>
      <c r="W18" s="484"/>
      <c r="X18" s="485"/>
    </row>
    <row r="19" spans="1:24" x14ac:dyDescent="0.3">
      <c r="A19" s="132"/>
      <c r="B19" s="134"/>
      <c r="C19" s="134"/>
      <c r="D19" s="134"/>
      <c r="E19" s="134"/>
      <c r="F19" s="134"/>
      <c r="G19" s="134"/>
      <c r="H19" s="134"/>
      <c r="I19" s="134"/>
      <c r="J19" s="134"/>
      <c r="K19" s="134"/>
      <c r="L19" s="134"/>
      <c r="M19" s="135"/>
      <c r="O19" s="484"/>
      <c r="P19" s="484"/>
      <c r="Q19" s="484"/>
      <c r="R19" s="484"/>
      <c r="S19" s="484"/>
      <c r="T19" s="484"/>
      <c r="U19" s="484"/>
      <c r="V19" s="484"/>
      <c r="W19" s="484"/>
      <c r="X19" s="485"/>
    </row>
    <row r="20" spans="1:24" x14ac:dyDescent="0.3">
      <c r="A20" s="132"/>
      <c r="B20" s="134"/>
      <c r="C20" s="134"/>
      <c r="D20" s="134"/>
      <c r="E20" s="134"/>
      <c r="F20" s="134"/>
      <c r="G20" s="134"/>
      <c r="H20" s="134"/>
      <c r="I20" s="134"/>
      <c r="J20" s="134"/>
      <c r="K20" s="134"/>
      <c r="L20" s="134"/>
      <c r="M20" s="135"/>
      <c r="O20" s="484" t="s">
        <v>530</v>
      </c>
      <c r="P20" s="484"/>
      <c r="Q20" s="484" t="s">
        <v>536</v>
      </c>
      <c r="R20" s="484"/>
      <c r="S20" s="484"/>
      <c r="T20" s="484"/>
      <c r="U20" s="484"/>
      <c r="V20" s="484"/>
      <c r="W20" s="484"/>
      <c r="X20" s="485" t="s">
        <v>326</v>
      </c>
    </row>
    <row r="21" spans="1:24" x14ac:dyDescent="0.3">
      <c r="A21" s="132"/>
      <c r="B21" s="134"/>
      <c r="C21" s="134"/>
      <c r="D21" s="134"/>
      <c r="E21" s="134"/>
      <c r="F21" s="134"/>
      <c r="G21" s="134"/>
      <c r="H21" s="134"/>
      <c r="I21" s="134"/>
      <c r="J21" s="134"/>
      <c r="K21" s="134"/>
      <c r="L21" s="134"/>
      <c r="M21" s="135"/>
      <c r="O21" s="484"/>
      <c r="P21" s="484"/>
      <c r="Q21" s="484"/>
      <c r="R21" s="484"/>
      <c r="S21" s="484"/>
      <c r="T21" s="484"/>
      <c r="U21" s="484"/>
      <c r="V21" s="484"/>
      <c r="W21" s="484"/>
      <c r="X21" s="485"/>
    </row>
    <row r="22" spans="1:24" x14ac:dyDescent="0.3">
      <c r="A22" s="132"/>
      <c r="B22" s="134"/>
      <c r="C22" s="134"/>
      <c r="D22" s="134"/>
      <c r="E22" s="134"/>
      <c r="F22" s="556" t="s">
        <v>3413</v>
      </c>
      <c r="G22" s="556"/>
      <c r="H22" s="556"/>
      <c r="I22" s="134"/>
      <c r="J22" s="556" t="s">
        <v>334</v>
      </c>
      <c r="K22" s="556"/>
      <c r="L22" s="134"/>
      <c r="M22" s="135"/>
      <c r="O22" s="484"/>
      <c r="P22" s="484"/>
      <c r="Q22" s="484"/>
      <c r="R22" s="484"/>
      <c r="S22" s="484"/>
      <c r="T22" s="484"/>
      <c r="U22" s="484"/>
      <c r="V22" s="484"/>
      <c r="W22" s="484"/>
      <c r="X22" s="485"/>
    </row>
    <row r="23" spans="1:24" x14ac:dyDescent="0.3">
      <c r="A23" s="132"/>
      <c r="B23" s="134"/>
      <c r="C23" s="134"/>
      <c r="D23" s="134"/>
      <c r="E23" s="134"/>
      <c r="F23" s="93">
        <f t="array" ref="F23:H25">_xll.U.OFFSET($B$5:$C$6,K23,K24,K25,K26)</f>
        <v>2</v>
      </c>
      <c r="G23" s="95">
        <v>20</v>
      </c>
      <c r="H23" s="95">
        <v>200</v>
      </c>
      <c r="I23" s="134"/>
      <c r="J23" s="46" t="s">
        <v>93</v>
      </c>
      <c r="K23" s="79">
        <v>1</v>
      </c>
      <c r="L23" s="134"/>
      <c r="M23" s="135"/>
      <c r="O23" s="484" t="s">
        <v>531</v>
      </c>
      <c r="P23" s="484"/>
      <c r="Q23" s="484" t="s">
        <v>2265</v>
      </c>
      <c r="R23" s="484"/>
      <c r="S23" s="484"/>
      <c r="T23" s="484"/>
      <c r="U23" s="484"/>
      <c r="V23" s="484"/>
      <c r="W23" s="484"/>
      <c r="X23" s="485" t="s">
        <v>326</v>
      </c>
    </row>
    <row r="24" spans="1:24" x14ac:dyDescent="0.3">
      <c r="A24" s="132"/>
      <c r="B24" s="134"/>
      <c r="C24" s="134"/>
      <c r="D24" s="134"/>
      <c r="E24" s="134"/>
      <c r="F24" s="95">
        <v>3</v>
      </c>
      <c r="G24" s="95">
        <v>30</v>
      </c>
      <c r="H24" s="95">
        <v>300</v>
      </c>
      <c r="I24" s="134"/>
      <c r="J24" s="46" t="s">
        <v>96</v>
      </c>
      <c r="K24" s="79">
        <v>0</v>
      </c>
      <c r="L24" s="134"/>
      <c r="M24" s="135"/>
      <c r="O24" s="484"/>
      <c r="P24" s="484"/>
      <c r="Q24" s="484"/>
      <c r="R24" s="484"/>
      <c r="S24" s="484"/>
      <c r="T24" s="484"/>
      <c r="U24" s="484"/>
      <c r="V24" s="484"/>
      <c r="W24" s="484"/>
      <c r="X24" s="485"/>
    </row>
    <row r="25" spans="1:24" x14ac:dyDescent="0.3">
      <c r="A25" s="132"/>
      <c r="B25" s="134"/>
      <c r="C25" s="134"/>
      <c r="D25" s="134"/>
      <c r="E25" s="134"/>
      <c r="F25" s="95">
        <v>4</v>
      </c>
      <c r="G25" s="95">
        <v>40</v>
      </c>
      <c r="H25" s="95">
        <v>400</v>
      </c>
      <c r="I25" s="134"/>
      <c r="J25" s="46" t="s">
        <v>335</v>
      </c>
      <c r="K25" s="79">
        <v>3</v>
      </c>
      <c r="L25" s="134"/>
      <c r="M25" s="135"/>
      <c r="O25" s="484"/>
      <c r="P25" s="484"/>
      <c r="Q25" s="484"/>
      <c r="R25" s="484"/>
      <c r="S25" s="484"/>
      <c r="T25" s="484"/>
      <c r="U25" s="484"/>
      <c r="V25" s="484"/>
      <c r="W25" s="484"/>
      <c r="X25" s="485"/>
    </row>
    <row r="26" spans="1:24" x14ac:dyDescent="0.3">
      <c r="A26" s="132"/>
      <c r="B26" s="134"/>
      <c r="C26" s="134"/>
      <c r="D26" s="134"/>
      <c r="E26" s="134"/>
      <c r="F26" s="134"/>
      <c r="G26" s="134"/>
      <c r="H26" s="134"/>
      <c r="I26" s="134"/>
      <c r="J26" s="46" t="s">
        <v>336</v>
      </c>
      <c r="K26" s="79">
        <v>3</v>
      </c>
      <c r="L26" s="134"/>
      <c r="M26" s="135"/>
      <c r="O26" s="484" t="s">
        <v>532</v>
      </c>
      <c r="P26" s="484"/>
      <c r="Q26" s="484" t="s">
        <v>537</v>
      </c>
      <c r="R26" s="484"/>
      <c r="S26" s="484"/>
      <c r="T26" s="484"/>
      <c r="U26" s="484"/>
      <c r="V26" s="484"/>
      <c r="W26" s="484"/>
      <c r="X26" s="485" t="s">
        <v>326</v>
      </c>
    </row>
    <row r="27" spans="1:24" x14ac:dyDescent="0.3">
      <c r="A27" s="132"/>
      <c r="B27" s="134"/>
      <c r="C27" s="134"/>
      <c r="D27" s="134"/>
      <c r="E27" s="134"/>
      <c r="F27" s="134"/>
      <c r="G27" s="134"/>
      <c r="H27" s="134"/>
      <c r="I27" s="134"/>
      <c r="J27" s="134"/>
      <c r="K27" s="134"/>
      <c r="L27" s="134"/>
      <c r="M27" s="135"/>
      <c r="O27" s="484"/>
      <c r="P27" s="484"/>
      <c r="Q27" s="484"/>
      <c r="R27" s="484"/>
      <c r="S27" s="484"/>
      <c r="T27" s="484"/>
      <c r="U27" s="484"/>
      <c r="V27" s="484"/>
      <c r="W27" s="484"/>
      <c r="X27" s="485"/>
    </row>
    <row r="28" spans="1:24" x14ac:dyDescent="0.3">
      <c r="A28" s="132"/>
      <c r="B28" s="134"/>
      <c r="C28" s="134"/>
      <c r="D28" s="134"/>
      <c r="E28" s="134"/>
      <c r="F28" s="134"/>
      <c r="G28" s="134"/>
      <c r="H28" s="134"/>
      <c r="I28" s="134"/>
      <c r="J28" s="134"/>
      <c r="K28" s="134"/>
      <c r="L28" s="134"/>
      <c r="M28" s="135"/>
      <c r="O28" s="484"/>
      <c r="P28" s="484"/>
      <c r="Q28" s="484"/>
      <c r="R28" s="484"/>
      <c r="S28" s="484"/>
      <c r="T28" s="484"/>
      <c r="U28" s="484"/>
      <c r="V28" s="484"/>
      <c r="W28" s="484"/>
      <c r="X28" s="485"/>
    </row>
    <row r="29" spans="1:24" x14ac:dyDescent="0.3">
      <c r="A29" s="132"/>
      <c r="B29" s="134"/>
      <c r="C29" s="134"/>
      <c r="D29" s="134"/>
      <c r="E29" s="134"/>
      <c r="F29" s="556" t="s">
        <v>3413</v>
      </c>
      <c r="G29" s="556"/>
      <c r="H29" s="556"/>
      <c r="I29" s="134"/>
      <c r="J29" s="556" t="s">
        <v>334</v>
      </c>
      <c r="K29" s="556"/>
      <c r="L29" s="134"/>
      <c r="M29" s="135"/>
      <c r="O29" s="126" t="s">
        <v>328</v>
      </c>
    </row>
    <row r="30" spans="1:24" x14ac:dyDescent="0.3">
      <c r="A30" s="132"/>
      <c r="B30" s="134"/>
      <c r="C30" s="134"/>
      <c r="D30" s="134"/>
      <c r="E30" s="134"/>
      <c r="F30" s="93" t="str">
        <f t="array" ref="F30:H32">_xll.U.OFFSET($B$5:$D$6,K30,K31)</f>
        <v/>
      </c>
      <c r="G30" s="95">
        <v>1</v>
      </c>
      <c r="H30" s="95" t="e">
        <v>#N/A</v>
      </c>
      <c r="I30" s="134"/>
      <c r="J30" s="46" t="s">
        <v>93</v>
      </c>
      <c r="K30" s="79">
        <v>0</v>
      </c>
      <c r="L30" s="134"/>
      <c r="M30" s="135"/>
    </row>
    <row r="31" spans="1:24" x14ac:dyDescent="0.3">
      <c r="A31" s="132"/>
      <c r="B31" s="134"/>
      <c r="C31" s="134"/>
      <c r="D31" s="134"/>
      <c r="E31" s="134"/>
      <c r="F31" s="95" t="str">
        <v/>
      </c>
      <c r="G31" s="95">
        <v>2</v>
      </c>
      <c r="H31" s="95" t="e">
        <v>#N/A</v>
      </c>
      <c r="I31" s="134"/>
      <c r="J31" s="46" t="s">
        <v>96</v>
      </c>
      <c r="K31" s="79">
        <v>-2</v>
      </c>
      <c r="L31" s="134"/>
      <c r="M31" s="135"/>
    </row>
    <row r="32" spans="1:24" x14ac:dyDescent="0.3">
      <c r="A32" s="132"/>
      <c r="B32" s="134"/>
      <c r="C32" s="134"/>
      <c r="D32" s="134"/>
      <c r="E32" s="134"/>
      <c r="F32" s="95" t="e">
        <v>#N/A</v>
      </c>
      <c r="G32" s="95" t="e">
        <v>#N/A</v>
      </c>
      <c r="H32" s="95" t="e">
        <v>#N/A</v>
      </c>
      <c r="I32" s="134"/>
      <c r="J32" s="134"/>
      <c r="K32" s="134"/>
      <c r="L32" s="134"/>
      <c r="M32" s="135"/>
    </row>
    <row r="33" spans="1:13" x14ac:dyDescent="0.3">
      <c r="A33" s="132"/>
      <c r="B33" s="134"/>
      <c r="C33" s="134"/>
      <c r="D33" s="134"/>
      <c r="E33" s="134"/>
      <c r="F33" s="134"/>
      <c r="G33" s="134"/>
      <c r="H33" s="134"/>
      <c r="I33" s="134"/>
      <c r="J33" s="134"/>
      <c r="K33" s="134"/>
      <c r="L33" s="134"/>
      <c r="M33" s="135"/>
    </row>
    <row r="34" spans="1:13" x14ac:dyDescent="0.3">
      <c r="A34" s="132"/>
      <c r="B34" s="134"/>
      <c r="C34" s="134"/>
      <c r="D34" s="134"/>
      <c r="E34" s="134"/>
      <c r="F34" s="134"/>
      <c r="G34" s="134"/>
      <c r="H34" s="134"/>
      <c r="I34" s="134"/>
      <c r="J34" s="134"/>
      <c r="K34" s="134"/>
      <c r="L34" s="134"/>
      <c r="M34" s="135"/>
    </row>
    <row r="35" spans="1:13" x14ac:dyDescent="0.3">
      <c r="A35" s="132"/>
      <c r="B35" s="134"/>
      <c r="C35" s="134"/>
      <c r="D35" s="134"/>
      <c r="E35" s="134"/>
      <c r="F35" s="134"/>
      <c r="G35" s="134"/>
      <c r="H35" s="134"/>
      <c r="I35" s="134"/>
      <c r="J35" s="134"/>
      <c r="K35" s="134"/>
      <c r="L35" s="134"/>
      <c r="M35" s="135"/>
    </row>
    <row r="36" spans="1:13" x14ac:dyDescent="0.3">
      <c r="A36" s="132"/>
      <c r="B36" s="134"/>
      <c r="C36" s="134"/>
      <c r="D36" s="134"/>
      <c r="E36" s="134"/>
      <c r="F36" s="134"/>
      <c r="G36" s="134"/>
      <c r="H36" s="134"/>
      <c r="I36" s="134"/>
      <c r="J36" s="134"/>
      <c r="K36" s="134"/>
      <c r="L36" s="134"/>
      <c r="M36" s="135"/>
    </row>
    <row r="37" spans="1:13" x14ac:dyDescent="0.3">
      <c r="A37" s="132"/>
      <c r="B37" s="134"/>
      <c r="C37" s="134"/>
      <c r="D37" s="134"/>
      <c r="E37" s="134"/>
      <c r="F37" s="134"/>
      <c r="G37" s="134"/>
      <c r="H37" s="134"/>
      <c r="I37" s="134"/>
      <c r="J37" s="134"/>
      <c r="K37" s="134"/>
      <c r="L37" s="134"/>
      <c r="M37" s="135"/>
    </row>
    <row r="38" spans="1:13" x14ac:dyDescent="0.3">
      <c r="A38" s="132"/>
      <c r="B38" s="134"/>
      <c r="C38" s="134"/>
      <c r="D38" s="134"/>
      <c r="E38" s="134"/>
      <c r="F38" s="134"/>
      <c r="G38" s="134"/>
      <c r="H38" s="134"/>
      <c r="I38" s="134"/>
      <c r="J38" s="134"/>
      <c r="K38" s="134"/>
      <c r="L38" s="134"/>
      <c r="M38" s="135"/>
    </row>
    <row r="39" spans="1:13" x14ac:dyDescent="0.3">
      <c r="A39" s="132"/>
      <c r="B39" s="134"/>
      <c r="C39" s="134"/>
      <c r="D39" s="134"/>
      <c r="E39" s="134"/>
      <c r="F39" s="134"/>
      <c r="G39" s="134"/>
      <c r="H39" s="134"/>
      <c r="I39" s="134"/>
      <c r="J39" s="134"/>
      <c r="K39" s="134"/>
      <c r="L39" s="134"/>
      <c r="M39" s="135"/>
    </row>
    <row r="40" spans="1:13" x14ac:dyDescent="0.3">
      <c r="A40" s="132"/>
      <c r="B40" s="134"/>
      <c r="C40" s="134"/>
      <c r="D40" s="134"/>
      <c r="E40" s="134"/>
      <c r="F40" s="134"/>
      <c r="G40" s="134"/>
      <c r="H40" s="134"/>
      <c r="I40" s="134"/>
      <c r="J40" s="134"/>
      <c r="K40" s="134"/>
      <c r="L40" s="134"/>
      <c r="M40" s="135"/>
    </row>
    <row r="41" spans="1:13" x14ac:dyDescent="0.3">
      <c r="A41" s="132"/>
      <c r="B41" s="134"/>
      <c r="C41" s="134"/>
      <c r="D41" s="134"/>
      <c r="E41" s="134"/>
      <c r="F41" s="134"/>
      <c r="G41" s="134"/>
      <c r="H41" s="134"/>
      <c r="I41" s="134"/>
      <c r="J41" s="134"/>
      <c r="K41" s="134"/>
      <c r="L41" s="134"/>
      <c r="M41" s="135"/>
    </row>
    <row r="42" spans="1:13" x14ac:dyDescent="0.3">
      <c r="A42" s="132"/>
      <c r="B42" s="134"/>
      <c r="C42" s="134"/>
      <c r="D42" s="134"/>
      <c r="E42" s="134"/>
      <c r="F42" s="134"/>
      <c r="G42" s="134"/>
      <c r="H42" s="134"/>
      <c r="I42" s="134"/>
      <c r="J42" s="134"/>
      <c r="K42" s="134"/>
      <c r="L42" s="134"/>
      <c r="M42" s="135"/>
    </row>
    <row r="43" spans="1:13" x14ac:dyDescent="0.3">
      <c r="A43" s="132"/>
      <c r="B43" s="134"/>
      <c r="C43" s="134"/>
      <c r="D43" s="134"/>
      <c r="E43" s="134"/>
      <c r="F43" s="134"/>
      <c r="G43" s="134"/>
      <c r="H43" s="134"/>
      <c r="I43" s="134"/>
      <c r="J43" s="134"/>
      <c r="K43" s="134"/>
      <c r="L43" s="134"/>
      <c r="M43" s="135"/>
    </row>
    <row r="44" spans="1:13" x14ac:dyDescent="0.3">
      <c r="A44" s="132"/>
      <c r="B44" s="134"/>
      <c r="C44" s="134"/>
      <c r="D44" s="134"/>
      <c r="E44" s="134"/>
      <c r="F44" s="179" t="s">
        <v>3413</v>
      </c>
      <c r="G44" s="134"/>
      <c r="H44" s="134"/>
      <c r="I44" s="134"/>
      <c r="J44" s="134"/>
      <c r="K44" s="134"/>
      <c r="L44" s="134"/>
      <c r="M44" s="135"/>
    </row>
    <row r="45" spans="1:13" x14ac:dyDescent="0.3">
      <c r="A45" s="132"/>
      <c r="B45" s="134"/>
      <c r="C45" s="134"/>
      <c r="D45" s="134"/>
      <c r="E45" s="134"/>
      <c r="F45" s="95" t="str" cm="1">
        <f t="array" ref="F45">_xll.U.DO(_xll.U.OFFSET($B$5:$D$6,K30,K31,,,"id"),F48)</f>
        <v>[REF]{{34856#2238110031616!R5C1:R6C2}}</v>
      </c>
      <c r="G45" s="134"/>
      <c r="H45" s="134"/>
      <c r="I45" s="134"/>
      <c r="J45" s="134"/>
      <c r="K45" s="134"/>
      <c r="L45" s="134"/>
      <c r="M45" s="135"/>
    </row>
    <row r="46" spans="1:13" x14ac:dyDescent="0.3">
      <c r="A46" s="132"/>
      <c r="B46" s="134"/>
      <c r="C46" s="134"/>
      <c r="D46" s="134"/>
      <c r="E46" s="134"/>
      <c r="F46" s="134"/>
      <c r="G46" s="134"/>
      <c r="H46" s="134"/>
      <c r="I46" s="134"/>
      <c r="J46" s="134"/>
      <c r="K46" s="134"/>
      <c r="L46" s="134"/>
      <c r="M46" s="135"/>
    </row>
    <row r="47" spans="1:13" x14ac:dyDescent="0.3">
      <c r="A47" s="132"/>
      <c r="B47" s="134"/>
      <c r="C47" s="134"/>
      <c r="D47" s="134"/>
      <c r="E47" s="134"/>
      <c r="F47" s="179" t="s">
        <v>2283</v>
      </c>
      <c r="G47" s="134"/>
      <c r="H47" s="134"/>
      <c r="I47" s="134"/>
      <c r="J47" s="134"/>
      <c r="K47" s="134"/>
      <c r="L47" s="134"/>
      <c r="M47" s="135"/>
    </row>
    <row r="48" spans="1:13" x14ac:dyDescent="0.3">
      <c r="A48" s="132"/>
      <c r="B48" s="134"/>
      <c r="C48" s="134"/>
      <c r="D48" s="134"/>
      <c r="E48" s="134"/>
      <c r="F48" s="96" cm="1">
        <f t="array" ref="F48">_xll.U.NOW()</f>
        <v>46145.893226273103</v>
      </c>
      <c r="G48" s="134"/>
      <c r="H48" s="134"/>
      <c r="I48" s="134"/>
      <c r="J48" s="134"/>
      <c r="K48" s="134"/>
      <c r="L48" s="134"/>
      <c r="M48" s="135"/>
    </row>
    <row r="49" spans="1:13" x14ac:dyDescent="0.3">
      <c r="A49" s="132"/>
      <c r="B49" s="134"/>
      <c r="C49" s="134"/>
      <c r="D49" s="134"/>
      <c r="E49" s="134"/>
      <c r="F49" s="134"/>
      <c r="G49" s="134"/>
      <c r="H49" s="134"/>
      <c r="I49" s="134"/>
      <c r="J49" s="134"/>
      <c r="K49" s="134"/>
      <c r="L49" s="134"/>
      <c r="M49" s="135"/>
    </row>
    <row r="50" spans="1:13" x14ac:dyDescent="0.3">
      <c r="A50" s="132"/>
      <c r="B50" s="134"/>
      <c r="C50" s="134"/>
      <c r="D50" s="134"/>
      <c r="E50" s="134"/>
      <c r="F50" s="134"/>
      <c r="G50" s="134"/>
      <c r="H50" s="134"/>
      <c r="I50" s="134"/>
      <c r="J50" s="134"/>
      <c r="K50" s="134"/>
      <c r="L50" s="134"/>
      <c r="M50" s="135"/>
    </row>
    <row r="51" spans="1:13" x14ac:dyDescent="0.3">
      <c r="A51" s="132"/>
      <c r="B51" s="134"/>
      <c r="C51" s="134"/>
      <c r="D51" s="134"/>
      <c r="E51" s="134"/>
      <c r="F51" s="134"/>
      <c r="G51" s="134"/>
      <c r="H51" s="134"/>
      <c r="I51" s="134"/>
      <c r="J51" s="134"/>
      <c r="K51" s="134"/>
      <c r="L51" s="134"/>
      <c r="M51" s="135"/>
    </row>
    <row r="52" spans="1:13" x14ac:dyDescent="0.3">
      <c r="A52" s="132"/>
      <c r="B52" s="134"/>
      <c r="C52" s="134"/>
      <c r="D52" s="134"/>
      <c r="E52" s="134"/>
      <c r="F52" s="134"/>
      <c r="G52" s="134"/>
      <c r="H52" s="134"/>
      <c r="I52" s="134"/>
      <c r="J52" s="134"/>
      <c r="K52" s="134"/>
      <c r="L52" s="134"/>
      <c r="M52" s="135"/>
    </row>
    <row r="53" spans="1:13" x14ac:dyDescent="0.3">
      <c r="A53" s="132"/>
      <c r="B53" s="134"/>
      <c r="C53" s="134"/>
      <c r="D53" s="134"/>
      <c r="E53" s="134"/>
      <c r="F53" s="556" t="s">
        <v>3413</v>
      </c>
      <c r="G53" s="556"/>
      <c r="H53" s="556"/>
      <c r="I53" s="134"/>
      <c r="J53" s="556" t="s">
        <v>334</v>
      </c>
      <c r="K53" s="556"/>
      <c r="L53" s="134"/>
      <c r="M53" s="135"/>
    </row>
    <row r="54" spans="1:13" x14ac:dyDescent="0.3">
      <c r="A54" s="132"/>
      <c r="B54" s="134"/>
      <c r="C54" s="134"/>
      <c r="D54" s="134"/>
      <c r="E54" s="134"/>
      <c r="F54" s="93" t="e">
        <f t="array" ref="F54:H56">_xll.U.OFFSET($B$5:$D$6,K54,K55,,,,TRUE)</f>
        <v>#REF!</v>
      </c>
      <c r="G54" s="95" t="e">
        <v>#REF!</v>
      </c>
      <c r="H54" s="95" t="e">
        <v>#REF!</v>
      </c>
      <c r="I54" s="134"/>
      <c r="J54" s="46" t="s">
        <v>93</v>
      </c>
      <c r="K54" s="79">
        <v>0</v>
      </c>
      <c r="L54" s="134"/>
      <c r="M54" s="135"/>
    </row>
    <row r="55" spans="1:13" x14ac:dyDescent="0.3">
      <c r="A55" s="132"/>
      <c r="B55" s="134"/>
      <c r="C55" s="134"/>
      <c r="D55" s="134"/>
      <c r="E55" s="134"/>
      <c r="F55" s="95" t="e">
        <v>#REF!</v>
      </c>
      <c r="G55" s="95" t="e">
        <v>#REF!</v>
      </c>
      <c r="H55" s="95" t="e">
        <v>#REF!</v>
      </c>
      <c r="I55" s="134"/>
      <c r="J55" s="46" t="s">
        <v>96</v>
      </c>
      <c r="K55" s="79">
        <v>-2</v>
      </c>
      <c r="L55" s="134"/>
      <c r="M55" s="135"/>
    </row>
    <row r="56" spans="1:13" x14ac:dyDescent="0.3">
      <c r="A56" s="132"/>
      <c r="B56" s="134"/>
      <c r="C56" s="134"/>
      <c r="D56" s="134"/>
      <c r="E56" s="134"/>
      <c r="F56" s="95" t="e">
        <v>#REF!</v>
      </c>
      <c r="G56" s="95" t="e">
        <v>#REF!</v>
      </c>
      <c r="H56" s="95" t="e">
        <v>#REF!</v>
      </c>
      <c r="I56" s="134"/>
      <c r="J56" s="134"/>
      <c r="K56" s="134"/>
      <c r="L56" s="134"/>
      <c r="M56" s="135"/>
    </row>
    <row r="57" spans="1:13" x14ac:dyDescent="0.3">
      <c r="A57" s="132"/>
      <c r="B57" s="134"/>
      <c r="C57" s="134"/>
      <c r="D57" s="134"/>
      <c r="E57" s="134"/>
      <c r="F57" s="134"/>
      <c r="G57" s="134"/>
      <c r="H57" s="134"/>
      <c r="I57" s="134"/>
      <c r="J57" s="134"/>
      <c r="K57" s="134"/>
      <c r="L57" s="134"/>
      <c r="M57" s="135"/>
    </row>
    <row r="58" spans="1:13" x14ac:dyDescent="0.3">
      <c r="A58" s="132"/>
      <c r="B58" s="134"/>
      <c r="C58" s="134"/>
      <c r="D58" s="134"/>
      <c r="E58" s="134"/>
      <c r="F58" s="134"/>
      <c r="G58" s="134"/>
      <c r="H58" s="134"/>
      <c r="I58" s="134"/>
      <c r="J58" s="134"/>
      <c r="K58" s="134"/>
      <c r="L58" s="134"/>
      <c r="M58" s="135"/>
    </row>
    <row r="59" spans="1:13" ht="15" thickBot="1" x14ac:dyDescent="0.35">
      <c r="A59" s="139"/>
      <c r="B59" s="140"/>
      <c r="C59" s="140"/>
      <c r="D59" s="140"/>
      <c r="E59" s="140"/>
      <c r="F59" s="140"/>
      <c r="G59" s="140"/>
      <c r="H59" s="140"/>
      <c r="I59" s="140"/>
      <c r="J59" s="140"/>
      <c r="K59" s="140"/>
      <c r="L59" s="140"/>
      <c r="M59" s="141"/>
    </row>
  </sheetData>
  <mergeCells count="35">
    <mergeCell ref="F29:H29"/>
    <mergeCell ref="J29:K29"/>
    <mergeCell ref="F53:H53"/>
    <mergeCell ref="J53:K53"/>
    <mergeCell ref="J4:K4"/>
    <mergeCell ref="J14:K14"/>
    <mergeCell ref="F14:H14"/>
    <mergeCell ref="F22:H22"/>
    <mergeCell ref="J22:K22"/>
    <mergeCell ref="O3:X3"/>
    <mergeCell ref="O4:P6"/>
    <mergeCell ref="Q4:X6"/>
    <mergeCell ref="O7:P7"/>
    <mergeCell ref="Q7:W7"/>
    <mergeCell ref="O8:P10"/>
    <mergeCell ref="Q8:W10"/>
    <mergeCell ref="X8:X10"/>
    <mergeCell ref="O11:P13"/>
    <mergeCell ref="Q11:W13"/>
    <mergeCell ref="X11:X13"/>
    <mergeCell ref="O14:P16"/>
    <mergeCell ref="Q14:W16"/>
    <mergeCell ref="X14:X16"/>
    <mergeCell ref="O17:P19"/>
    <mergeCell ref="Q17:W19"/>
    <mergeCell ref="X17:X19"/>
    <mergeCell ref="O26:P28"/>
    <mergeCell ref="Q26:W28"/>
    <mergeCell ref="X26:X28"/>
    <mergeCell ref="O20:P22"/>
    <mergeCell ref="Q20:W22"/>
    <mergeCell ref="X20:X22"/>
    <mergeCell ref="O23:P25"/>
    <mergeCell ref="Q23:W25"/>
    <mergeCell ref="X23:X25"/>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Z103"/>
  <sheetViews>
    <sheetView zoomScaleNormal="100"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26" customWidth="1"/>
    <col min="4" max="4" width="17.44140625" customWidth="1"/>
    <col min="5" max="5" width="17.77734375" customWidth="1"/>
    <col min="6" max="6" width="16.77734375" customWidth="1"/>
    <col min="10" max="11" width="11.77734375" customWidth="1"/>
    <col min="15" max="15" width="22.77734375" customWidth="1"/>
    <col min="17" max="18" width="10.21875" customWidth="1"/>
    <col min="19" max="25" width="15.44140625" customWidth="1"/>
  </cols>
  <sheetData>
    <row r="1" spans="1:26" ht="34.5" customHeight="1" thickBot="1" x14ac:dyDescent="0.35">
      <c r="A1" s="292" t="s">
        <v>1580</v>
      </c>
      <c r="B1" s="473" t="e" vm="1">
        <v>#VALUE!</v>
      </c>
      <c r="C1" s="8" t="s">
        <v>64</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66</v>
      </c>
      <c r="B3" s="491"/>
      <c r="C3" s="491"/>
      <c r="D3" s="491"/>
      <c r="E3" s="491"/>
      <c r="F3" s="491"/>
      <c r="G3" s="491"/>
      <c r="H3" s="491"/>
      <c r="I3" s="491"/>
      <c r="J3" s="491"/>
      <c r="K3" s="491"/>
      <c r="L3" s="491"/>
      <c r="M3" s="491"/>
      <c r="N3" s="21"/>
      <c r="O3" s="20"/>
      <c r="Q3" s="486" t="s">
        <v>3414</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550</v>
      </c>
      <c r="T4" s="487"/>
      <c r="U4" s="487"/>
      <c r="V4" s="487"/>
      <c r="W4" s="487"/>
      <c r="X4" s="487"/>
      <c r="Y4" s="487"/>
      <c r="Z4" s="487"/>
    </row>
    <row r="5" spans="1:26" x14ac:dyDescent="0.3">
      <c r="A5" s="18"/>
      <c r="B5" s="475" t="s">
        <v>65</v>
      </c>
      <c r="C5" s="475"/>
      <c r="D5" s="475"/>
      <c r="E5" s="21"/>
      <c r="F5" s="21"/>
      <c r="G5" s="21"/>
      <c r="H5" s="21"/>
      <c r="I5" s="21"/>
      <c r="J5" s="21"/>
      <c r="K5" s="21"/>
      <c r="L5" s="21"/>
      <c r="M5" s="21"/>
      <c r="N5" s="21"/>
      <c r="O5" s="20"/>
      <c r="Q5" s="487"/>
      <c r="R5" s="487"/>
      <c r="S5" s="487"/>
      <c r="T5" s="487"/>
      <c r="U5" s="487"/>
      <c r="V5" s="487"/>
      <c r="W5" s="487"/>
      <c r="X5" s="487"/>
      <c r="Y5" s="487"/>
      <c r="Z5" s="487"/>
    </row>
    <row r="6" spans="1:26" x14ac:dyDescent="0.3">
      <c r="A6" s="18"/>
      <c r="B6" s="45" t="s">
        <v>2</v>
      </c>
      <c r="C6" s="46" t="s">
        <v>62</v>
      </c>
      <c r="D6" s="46" t="s">
        <v>63</v>
      </c>
      <c r="E6" s="21"/>
      <c r="F6" s="21"/>
      <c r="G6" s="21"/>
      <c r="H6" s="21"/>
      <c r="I6" s="21"/>
      <c r="J6" s="21"/>
      <c r="K6" s="21"/>
      <c r="L6" s="21"/>
      <c r="M6" s="21"/>
      <c r="N6" s="21"/>
      <c r="O6" s="20"/>
      <c r="Q6" s="487"/>
      <c r="R6" s="487"/>
      <c r="S6" s="487"/>
      <c r="T6" s="487"/>
      <c r="U6" s="487"/>
      <c r="V6" s="487"/>
      <c r="W6" s="487"/>
      <c r="X6" s="487"/>
      <c r="Y6" s="487"/>
      <c r="Z6" s="487"/>
    </row>
    <row r="7" spans="1:26" x14ac:dyDescent="0.3">
      <c r="A7" s="18"/>
      <c r="B7" s="39" t="s">
        <v>3</v>
      </c>
      <c r="C7" s="40">
        <v>50</v>
      </c>
      <c r="D7" s="41">
        <v>123.4</v>
      </c>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39" t="s">
        <v>4</v>
      </c>
      <c r="C8" s="40">
        <v>-20</v>
      </c>
      <c r="D8" s="41">
        <v>68</v>
      </c>
      <c r="E8" s="21"/>
      <c r="F8" s="21"/>
      <c r="G8" s="21"/>
      <c r="H8" s="21"/>
      <c r="I8" s="21"/>
      <c r="J8" s="21"/>
      <c r="K8" s="21"/>
      <c r="L8" s="21"/>
      <c r="M8" s="21"/>
      <c r="N8" s="21"/>
      <c r="O8" s="20"/>
      <c r="Q8" s="487" t="s">
        <v>551</v>
      </c>
      <c r="R8" s="487"/>
      <c r="S8" s="487" t="s">
        <v>552</v>
      </c>
      <c r="T8" s="487"/>
      <c r="U8" s="487"/>
      <c r="V8" s="487"/>
      <c r="W8" s="487"/>
      <c r="X8" s="487"/>
      <c r="Y8" s="487"/>
      <c r="Z8" s="509" t="s">
        <v>325</v>
      </c>
    </row>
    <row r="9" spans="1:26" x14ac:dyDescent="0.3">
      <c r="A9" s="18"/>
      <c r="B9" s="39" t="s">
        <v>4</v>
      </c>
      <c r="C9" s="40">
        <v>-150</v>
      </c>
      <c r="D9" s="41">
        <v>68</v>
      </c>
      <c r="E9" s="21"/>
      <c r="F9" s="21"/>
      <c r="G9" s="21"/>
      <c r="H9" s="21"/>
      <c r="I9" s="21"/>
      <c r="J9" s="21"/>
      <c r="K9" s="21"/>
      <c r="L9" s="21"/>
      <c r="M9" s="21"/>
      <c r="N9" s="21"/>
      <c r="O9" s="20"/>
      <c r="Q9" s="487"/>
      <c r="R9" s="487"/>
      <c r="S9" s="487"/>
      <c r="T9" s="487"/>
      <c r="U9" s="487"/>
      <c r="V9" s="487"/>
      <c r="W9" s="487"/>
      <c r="X9" s="487"/>
      <c r="Y9" s="487"/>
      <c r="Z9" s="509"/>
    </row>
    <row r="10" spans="1:26" x14ac:dyDescent="0.3">
      <c r="A10" s="18"/>
      <c r="B10" s="39" t="s">
        <v>3</v>
      </c>
      <c r="C10" s="40">
        <v>20</v>
      </c>
      <c r="D10" s="41">
        <v>123.41</v>
      </c>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39" t="s">
        <v>193</v>
      </c>
      <c r="C11" s="40"/>
      <c r="D11" s="41">
        <v>15</v>
      </c>
      <c r="E11" s="21"/>
      <c r="F11" s="21"/>
      <c r="G11" s="21"/>
      <c r="H11" s="21"/>
      <c r="I11" s="21"/>
      <c r="J11" s="21"/>
      <c r="K11" s="21"/>
      <c r="L11" s="21"/>
      <c r="M11" s="21"/>
      <c r="N11" s="21"/>
      <c r="O11" s="20"/>
      <c r="Q11" s="496" t="s">
        <v>539</v>
      </c>
      <c r="R11" s="497"/>
      <c r="S11" s="496" t="s">
        <v>1708</v>
      </c>
      <c r="T11" s="502"/>
      <c r="U11" s="502"/>
      <c r="V11" s="502"/>
      <c r="W11" s="502"/>
      <c r="X11" s="502"/>
      <c r="Y11" s="497"/>
      <c r="Z11" s="505" t="s">
        <v>326</v>
      </c>
    </row>
    <row r="12" spans="1:26" x14ac:dyDescent="0.3">
      <c r="A12" s="18"/>
      <c r="B12" s="39"/>
      <c r="C12" s="40">
        <v>-10</v>
      </c>
      <c r="D12" s="41"/>
      <c r="E12" s="21"/>
      <c r="F12" s="21"/>
      <c r="G12" s="21"/>
      <c r="H12" s="21"/>
      <c r="I12" s="21"/>
      <c r="J12" s="21"/>
      <c r="K12" s="21"/>
      <c r="L12" s="21"/>
      <c r="M12" s="21"/>
      <c r="N12" s="21"/>
      <c r="O12" s="20"/>
      <c r="Q12" s="498"/>
      <c r="R12" s="499"/>
      <c r="S12" s="498"/>
      <c r="T12" s="503"/>
      <c r="U12" s="503"/>
      <c r="V12" s="503"/>
      <c r="W12" s="503"/>
      <c r="X12" s="503"/>
      <c r="Y12" s="499"/>
      <c r="Z12" s="506"/>
    </row>
    <row r="13" spans="1:26" x14ac:dyDescent="0.3">
      <c r="A13" s="18"/>
      <c r="B13" s="39" t="s">
        <v>4</v>
      </c>
      <c r="C13" s="40">
        <v>20</v>
      </c>
      <c r="D13" s="41">
        <v>67.8</v>
      </c>
      <c r="E13" s="21"/>
      <c r="F13" s="21"/>
      <c r="G13" s="21"/>
      <c r="H13" s="21"/>
      <c r="I13" s="21"/>
      <c r="J13" s="21"/>
      <c r="K13" s="21"/>
      <c r="L13" s="21"/>
      <c r="M13" s="21"/>
      <c r="N13" s="21"/>
      <c r="O13" s="20"/>
      <c r="Q13" s="500"/>
      <c r="R13" s="501"/>
      <c r="S13" s="500"/>
      <c r="T13" s="504"/>
      <c r="U13" s="504"/>
      <c r="V13" s="504"/>
      <c r="W13" s="504"/>
      <c r="X13" s="504"/>
      <c r="Y13" s="501"/>
      <c r="Z13" s="507"/>
    </row>
    <row r="14" spans="1:26" ht="15" customHeight="1" x14ac:dyDescent="0.3">
      <c r="A14" s="18"/>
      <c r="B14" s="39"/>
      <c r="C14" s="40"/>
      <c r="D14" s="41"/>
      <c r="E14" s="21"/>
      <c r="F14" s="21"/>
      <c r="G14" s="21"/>
      <c r="H14" s="21"/>
      <c r="I14" s="21"/>
      <c r="J14" s="21"/>
      <c r="K14" s="21"/>
      <c r="L14" s="21"/>
      <c r="M14" s="21"/>
      <c r="N14" s="21"/>
      <c r="O14" s="20"/>
      <c r="Q14" s="496" t="s">
        <v>540</v>
      </c>
      <c r="R14" s="497"/>
      <c r="S14" s="496" t="s">
        <v>985</v>
      </c>
      <c r="T14" s="502"/>
      <c r="U14" s="502"/>
      <c r="V14" s="502"/>
      <c r="W14" s="502"/>
      <c r="X14" s="502"/>
      <c r="Y14" s="497"/>
      <c r="Z14" s="505" t="s">
        <v>326</v>
      </c>
    </row>
    <row r="15" spans="1:26" x14ac:dyDescent="0.3">
      <c r="A15" s="18"/>
      <c r="B15" s="39"/>
      <c r="C15" s="40"/>
      <c r="D15" s="4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39"/>
      <c r="C16" s="40"/>
      <c r="D16" s="41"/>
      <c r="E16" s="21"/>
      <c r="F16" s="21"/>
      <c r="G16" s="21"/>
      <c r="H16" s="21"/>
      <c r="I16" s="21"/>
      <c r="J16" s="21"/>
      <c r="K16" s="21"/>
      <c r="L16" s="21"/>
      <c r="M16" s="21"/>
      <c r="N16" s="21"/>
      <c r="O16" s="20"/>
      <c r="Q16" s="500"/>
      <c r="R16" s="501"/>
      <c r="S16" s="500"/>
      <c r="T16" s="504"/>
      <c r="U16" s="504"/>
      <c r="V16" s="504"/>
      <c r="W16" s="504"/>
      <c r="X16" s="504"/>
      <c r="Y16" s="501"/>
      <c r="Z16" s="507"/>
    </row>
    <row r="17" spans="1:26" ht="15" customHeight="1" x14ac:dyDescent="0.3">
      <c r="A17" s="18"/>
      <c r="B17" s="39"/>
      <c r="C17" s="40"/>
      <c r="D17" s="41"/>
      <c r="E17" s="21"/>
      <c r="F17" s="21"/>
      <c r="G17" s="21"/>
      <c r="H17" s="21"/>
      <c r="I17" s="21"/>
      <c r="J17" s="21"/>
      <c r="K17" s="21"/>
      <c r="L17" s="21"/>
      <c r="M17" s="21"/>
      <c r="N17" s="21"/>
      <c r="O17" s="20"/>
      <c r="Q17" s="496" t="s">
        <v>531</v>
      </c>
      <c r="R17" s="497"/>
      <c r="S17" s="484" t="s">
        <v>553</v>
      </c>
      <c r="T17" s="484"/>
      <c r="U17" s="484"/>
      <c r="V17" s="484"/>
      <c r="W17" s="484"/>
      <c r="X17" s="484"/>
      <c r="Y17" s="484"/>
      <c r="Z17" s="505" t="s">
        <v>326</v>
      </c>
    </row>
    <row r="18" spans="1:26" x14ac:dyDescent="0.3">
      <c r="A18" s="18"/>
      <c r="B18" s="39"/>
      <c r="C18" s="40"/>
      <c r="D18" s="41"/>
      <c r="E18" s="21"/>
      <c r="F18" s="21"/>
      <c r="G18" s="21"/>
      <c r="H18" s="21"/>
      <c r="I18" s="21"/>
      <c r="J18" s="21"/>
      <c r="K18" s="21"/>
      <c r="L18" s="21"/>
      <c r="M18" s="21"/>
      <c r="N18" s="21"/>
      <c r="O18" s="20"/>
      <c r="Q18" s="498"/>
      <c r="R18" s="499"/>
      <c r="S18" s="484"/>
      <c r="T18" s="484"/>
      <c r="U18" s="484"/>
      <c r="V18" s="484"/>
      <c r="W18" s="484"/>
      <c r="X18" s="484"/>
      <c r="Y18" s="484"/>
      <c r="Z18" s="506"/>
    </row>
    <row r="19" spans="1:26" x14ac:dyDescent="0.3">
      <c r="A19" s="18"/>
      <c r="B19" s="21"/>
      <c r="C19" s="21"/>
      <c r="D19" s="21"/>
      <c r="E19" s="21"/>
      <c r="F19" s="21"/>
      <c r="G19" s="21"/>
      <c r="H19" s="21"/>
      <c r="I19" s="21"/>
      <c r="J19" s="21"/>
      <c r="K19" s="21"/>
      <c r="L19" s="21"/>
      <c r="M19" s="21"/>
      <c r="N19" s="21"/>
      <c r="O19" s="20"/>
      <c r="Q19" s="500"/>
      <c r="R19" s="501"/>
      <c r="S19" s="484"/>
      <c r="T19" s="484"/>
      <c r="U19" s="484"/>
      <c r="V19" s="484"/>
      <c r="W19" s="484"/>
      <c r="X19" s="484"/>
      <c r="Y19" s="484"/>
      <c r="Z19" s="507"/>
    </row>
    <row r="20" spans="1:26" x14ac:dyDescent="0.3">
      <c r="A20" s="18"/>
      <c r="B20" s="12" t="str">
        <f t="array" ref="B20:E32">_xll.U.REGION(B5,3)</f>
        <v>Trades</v>
      </c>
      <c r="C20" s="12" t="str">
        <v/>
      </c>
      <c r="D20" s="12" t="str">
        <v/>
      </c>
      <c r="E20" s="30" t="e">
        <v>#N/A</v>
      </c>
      <c r="F20" s="21"/>
      <c r="G20" s="21"/>
      <c r="H20" s="21"/>
      <c r="I20" s="21"/>
      <c r="J20" s="21"/>
      <c r="K20" s="21"/>
      <c r="L20" s="21"/>
      <c r="M20" s="21"/>
      <c r="N20" s="21"/>
      <c r="O20" s="20"/>
      <c r="Q20" s="496" t="s">
        <v>546</v>
      </c>
      <c r="R20" s="497"/>
      <c r="S20" s="496" t="s">
        <v>554</v>
      </c>
      <c r="T20" s="502"/>
      <c r="U20" s="502"/>
      <c r="V20" s="502"/>
      <c r="W20" s="502"/>
      <c r="X20" s="502"/>
      <c r="Y20" s="497"/>
      <c r="Z20" s="505" t="s">
        <v>326</v>
      </c>
    </row>
    <row r="21" spans="1:26" x14ac:dyDescent="0.3">
      <c r="A21" s="18"/>
      <c r="B21" s="32" t="str">
        <v>Symbol</v>
      </c>
      <c r="C21" s="33" t="str">
        <v>Quantity</v>
      </c>
      <c r="D21" s="33" t="str">
        <v>Price</v>
      </c>
      <c r="E21" s="30" t="e">
        <v>#N/A</v>
      </c>
      <c r="F21" s="21"/>
      <c r="G21" s="21"/>
      <c r="H21" s="21"/>
      <c r="I21" s="21"/>
      <c r="J21" s="21"/>
      <c r="K21" s="21"/>
      <c r="L21" s="21"/>
      <c r="M21" s="21"/>
      <c r="N21" s="21"/>
      <c r="O21" s="20"/>
      <c r="Q21" s="498"/>
      <c r="R21" s="499"/>
      <c r="S21" s="498"/>
      <c r="T21" s="503"/>
      <c r="U21" s="503"/>
      <c r="V21" s="503"/>
      <c r="W21" s="503"/>
      <c r="X21" s="503"/>
      <c r="Y21" s="499"/>
      <c r="Z21" s="506"/>
    </row>
    <row r="22" spans="1:26" x14ac:dyDescent="0.3">
      <c r="A22" s="18"/>
      <c r="B22" s="10" t="str">
        <v>ABC</v>
      </c>
      <c r="C22" s="11">
        <v>50</v>
      </c>
      <c r="D22" s="31">
        <v>123.4</v>
      </c>
      <c r="E22" s="30" t="e">
        <v>#N/A</v>
      </c>
      <c r="F22" s="21"/>
      <c r="G22" s="21"/>
      <c r="H22" s="21"/>
      <c r="I22" s="21"/>
      <c r="J22" s="21"/>
      <c r="K22" s="21"/>
      <c r="L22" s="21"/>
      <c r="M22" s="21"/>
      <c r="N22" s="21"/>
      <c r="O22" s="20"/>
      <c r="Q22" s="500"/>
      <c r="R22" s="501"/>
      <c r="S22" s="500"/>
      <c r="T22" s="504"/>
      <c r="U22" s="504"/>
      <c r="V22" s="504"/>
      <c r="W22" s="504"/>
      <c r="X22" s="504"/>
      <c r="Y22" s="501"/>
      <c r="Z22" s="507"/>
    </row>
    <row r="23" spans="1:26" ht="15" customHeight="1" x14ac:dyDescent="0.3">
      <c r="A23" s="18"/>
      <c r="B23" s="10" t="str">
        <v>XYZ</v>
      </c>
      <c r="C23" s="11">
        <v>-20</v>
      </c>
      <c r="D23" s="31">
        <v>68</v>
      </c>
      <c r="E23" s="30" t="e">
        <v>#N/A</v>
      </c>
      <c r="F23" s="21"/>
      <c r="G23" s="21"/>
      <c r="H23" s="21"/>
      <c r="I23" s="21"/>
      <c r="J23" s="21"/>
      <c r="K23" s="21"/>
      <c r="L23" s="21"/>
      <c r="M23" s="21"/>
      <c r="N23" s="21"/>
      <c r="O23" s="20"/>
      <c r="Q23" s="496" t="s">
        <v>547</v>
      </c>
      <c r="R23" s="497"/>
      <c r="S23" s="496" t="s">
        <v>555</v>
      </c>
      <c r="T23" s="502"/>
      <c r="U23" s="502"/>
      <c r="V23" s="502"/>
      <c r="W23" s="502"/>
      <c r="X23" s="502"/>
      <c r="Y23" s="497"/>
      <c r="Z23" s="505" t="s">
        <v>326</v>
      </c>
    </row>
    <row r="24" spans="1:26" x14ac:dyDescent="0.3">
      <c r="A24" s="18"/>
      <c r="B24" s="10" t="str">
        <v>XYZ</v>
      </c>
      <c r="C24" s="11">
        <v>-150</v>
      </c>
      <c r="D24" s="31">
        <v>68</v>
      </c>
      <c r="E24" s="30" t="e">
        <v>#N/A</v>
      </c>
      <c r="F24" s="21"/>
      <c r="G24" s="21"/>
      <c r="H24" s="21"/>
      <c r="I24" s="21"/>
      <c r="J24" s="21"/>
      <c r="K24" s="21"/>
      <c r="L24" s="21"/>
      <c r="M24" s="21"/>
      <c r="N24" s="21"/>
      <c r="O24" s="20"/>
      <c r="Q24" s="498"/>
      <c r="R24" s="499"/>
      <c r="S24" s="498"/>
      <c r="T24" s="503"/>
      <c r="U24" s="503"/>
      <c r="V24" s="503"/>
      <c r="W24" s="503"/>
      <c r="X24" s="503"/>
      <c r="Y24" s="499"/>
      <c r="Z24" s="506"/>
    </row>
    <row r="25" spans="1:26" x14ac:dyDescent="0.3">
      <c r="A25" s="18"/>
      <c r="B25" s="10" t="str">
        <v>ABC</v>
      </c>
      <c r="C25" s="11">
        <v>20</v>
      </c>
      <c r="D25" s="31">
        <v>123.41</v>
      </c>
      <c r="E25" s="30" t="e">
        <v>#N/A</v>
      </c>
      <c r="F25" s="21"/>
      <c r="G25" s="21"/>
      <c r="H25" s="21"/>
      <c r="I25" s="21"/>
      <c r="J25" s="21"/>
      <c r="K25" s="21"/>
      <c r="L25" s="21"/>
      <c r="M25" s="21"/>
      <c r="N25" s="21"/>
      <c r="O25" s="20"/>
      <c r="Q25" s="500"/>
      <c r="R25" s="501"/>
      <c r="S25" s="500"/>
      <c r="T25" s="504"/>
      <c r="U25" s="504"/>
      <c r="V25" s="504"/>
      <c r="W25" s="504"/>
      <c r="X25" s="504"/>
      <c r="Y25" s="501"/>
      <c r="Z25" s="507"/>
    </row>
    <row r="26" spans="1:26" x14ac:dyDescent="0.3">
      <c r="A26" s="18"/>
      <c r="B26" s="10" t="str">
        <v>EFG</v>
      </c>
      <c r="C26" s="11" t="str">
        <v/>
      </c>
      <c r="D26" s="31">
        <v>15</v>
      </c>
      <c r="E26" s="30" t="e">
        <v>#N/A</v>
      </c>
      <c r="F26" s="21"/>
      <c r="G26" s="21"/>
      <c r="H26" s="21"/>
      <c r="I26" s="21"/>
      <c r="J26" s="21"/>
      <c r="K26" s="21"/>
      <c r="L26" s="21"/>
      <c r="M26" s="21"/>
      <c r="N26" s="21"/>
      <c r="O26" s="20"/>
      <c r="Q26" s="496" t="s">
        <v>548</v>
      </c>
      <c r="R26" s="497"/>
      <c r="S26" s="496" t="s">
        <v>978</v>
      </c>
      <c r="T26" s="502"/>
      <c r="U26" s="502"/>
      <c r="V26" s="502"/>
      <c r="W26" s="502"/>
      <c r="X26" s="502"/>
      <c r="Y26" s="497"/>
      <c r="Z26" s="505" t="s">
        <v>326</v>
      </c>
    </row>
    <row r="27" spans="1:26" x14ac:dyDescent="0.3">
      <c r="A27" s="18"/>
      <c r="B27" s="10" t="str">
        <v/>
      </c>
      <c r="C27" s="11">
        <v>-10</v>
      </c>
      <c r="D27" s="31" t="str">
        <v/>
      </c>
      <c r="E27" s="30" t="e">
        <v>#N/A</v>
      </c>
      <c r="F27" s="21"/>
      <c r="G27" s="21"/>
      <c r="H27" s="21"/>
      <c r="I27" s="21"/>
      <c r="J27" s="21"/>
      <c r="K27" s="21"/>
      <c r="L27" s="21"/>
      <c r="M27" s="21"/>
      <c r="N27" s="21"/>
      <c r="O27" s="20"/>
      <c r="Q27" s="498"/>
      <c r="R27" s="499"/>
      <c r="S27" s="498"/>
      <c r="T27" s="503"/>
      <c r="U27" s="503"/>
      <c r="V27" s="503"/>
      <c r="W27" s="503"/>
      <c r="X27" s="503"/>
      <c r="Y27" s="499"/>
      <c r="Z27" s="506"/>
    </row>
    <row r="28" spans="1:26" x14ac:dyDescent="0.3">
      <c r="A28" s="18"/>
      <c r="B28" s="10" t="str">
        <v>XYZ</v>
      </c>
      <c r="C28" s="11">
        <v>20</v>
      </c>
      <c r="D28" s="31">
        <v>67.8</v>
      </c>
      <c r="E28" s="30" t="e">
        <v>#N/A</v>
      </c>
      <c r="F28" s="21"/>
      <c r="G28" s="21"/>
      <c r="H28" s="21"/>
      <c r="I28" s="21"/>
      <c r="J28" s="21"/>
      <c r="K28" s="21"/>
      <c r="L28" s="21"/>
      <c r="M28" s="21"/>
      <c r="N28" s="21"/>
      <c r="O28" s="20"/>
      <c r="Q28" s="500"/>
      <c r="R28" s="501"/>
      <c r="S28" s="500"/>
      <c r="T28" s="504"/>
      <c r="U28" s="504"/>
      <c r="V28" s="504"/>
      <c r="W28" s="504"/>
      <c r="X28" s="504"/>
      <c r="Y28" s="501"/>
      <c r="Z28" s="507"/>
    </row>
    <row r="29" spans="1:26" ht="15" customHeight="1" x14ac:dyDescent="0.3">
      <c r="A29" s="18"/>
      <c r="B29" s="1" t="e">
        <v>#N/A</v>
      </c>
      <c r="C29" s="4" t="e">
        <v>#N/A</v>
      </c>
      <c r="D29" s="34" t="e">
        <v>#N/A</v>
      </c>
      <c r="E29" s="30" t="e">
        <v>#N/A</v>
      </c>
      <c r="F29" s="21"/>
      <c r="G29" s="21"/>
      <c r="H29" s="21"/>
      <c r="I29" s="21"/>
      <c r="J29" s="21"/>
      <c r="K29" s="21"/>
      <c r="L29" s="21"/>
      <c r="M29" s="21"/>
      <c r="N29" s="21"/>
      <c r="O29" s="20"/>
      <c r="Q29" s="496" t="s">
        <v>549</v>
      </c>
      <c r="R29" s="497"/>
      <c r="S29" s="496" t="s">
        <v>978</v>
      </c>
      <c r="T29" s="502"/>
      <c r="U29" s="502"/>
      <c r="V29" s="502"/>
      <c r="W29" s="502"/>
      <c r="X29" s="502"/>
      <c r="Y29" s="497"/>
      <c r="Z29" s="505" t="s">
        <v>326</v>
      </c>
    </row>
    <row r="30" spans="1:26" x14ac:dyDescent="0.3">
      <c r="A30" s="18"/>
      <c r="B30" s="30" t="e">
        <v>#N/A</v>
      </c>
      <c r="C30" s="36" t="e">
        <v>#N/A</v>
      </c>
      <c r="D30" s="35" t="e">
        <v>#N/A</v>
      </c>
      <c r="E30" s="30" t="e">
        <v>#N/A</v>
      </c>
      <c r="F30" s="21"/>
      <c r="G30" s="21"/>
      <c r="H30" s="21"/>
      <c r="I30" s="21"/>
      <c r="J30" s="21"/>
      <c r="K30" s="21"/>
      <c r="L30" s="21"/>
      <c r="M30" s="21"/>
      <c r="N30" s="21"/>
      <c r="O30" s="20"/>
      <c r="Q30" s="498"/>
      <c r="R30" s="499"/>
      <c r="S30" s="498"/>
      <c r="T30" s="503"/>
      <c r="U30" s="503"/>
      <c r="V30" s="503"/>
      <c r="W30" s="503"/>
      <c r="X30" s="503"/>
      <c r="Y30" s="499"/>
      <c r="Z30" s="506"/>
    </row>
    <row r="31" spans="1:26" x14ac:dyDescent="0.3">
      <c r="A31" s="18"/>
      <c r="B31" s="30" t="e">
        <v>#N/A</v>
      </c>
      <c r="C31" s="36" t="e">
        <v>#N/A</v>
      </c>
      <c r="D31" s="35" t="e">
        <v>#N/A</v>
      </c>
      <c r="E31" s="30" t="e">
        <v>#N/A</v>
      </c>
      <c r="F31" s="21"/>
      <c r="G31" s="21"/>
      <c r="H31" s="21"/>
      <c r="I31" s="21"/>
      <c r="J31" s="21"/>
      <c r="K31" s="21"/>
      <c r="L31" s="21"/>
      <c r="M31" s="21"/>
      <c r="N31" s="21"/>
      <c r="O31" s="20"/>
      <c r="Q31" s="500"/>
      <c r="R31" s="501"/>
      <c r="S31" s="500"/>
      <c r="T31" s="504"/>
      <c r="U31" s="504"/>
      <c r="V31" s="504"/>
      <c r="W31" s="504"/>
      <c r="X31" s="504"/>
      <c r="Y31" s="501"/>
      <c r="Z31" s="507"/>
    </row>
    <row r="32" spans="1:26" x14ac:dyDescent="0.3">
      <c r="A32" s="18"/>
      <c r="B32" s="30" t="e">
        <v>#N/A</v>
      </c>
      <c r="C32" s="36" t="e">
        <v>#N/A</v>
      </c>
      <c r="D32" s="35" t="e">
        <v>#N/A</v>
      </c>
      <c r="E32" s="30" t="e">
        <v>#N/A</v>
      </c>
      <c r="F32" s="21"/>
      <c r="G32" s="21"/>
      <c r="H32" s="21"/>
      <c r="I32" s="21"/>
      <c r="J32" s="21"/>
      <c r="K32" s="21"/>
      <c r="L32" s="21"/>
      <c r="M32" s="21"/>
      <c r="N32" s="21"/>
      <c r="O32" s="20"/>
      <c r="Q32" s="126" t="s">
        <v>328</v>
      </c>
    </row>
    <row r="33" spans="1:15" x14ac:dyDescent="0.3">
      <c r="A33" s="18"/>
      <c r="B33" s="21"/>
      <c r="C33" s="21"/>
      <c r="D33" s="21"/>
      <c r="E33" s="21"/>
      <c r="F33" s="21"/>
      <c r="G33" s="21"/>
      <c r="H33" s="21"/>
      <c r="I33" s="21"/>
      <c r="J33" s="21"/>
      <c r="K33" s="21"/>
      <c r="L33" s="21"/>
      <c r="M33" s="21"/>
      <c r="N33" s="21"/>
      <c r="O33" s="20"/>
    </row>
    <row r="34" spans="1:15" x14ac:dyDescent="0.3">
      <c r="A34" s="18"/>
      <c r="B34" s="21"/>
      <c r="C34" s="21"/>
      <c r="D34" s="21"/>
      <c r="E34" s="21"/>
      <c r="F34" s="21"/>
      <c r="G34" s="21"/>
      <c r="H34" s="21"/>
      <c r="I34" s="21"/>
      <c r="J34" s="21"/>
      <c r="K34" s="21"/>
      <c r="L34" s="21"/>
      <c r="M34" s="21"/>
      <c r="N34" s="21"/>
      <c r="O34" s="20"/>
    </row>
    <row r="35" spans="1:15" x14ac:dyDescent="0.3">
      <c r="A35" s="18"/>
      <c r="B35" s="21"/>
      <c r="C35" s="21"/>
      <c r="D35" s="21"/>
      <c r="E35" s="21"/>
      <c r="F35" s="21"/>
      <c r="G35" s="21"/>
      <c r="H35" s="21"/>
      <c r="I35" s="21"/>
      <c r="J35" s="21"/>
      <c r="K35" s="21"/>
      <c r="L35" s="21"/>
      <c r="M35" s="21"/>
      <c r="N35" s="21"/>
      <c r="O35" s="20"/>
    </row>
    <row r="36" spans="1:15" x14ac:dyDescent="0.3">
      <c r="A36" s="18"/>
      <c r="B36" s="21"/>
      <c r="C36" s="21"/>
      <c r="D36" s="21"/>
      <c r="E36" s="21"/>
      <c r="F36" s="21"/>
      <c r="G36" s="21"/>
      <c r="H36" s="21"/>
      <c r="I36" s="21"/>
      <c r="J36" s="21"/>
      <c r="K36" s="21"/>
      <c r="L36" s="21"/>
      <c r="M36" s="21"/>
      <c r="N36" s="21"/>
      <c r="O36" s="20"/>
    </row>
    <row r="37" spans="1:15" x14ac:dyDescent="0.3">
      <c r="A37" s="18"/>
      <c r="B37" s="21"/>
      <c r="C37" s="21"/>
      <c r="D37" s="21"/>
      <c r="E37" s="21"/>
      <c r="F37" s="21"/>
      <c r="G37" s="21"/>
      <c r="H37" s="21"/>
      <c r="I37" s="21"/>
      <c r="J37" s="21"/>
      <c r="K37" s="21"/>
      <c r="L37" s="21"/>
      <c r="M37" s="21"/>
      <c r="N37" s="21"/>
      <c r="O37" s="20"/>
    </row>
    <row r="38" spans="1:15" x14ac:dyDescent="0.3">
      <c r="A38" s="18"/>
      <c r="B38" s="21"/>
      <c r="C38" s="21"/>
      <c r="D38" s="21"/>
      <c r="E38" s="21"/>
      <c r="F38" s="21"/>
      <c r="G38" s="21"/>
      <c r="H38" s="21"/>
      <c r="I38" s="21"/>
      <c r="J38" s="21"/>
      <c r="K38" s="21"/>
      <c r="L38" s="21"/>
      <c r="M38" s="21"/>
      <c r="N38" s="21"/>
      <c r="O38" s="20"/>
    </row>
    <row r="39" spans="1:15" x14ac:dyDescent="0.3">
      <c r="A39" s="18"/>
      <c r="B39" s="21"/>
      <c r="C39" s="21"/>
      <c r="D39" s="21"/>
      <c r="E39" s="21"/>
      <c r="F39" s="21"/>
      <c r="G39" s="21"/>
      <c r="H39" s="21"/>
      <c r="I39" s="21"/>
      <c r="J39" s="21"/>
      <c r="K39" s="21"/>
      <c r="L39" s="21"/>
      <c r="M39" s="21"/>
      <c r="N39" s="21"/>
      <c r="O39" s="20"/>
    </row>
    <row r="40" spans="1:15" x14ac:dyDescent="0.3">
      <c r="A40" s="18"/>
      <c r="B40" s="21"/>
      <c r="C40" s="21"/>
      <c r="D40" s="21"/>
      <c r="E40" s="21"/>
      <c r="F40" s="21"/>
      <c r="G40" s="21"/>
      <c r="H40" s="21"/>
      <c r="I40" s="21"/>
      <c r="J40" s="21"/>
      <c r="K40" s="21"/>
      <c r="L40" s="21"/>
      <c r="M40" s="21"/>
      <c r="N40" s="21"/>
      <c r="O40" s="20"/>
    </row>
    <row r="41" spans="1:15" x14ac:dyDescent="0.3">
      <c r="A41" s="18"/>
      <c r="B41" s="21"/>
      <c r="C41" s="21"/>
      <c r="D41" s="21"/>
      <c r="E41" s="21"/>
      <c r="F41" s="21"/>
      <c r="G41" s="21"/>
      <c r="H41" s="21"/>
      <c r="I41" s="21"/>
      <c r="J41" s="21"/>
      <c r="K41" s="21"/>
      <c r="L41" s="21"/>
      <c r="M41" s="21"/>
      <c r="N41" s="21"/>
      <c r="O41" s="20"/>
    </row>
    <row r="42" spans="1:15" x14ac:dyDescent="0.3">
      <c r="A42" s="18"/>
      <c r="B42" s="21"/>
      <c r="C42" s="21"/>
      <c r="D42" s="21"/>
      <c r="E42" s="21"/>
      <c r="F42" s="21"/>
      <c r="G42" s="21"/>
      <c r="H42" s="21"/>
      <c r="I42" s="21"/>
      <c r="J42" s="21"/>
      <c r="K42" s="21"/>
      <c r="L42" s="21"/>
      <c r="M42" s="21"/>
      <c r="N42" s="21"/>
      <c r="O42" s="20"/>
    </row>
    <row r="43" spans="1:15" x14ac:dyDescent="0.3">
      <c r="A43" s="18"/>
      <c r="B43" s="21"/>
      <c r="C43" s="21"/>
      <c r="D43" s="21"/>
      <c r="E43" s="21"/>
      <c r="F43" s="21"/>
      <c r="G43" s="21"/>
      <c r="H43" s="21"/>
      <c r="I43" s="21"/>
      <c r="J43" s="21"/>
      <c r="K43" s="21"/>
      <c r="L43" s="21"/>
      <c r="M43" s="21"/>
      <c r="N43" s="21"/>
      <c r="O43" s="20"/>
    </row>
    <row r="44" spans="1:15" x14ac:dyDescent="0.3">
      <c r="A44" s="18"/>
      <c r="B44" s="21"/>
      <c r="C44" s="21"/>
      <c r="D44" s="21"/>
      <c r="E44" s="21"/>
      <c r="F44" s="21"/>
      <c r="G44" s="21"/>
      <c r="H44" s="21"/>
      <c r="I44" s="21"/>
      <c r="J44" s="21"/>
      <c r="K44" s="21"/>
      <c r="L44" s="21"/>
      <c r="M44" s="21"/>
      <c r="N44" s="21"/>
      <c r="O44" s="20"/>
    </row>
    <row r="45" spans="1:15" x14ac:dyDescent="0.3">
      <c r="A45" s="18"/>
      <c r="B45" s="21"/>
      <c r="C45" s="21"/>
      <c r="D45" s="21"/>
      <c r="E45" s="21"/>
      <c r="F45" s="21"/>
      <c r="G45" s="21"/>
      <c r="H45" s="21"/>
      <c r="I45" s="21"/>
      <c r="J45" s="21"/>
      <c r="K45" s="21"/>
      <c r="L45" s="21"/>
      <c r="M45" s="21"/>
      <c r="N45" s="21"/>
      <c r="O45" s="20"/>
    </row>
    <row r="46" spans="1:15" x14ac:dyDescent="0.3">
      <c r="A46" s="18"/>
      <c r="B46" s="21"/>
      <c r="C46" s="21"/>
      <c r="D46" s="21"/>
      <c r="E46" s="21"/>
      <c r="F46" s="21"/>
      <c r="G46" s="21"/>
      <c r="H46" s="21"/>
      <c r="I46" s="21"/>
      <c r="J46" s="21"/>
      <c r="K46" s="21"/>
      <c r="L46" s="21"/>
      <c r="M46" s="21"/>
      <c r="N46" s="21"/>
      <c r="O46" s="20"/>
    </row>
    <row r="47" spans="1:15" x14ac:dyDescent="0.3">
      <c r="A47" s="18"/>
      <c r="B47" s="21"/>
      <c r="C47" s="21"/>
      <c r="D47" s="21"/>
      <c r="E47" s="21"/>
      <c r="F47" s="21"/>
      <c r="G47" s="21"/>
      <c r="H47" s="21"/>
      <c r="I47" s="21"/>
      <c r="J47" s="21"/>
      <c r="K47" s="21"/>
      <c r="L47" s="21"/>
      <c r="M47" s="21"/>
      <c r="N47" s="21"/>
      <c r="O47" s="20"/>
    </row>
    <row r="48" spans="1:15" x14ac:dyDescent="0.3">
      <c r="A48" s="18"/>
      <c r="B48" s="21"/>
      <c r="C48" s="21"/>
      <c r="D48" s="21"/>
      <c r="E48" s="21"/>
      <c r="F48" s="21"/>
      <c r="G48" s="21"/>
      <c r="H48" s="21"/>
      <c r="I48" s="21"/>
      <c r="J48" s="21"/>
      <c r="K48" s="21"/>
      <c r="L48" s="21"/>
      <c r="M48" s="21"/>
      <c r="N48" s="21"/>
      <c r="O48" s="20"/>
    </row>
    <row r="49" spans="1:15" x14ac:dyDescent="0.3">
      <c r="A49" s="18"/>
      <c r="B49" s="21"/>
      <c r="C49" s="21"/>
      <c r="D49" s="21"/>
      <c r="E49" s="21"/>
      <c r="F49" s="21"/>
      <c r="G49" s="21"/>
      <c r="H49" s="21"/>
      <c r="I49" s="21"/>
      <c r="J49" s="21"/>
      <c r="K49" s="21"/>
      <c r="L49" s="21"/>
      <c r="M49" s="21"/>
      <c r="N49" s="21"/>
      <c r="O49" s="20"/>
    </row>
    <row r="50" spans="1:15" x14ac:dyDescent="0.3">
      <c r="A50" s="18"/>
      <c r="B50" s="21"/>
      <c r="C50" s="21"/>
      <c r="D50" s="21"/>
      <c r="E50" s="21"/>
      <c r="F50" s="21"/>
      <c r="G50" s="21"/>
      <c r="H50" s="21"/>
      <c r="I50" s="21"/>
      <c r="J50" s="21"/>
      <c r="K50" s="21"/>
      <c r="L50" s="21"/>
      <c r="M50" s="21"/>
      <c r="N50" s="21"/>
      <c r="O50" s="20"/>
    </row>
    <row r="51" spans="1:15" x14ac:dyDescent="0.3">
      <c r="A51" s="18"/>
      <c r="B51" s="21"/>
      <c r="C51" s="21"/>
      <c r="D51" s="21"/>
      <c r="E51" s="21"/>
      <c r="F51" s="21"/>
      <c r="G51" s="21"/>
      <c r="H51" s="21"/>
      <c r="I51" s="21"/>
      <c r="J51" s="21"/>
      <c r="K51" s="21"/>
      <c r="L51" s="21"/>
      <c r="M51" s="21"/>
      <c r="N51" s="21"/>
      <c r="O51" s="20"/>
    </row>
    <row r="52" spans="1:15" x14ac:dyDescent="0.3">
      <c r="A52" s="18"/>
      <c r="B52" s="21"/>
      <c r="C52" s="21"/>
      <c r="D52" s="21"/>
      <c r="E52" s="21"/>
      <c r="F52" s="21"/>
      <c r="G52" s="21"/>
      <c r="H52" s="21"/>
      <c r="I52" s="21"/>
      <c r="J52" s="21"/>
      <c r="K52" s="21"/>
      <c r="L52" s="21"/>
      <c r="M52" s="21"/>
      <c r="N52" s="21"/>
      <c r="O52" s="20"/>
    </row>
    <row r="53" spans="1:15" x14ac:dyDescent="0.3">
      <c r="A53" s="18"/>
      <c r="B53" s="475" t="s">
        <v>65</v>
      </c>
      <c r="C53" s="475"/>
      <c r="D53" s="475"/>
      <c r="E53" s="21"/>
      <c r="F53" s="21"/>
      <c r="G53" s="12" t="str">
        <f t="array" ref="G53:J59">_xll.U.REGION(B54:D54,,,,,,TRUE)</f>
        <v>Trades</v>
      </c>
      <c r="H53" s="12" t="str">
        <v/>
      </c>
      <c r="I53" s="12" t="str">
        <v/>
      </c>
      <c r="J53" s="30" t="e">
        <v>#N/A</v>
      </c>
      <c r="K53" s="21"/>
      <c r="L53" s="21"/>
      <c r="M53" s="21"/>
      <c r="N53" s="21"/>
      <c r="O53" s="20"/>
    </row>
    <row r="54" spans="1:15" x14ac:dyDescent="0.3">
      <c r="A54" s="18"/>
      <c r="B54" s="45" t="s">
        <v>2</v>
      </c>
      <c r="C54" s="46" t="s">
        <v>62</v>
      </c>
      <c r="D54" s="46" t="s">
        <v>63</v>
      </c>
      <c r="E54" s="21"/>
      <c r="F54" s="21"/>
      <c r="G54" s="32" t="str">
        <v>Symbol</v>
      </c>
      <c r="H54" s="33" t="str">
        <v>Quantity</v>
      </c>
      <c r="I54" s="33" t="str">
        <v>Price</v>
      </c>
      <c r="J54" s="30" t="e">
        <v>#N/A</v>
      </c>
      <c r="K54" s="21"/>
      <c r="L54" s="21"/>
      <c r="M54" s="21"/>
      <c r="N54" s="21"/>
      <c r="O54" s="20"/>
    </row>
    <row r="55" spans="1:15" x14ac:dyDescent="0.3">
      <c r="A55" s="18"/>
      <c r="B55" s="39" t="s">
        <v>3</v>
      </c>
      <c r="C55" s="40">
        <v>50</v>
      </c>
      <c r="D55" s="41">
        <v>123.4</v>
      </c>
      <c r="E55" s="21"/>
      <c r="F55" s="21"/>
      <c r="G55" s="10" t="str">
        <v>ABC</v>
      </c>
      <c r="H55" s="11">
        <v>50</v>
      </c>
      <c r="I55" s="31">
        <v>123.4</v>
      </c>
      <c r="J55" s="30" t="e">
        <v>#N/A</v>
      </c>
      <c r="K55" s="21"/>
      <c r="L55" s="21"/>
      <c r="M55" s="21"/>
      <c r="N55" s="21"/>
      <c r="O55" s="20"/>
    </row>
    <row r="56" spans="1:15" x14ac:dyDescent="0.3">
      <c r="A56" s="18"/>
      <c r="B56" s="39" t="s">
        <v>4</v>
      </c>
      <c r="C56" s="40">
        <v>-20</v>
      </c>
      <c r="D56" s="41">
        <v>68</v>
      </c>
      <c r="E56" s="21"/>
      <c r="F56" s="21"/>
      <c r="G56" s="10" t="str">
        <v>XYZ</v>
      </c>
      <c r="H56" s="11">
        <v>-20</v>
      </c>
      <c r="I56" s="31">
        <v>68</v>
      </c>
      <c r="J56" s="30" t="e">
        <v>#N/A</v>
      </c>
      <c r="K56" s="21"/>
      <c r="L56" s="21"/>
      <c r="M56" s="21"/>
      <c r="N56" s="21"/>
      <c r="O56" s="20"/>
    </row>
    <row r="57" spans="1:15" x14ac:dyDescent="0.3">
      <c r="A57" s="18"/>
      <c r="B57" s="39"/>
      <c r="C57" s="40"/>
      <c r="D57" s="41"/>
      <c r="E57" s="21"/>
      <c r="F57" s="21"/>
      <c r="G57" s="30" t="e">
        <v>#N/A</v>
      </c>
      <c r="H57" s="30" t="e">
        <v>#N/A</v>
      </c>
      <c r="I57" s="30" t="e">
        <v>#N/A</v>
      </c>
      <c r="J57" s="30" t="e">
        <v>#N/A</v>
      </c>
      <c r="K57" s="21"/>
      <c r="L57" s="21"/>
      <c r="M57" s="21"/>
      <c r="N57" s="21"/>
      <c r="O57" s="20"/>
    </row>
    <row r="58" spans="1:15" x14ac:dyDescent="0.3">
      <c r="A58" s="18"/>
      <c r="B58" s="39" t="s">
        <v>3</v>
      </c>
      <c r="C58" s="40">
        <v>20</v>
      </c>
      <c r="D58" s="41">
        <v>123.41</v>
      </c>
      <c r="E58" s="21"/>
      <c r="F58" s="21"/>
      <c r="G58" s="30" t="e">
        <v>#N/A</v>
      </c>
      <c r="H58" s="30" t="e">
        <v>#N/A</v>
      </c>
      <c r="I58" s="30" t="e">
        <v>#N/A</v>
      </c>
      <c r="J58" s="30" t="e">
        <v>#N/A</v>
      </c>
      <c r="K58" s="21"/>
      <c r="L58" s="21"/>
      <c r="M58" s="21"/>
      <c r="N58" s="21"/>
      <c r="O58" s="20"/>
    </row>
    <row r="59" spans="1:15" x14ac:dyDescent="0.3">
      <c r="A59" s="18"/>
      <c r="B59" s="21"/>
      <c r="C59" s="21"/>
      <c r="D59" s="21"/>
      <c r="E59" s="21"/>
      <c r="F59" s="21"/>
      <c r="G59" s="30" t="e">
        <v>#N/A</v>
      </c>
      <c r="H59" s="30" t="e">
        <v>#N/A</v>
      </c>
      <c r="I59" s="30" t="e">
        <v>#N/A</v>
      </c>
      <c r="J59" s="30" t="e">
        <v>#N/A</v>
      </c>
      <c r="K59" s="21"/>
      <c r="L59" s="21"/>
      <c r="M59" s="21"/>
      <c r="N59" s="21"/>
      <c r="O59" s="20"/>
    </row>
    <row r="60" spans="1:15" x14ac:dyDescent="0.3">
      <c r="A60" s="18"/>
      <c r="B60" s="21"/>
      <c r="C60" s="21"/>
      <c r="D60" s="21"/>
      <c r="E60" s="21"/>
      <c r="F60" s="21"/>
      <c r="G60" s="21"/>
      <c r="H60" s="21"/>
      <c r="I60" s="21"/>
      <c r="J60" s="21"/>
      <c r="K60" s="21"/>
      <c r="L60" s="21"/>
      <c r="M60" s="21"/>
      <c r="N60" s="21"/>
      <c r="O60" s="20"/>
    </row>
    <row r="61" spans="1:15" x14ac:dyDescent="0.3">
      <c r="A61" s="18"/>
      <c r="B61" s="21"/>
      <c r="C61" s="21"/>
      <c r="D61" s="21"/>
      <c r="E61" s="21"/>
      <c r="F61" s="21"/>
      <c r="G61" s="21"/>
      <c r="H61" s="21"/>
      <c r="I61" s="21"/>
      <c r="J61" s="21"/>
      <c r="K61" s="21"/>
      <c r="L61" s="21"/>
      <c r="M61" s="21"/>
      <c r="N61" s="21"/>
      <c r="O61" s="20"/>
    </row>
    <row r="62" spans="1:15" x14ac:dyDescent="0.3">
      <c r="A62" s="18"/>
      <c r="B62" s="21"/>
      <c r="C62" s="21"/>
      <c r="D62" s="21"/>
      <c r="E62" s="21"/>
      <c r="F62" s="21"/>
      <c r="G62" s="12" t="str">
        <f t="array" ref="G62:J68">_xll.U.REGION(B53:D53,B:D,TRUE)</f>
        <v>Trades</v>
      </c>
      <c r="H62" s="12" t="str">
        <v/>
      </c>
      <c r="I62" s="12" t="str">
        <v/>
      </c>
      <c r="J62" s="30" t="e">
        <v>#N/A</v>
      </c>
      <c r="K62" s="21"/>
      <c r="L62" s="21"/>
      <c r="M62" s="21"/>
      <c r="N62" s="21"/>
      <c r="O62" s="20"/>
    </row>
    <row r="63" spans="1:15" x14ac:dyDescent="0.3">
      <c r="A63" s="18"/>
      <c r="B63" s="21"/>
      <c r="C63" s="21"/>
      <c r="D63" s="21"/>
      <c r="E63" s="21"/>
      <c r="F63" s="21"/>
      <c r="G63" s="32" t="str">
        <v>Symbol</v>
      </c>
      <c r="H63" s="33" t="str">
        <v>Quantity</v>
      </c>
      <c r="I63" s="33" t="str">
        <v>Price</v>
      </c>
      <c r="J63" s="30" t="e">
        <v>#N/A</v>
      </c>
      <c r="K63" s="21"/>
      <c r="L63" s="21"/>
      <c r="M63" s="21"/>
      <c r="N63" s="21"/>
      <c r="O63" s="20"/>
    </row>
    <row r="64" spans="1:15" x14ac:dyDescent="0.3">
      <c r="A64" s="18"/>
      <c r="B64" s="21"/>
      <c r="C64" s="21"/>
      <c r="D64" s="21"/>
      <c r="E64" s="21"/>
      <c r="F64" s="21"/>
      <c r="G64" s="10" t="str">
        <v>ABC</v>
      </c>
      <c r="H64" s="11">
        <v>50</v>
      </c>
      <c r="I64" s="31">
        <v>123.4</v>
      </c>
      <c r="J64" s="30" t="e">
        <v>#N/A</v>
      </c>
      <c r="K64" s="21"/>
      <c r="L64" s="21"/>
      <c r="M64" s="21"/>
      <c r="N64" s="21"/>
      <c r="O64" s="20"/>
    </row>
    <row r="65" spans="1:15" x14ac:dyDescent="0.3">
      <c r="A65" s="18"/>
      <c r="B65" s="21"/>
      <c r="C65" s="21"/>
      <c r="D65" s="21"/>
      <c r="E65" s="21"/>
      <c r="F65" s="21"/>
      <c r="G65" s="10" t="str">
        <v>XYZ</v>
      </c>
      <c r="H65" s="11">
        <v>-20</v>
      </c>
      <c r="I65" s="31">
        <v>68</v>
      </c>
      <c r="J65" s="30" t="e">
        <v>#N/A</v>
      </c>
      <c r="K65" s="21"/>
      <c r="L65" s="21"/>
      <c r="M65" s="21"/>
      <c r="N65" s="21"/>
      <c r="O65" s="20"/>
    </row>
    <row r="66" spans="1:15" x14ac:dyDescent="0.3">
      <c r="A66" s="18"/>
      <c r="B66" s="21"/>
      <c r="C66" s="21"/>
      <c r="D66" s="21"/>
      <c r="E66" s="21"/>
      <c r="F66" s="21"/>
      <c r="G66" s="10" t="str">
        <v/>
      </c>
      <c r="H66" s="11" t="str">
        <v/>
      </c>
      <c r="I66" s="31" t="str">
        <v/>
      </c>
      <c r="J66" s="30" t="e">
        <v>#N/A</v>
      </c>
      <c r="K66" s="21"/>
      <c r="L66" s="21"/>
      <c r="M66" s="21"/>
      <c r="N66" s="21"/>
      <c r="O66" s="20"/>
    </row>
    <row r="67" spans="1:15" x14ac:dyDescent="0.3">
      <c r="A67" s="18"/>
      <c r="B67" s="21"/>
      <c r="C67" s="21"/>
      <c r="D67" s="21"/>
      <c r="E67" s="21"/>
      <c r="F67" s="21"/>
      <c r="G67" s="10" t="str">
        <v>ABC</v>
      </c>
      <c r="H67" s="11">
        <v>20</v>
      </c>
      <c r="I67" s="31">
        <v>123.41</v>
      </c>
      <c r="J67" s="30" t="e">
        <v>#N/A</v>
      </c>
      <c r="K67" s="21"/>
      <c r="L67" s="21"/>
      <c r="M67" s="21"/>
      <c r="N67" s="21"/>
      <c r="O67" s="20"/>
    </row>
    <row r="68" spans="1:15" x14ac:dyDescent="0.3">
      <c r="A68" s="18"/>
      <c r="B68" s="21"/>
      <c r="C68" s="21"/>
      <c r="D68" s="21"/>
      <c r="E68" s="21"/>
      <c r="F68" s="21"/>
      <c r="G68" s="30" t="str">
        <v/>
      </c>
      <c r="H68" s="30" t="str">
        <v/>
      </c>
      <c r="I68" s="30" t="str">
        <v/>
      </c>
      <c r="J68" s="30" t="e">
        <v>#N/A</v>
      </c>
      <c r="K68" s="21"/>
      <c r="L68" s="21"/>
      <c r="M68" s="21"/>
      <c r="N68" s="21"/>
      <c r="O68" s="20"/>
    </row>
    <row r="69" spans="1:15" x14ac:dyDescent="0.3">
      <c r="A69" s="18"/>
      <c r="B69" s="21"/>
      <c r="C69" s="21"/>
      <c r="D69" s="21"/>
      <c r="E69" s="21"/>
      <c r="F69" s="21"/>
      <c r="G69" s="21"/>
      <c r="H69" s="21"/>
      <c r="I69" s="21"/>
      <c r="J69" s="21"/>
      <c r="K69" s="21"/>
      <c r="L69" s="21"/>
      <c r="M69" s="21"/>
      <c r="N69" s="21"/>
      <c r="O69" s="20"/>
    </row>
    <row r="70" spans="1:15" x14ac:dyDescent="0.3">
      <c r="A70" s="18"/>
      <c r="B70" s="21"/>
      <c r="C70" s="21"/>
      <c r="D70" s="21"/>
      <c r="E70" s="21"/>
      <c r="F70" s="21"/>
      <c r="G70" s="21"/>
      <c r="H70" s="21"/>
      <c r="I70" s="21"/>
      <c r="J70" s="21"/>
      <c r="K70" s="21"/>
      <c r="L70" s="21"/>
      <c r="M70" s="21"/>
      <c r="N70" s="21"/>
      <c r="O70" s="20"/>
    </row>
    <row r="71" spans="1:15" x14ac:dyDescent="0.3">
      <c r="A71" s="18"/>
      <c r="B71" s="21"/>
      <c r="C71" s="21"/>
      <c r="D71" s="21"/>
      <c r="E71" s="21"/>
      <c r="F71" s="21"/>
      <c r="G71" s="21"/>
      <c r="H71" s="21"/>
      <c r="I71" s="21"/>
      <c r="J71" s="21"/>
      <c r="K71" s="21"/>
      <c r="L71" s="21"/>
      <c r="M71" s="21"/>
      <c r="N71" s="21"/>
      <c r="O71" s="20"/>
    </row>
    <row r="72" spans="1:15" x14ac:dyDescent="0.3">
      <c r="A72" s="18"/>
      <c r="B72" s="21"/>
      <c r="C72" s="21"/>
      <c r="D72" s="21"/>
      <c r="E72" s="21"/>
      <c r="F72" s="21"/>
      <c r="G72" s="21"/>
      <c r="H72" s="21"/>
      <c r="I72" s="21"/>
      <c r="J72" s="21"/>
      <c r="K72" s="21"/>
      <c r="L72" s="21"/>
      <c r="M72" s="21"/>
      <c r="N72" s="21"/>
      <c r="O72" s="20"/>
    </row>
    <row r="73" spans="1:15" x14ac:dyDescent="0.3">
      <c r="A73" s="18"/>
      <c r="B73" s="21"/>
      <c r="C73" s="21"/>
      <c r="D73" s="21"/>
      <c r="E73" s="21"/>
      <c r="F73" s="21"/>
      <c r="G73" s="21"/>
      <c r="H73" s="21"/>
      <c r="I73" s="21"/>
      <c r="J73" s="21"/>
      <c r="K73" s="21"/>
      <c r="L73" s="21"/>
      <c r="M73" s="21"/>
      <c r="N73" s="21"/>
      <c r="O73" s="20"/>
    </row>
    <row r="74" spans="1:15" x14ac:dyDescent="0.3">
      <c r="A74" s="18"/>
      <c r="B74" s="21"/>
      <c r="C74" s="21"/>
      <c r="D74" s="21"/>
      <c r="E74" s="21"/>
      <c r="F74" s="21"/>
      <c r="G74" s="21"/>
      <c r="H74" s="21"/>
      <c r="I74" s="21"/>
      <c r="J74" s="21"/>
      <c r="K74" s="21"/>
      <c r="L74" s="21"/>
      <c r="M74" s="21"/>
      <c r="N74" s="21"/>
      <c r="O74" s="20"/>
    </row>
    <row r="75" spans="1:15" x14ac:dyDescent="0.3">
      <c r="A75" s="18"/>
      <c r="B75" s="21"/>
      <c r="C75" s="21"/>
      <c r="D75" s="21"/>
      <c r="E75" s="21"/>
      <c r="F75" s="21"/>
      <c r="G75" s="21"/>
      <c r="H75" s="21"/>
      <c r="I75" s="21"/>
      <c r="J75" s="21"/>
      <c r="K75" s="21"/>
      <c r="L75" s="21"/>
      <c r="M75" s="21"/>
      <c r="N75" s="21"/>
      <c r="O75" s="20"/>
    </row>
    <row r="76" spans="1:15" x14ac:dyDescent="0.3">
      <c r="A76" s="18"/>
      <c r="B76" s="21"/>
      <c r="C76" s="21"/>
      <c r="D76" s="21"/>
      <c r="E76" s="21"/>
      <c r="F76" s="21"/>
      <c r="G76" s="21"/>
      <c r="H76" s="21"/>
      <c r="I76" s="21"/>
      <c r="J76" s="21"/>
      <c r="K76" s="21"/>
      <c r="L76" s="21"/>
      <c r="M76" s="21"/>
      <c r="N76" s="21"/>
      <c r="O76" s="20"/>
    </row>
    <row r="77" spans="1:15" x14ac:dyDescent="0.3">
      <c r="A77" s="18"/>
      <c r="B77" s="21"/>
      <c r="C77" s="21"/>
      <c r="D77" s="21"/>
      <c r="E77" s="21"/>
      <c r="F77" s="21"/>
      <c r="G77" s="21"/>
      <c r="H77" s="21"/>
      <c r="I77" s="21"/>
      <c r="J77" s="21"/>
      <c r="K77" s="21"/>
      <c r="L77" s="21"/>
      <c r="M77" s="21"/>
      <c r="N77" s="21"/>
      <c r="O77" s="20"/>
    </row>
    <row r="78" spans="1:15" x14ac:dyDescent="0.3">
      <c r="A78" s="18"/>
      <c r="B78" s="21"/>
      <c r="C78" s="21"/>
      <c r="D78" s="21"/>
      <c r="E78" s="21"/>
      <c r="F78" s="21"/>
      <c r="G78" s="21"/>
      <c r="H78" s="21"/>
      <c r="I78" s="21"/>
      <c r="J78" s="21"/>
      <c r="K78" s="21"/>
      <c r="L78" s="21"/>
      <c r="M78" s="21"/>
      <c r="N78" s="21"/>
      <c r="O78" s="20"/>
    </row>
    <row r="79" spans="1:15" x14ac:dyDescent="0.3">
      <c r="A79" s="18"/>
      <c r="B79" s="21"/>
      <c r="C79" s="21"/>
      <c r="D79" s="21"/>
      <c r="E79" s="21"/>
      <c r="F79" s="21"/>
      <c r="G79" s="21"/>
      <c r="H79" s="21"/>
      <c r="I79" s="21"/>
      <c r="J79" s="21"/>
      <c r="K79" s="21"/>
      <c r="L79" s="21"/>
      <c r="M79" s="21"/>
      <c r="N79" s="21"/>
      <c r="O79" s="20"/>
    </row>
    <row r="80" spans="1:15" x14ac:dyDescent="0.3">
      <c r="A80" s="18"/>
      <c r="B80" s="21"/>
      <c r="C80" s="21"/>
      <c r="D80" s="21"/>
      <c r="E80" s="21"/>
      <c r="F80" s="21"/>
      <c r="G80" s="21"/>
      <c r="H80" s="21"/>
      <c r="I80" s="21"/>
      <c r="J80" s="21"/>
      <c r="K80" s="21"/>
      <c r="L80" s="21"/>
      <c r="M80" s="21"/>
      <c r="N80" s="21"/>
      <c r="O80" s="20"/>
    </row>
    <row r="81" spans="1:15" x14ac:dyDescent="0.3">
      <c r="A81" s="18"/>
      <c r="B81" s="21"/>
      <c r="C81" s="21"/>
      <c r="D81" s="21"/>
      <c r="E81" s="21"/>
      <c r="F81" s="21"/>
      <c r="G81" s="21"/>
      <c r="H81" s="21"/>
      <c r="I81" s="21"/>
      <c r="J81" s="21"/>
      <c r="K81" s="21"/>
      <c r="L81" s="21"/>
      <c r="M81" s="21"/>
      <c r="N81" s="21"/>
      <c r="O81" s="20"/>
    </row>
    <row r="82" spans="1:15" x14ac:dyDescent="0.3">
      <c r="A82" s="18"/>
      <c r="B82" s="21"/>
      <c r="C82" s="21"/>
      <c r="D82" s="21"/>
      <c r="E82" s="21"/>
      <c r="F82" s="21"/>
      <c r="G82" s="21"/>
      <c r="H82" s="21"/>
      <c r="I82" s="21"/>
      <c r="J82" s="21"/>
      <c r="K82" s="21"/>
      <c r="L82" s="21"/>
      <c r="M82" s="21"/>
      <c r="N82" s="21"/>
      <c r="O82" s="20"/>
    </row>
    <row r="83" spans="1:15" x14ac:dyDescent="0.3">
      <c r="A83" s="18"/>
      <c r="B83" s="21"/>
      <c r="C83" s="21"/>
      <c r="D83" s="21"/>
      <c r="E83" s="21"/>
      <c r="F83" s="21"/>
      <c r="G83" s="21"/>
      <c r="H83" s="21"/>
      <c r="I83" s="21"/>
      <c r="J83" s="21"/>
      <c r="K83" s="21"/>
      <c r="L83" s="21"/>
      <c r="M83" s="21"/>
      <c r="N83" s="21"/>
      <c r="O83" s="20"/>
    </row>
    <row r="84" spans="1:15" x14ac:dyDescent="0.3">
      <c r="A84" s="18"/>
      <c r="B84" s="21"/>
      <c r="C84" s="21"/>
      <c r="D84" s="21"/>
      <c r="E84" s="21"/>
      <c r="F84" s="21"/>
      <c r="G84" s="21"/>
      <c r="H84" s="21"/>
      <c r="I84" s="21"/>
      <c r="J84" s="21"/>
      <c r="K84" s="21"/>
      <c r="L84" s="21"/>
      <c r="M84" s="21"/>
      <c r="N84" s="21"/>
      <c r="O84" s="20"/>
    </row>
    <row r="85" spans="1:15" x14ac:dyDescent="0.3">
      <c r="A85" s="18"/>
      <c r="B85" s="21"/>
      <c r="C85" s="21"/>
      <c r="D85" s="21"/>
      <c r="E85" s="21"/>
      <c r="F85" s="21"/>
      <c r="G85" s="21"/>
      <c r="H85" s="21"/>
      <c r="I85" s="21"/>
      <c r="J85" s="21"/>
      <c r="K85" s="21"/>
      <c r="L85" s="21"/>
      <c r="M85" s="21"/>
      <c r="N85" s="21"/>
      <c r="O85" s="20"/>
    </row>
    <row r="86" spans="1:15" x14ac:dyDescent="0.3">
      <c r="A86" s="18"/>
      <c r="B86" s="21"/>
      <c r="C86" s="21"/>
      <c r="D86" s="21"/>
      <c r="E86" s="21"/>
      <c r="F86" s="21"/>
      <c r="G86" s="21"/>
      <c r="H86" s="21"/>
      <c r="I86" s="21"/>
      <c r="J86" s="21"/>
      <c r="K86" s="21"/>
      <c r="L86" s="21"/>
      <c r="M86" s="21"/>
      <c r="N86" s="21"/>
      <c r="O86" s="20"/>
    </row>
    <row r="87" spans="1:15" x14ac:dyDescent="0.3">
      <c r="A87" s="18"/>
      <c r="B87" s="21"/>
      <c r="C87" s="21"/>
      <c r="D87" s="21"/>
      <c r="E87" s="21"/>
      <c r="F87" s="21"/>
      <c r="G87" s="21"/>
      <c r="H87" s="21"/>
      <c r="I87" s="21"/>
      <c r="J87" s="21"/>
      <c r="K87" s="21"/>
      <c r="L87" s="21"/>
      <c r="M87" s="21"/>
      <c r="N87" s="21"/>
      <c r="O87" s="20"/>
    </row>
    <row r="88" spans="1:15" x14ac:dyDescent="0.3">
      <c r="A88" s="18"/>
      <c r="B88" s="21"/>
      <c r="C88" s="21"/>
      <c r="D88" s="21"/>
      <c r="E88" s="21"/>
      <c r="F88" s="21"/>
      <c r="G88" s="21"/>
      <c r="H88" s="21"/>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x14ac:dyDescent="0.3">
      <c r="A90" s="18"/>
      <c r="B90" s="475" t="s">
        <v>65</v>
      </c>
      <c r="C90" s="475"/>
      <c r="D90" s="475"/>
      <c r="E90" s="21"/>
      <c r="F90" s="21"/>
      <c r="G90" s="12" t="str">
        <f t="array" ref="G90:J96">_xll.U.REGION(B91:C91,"extend(2)","extend(-1)")</f>
        <v>Symbol</v>
      </c>
      <c r="H90" s="12" t="str">
        <v>Quantity</v>
      </c>
      <c r="I90" s="12" t="str">
        <v>Price</v>
      </c>
      <c r="J90" s="30" t="str">
        <v/>
      </c>
      <c r="K90" s="21"/>
      <c r="L90" s="21"/>
      <c r="M90" s="21"/>
      <c r="N90" s="21"/>
      <c r="O90" s="20"/>
    </row>
    <row r="91" spans="1:15" x14ac:dyDescent="0.3">
      <c r="A91" s="18"/>
      <c r="B91" s="45" t="s">
        <v>2</v>
      </c>
      <c r="C91" s="46" t="s">
        <v>62</v>
      </c>
      <c r="D91" s="46" t="s">
        <v>63</v>
      </c>
      <c r="E91" s="21"/>
      <c r="F91" s="21"/>
      <c r="G91" s="32" t="str">
        <v>ABC</v>
      </c>
      <c r="H91" s="33">
        <v>50</v>
      </c>
      <c r="I91" s="33">
        <v>123.4</v>
      </c>
      <c r="J91" s="30" t="str">
        <v/>
      </c>
      <c r="K91" s="21"/>
      <c r="L91" s="21"/>
      <c r="M91" s="21"/>
      <c r="N91" s="21"/>
      <c r="O91" s="20"/>
    </row>
    <row r="92" spans="1:15" x14ac:dyDescent="0.3">
      <c r="A92" s="18"/>
      <c r="B92" s="39" t="s">
        <v>3</v>
      </c>
      <c r="C92" s="40">
        <v>50</v>
      </c>
      <c r="D92" s="41">
        <v>123.4</v>
      </c>
      <c r="E92" s="21"/>
      <c r="F92" s="21"/>
      <c r="G92" s="30" t="e">
        <v>#N/A</v>
      </c>
      <c r="H92" s="36" t="e">
        <v>#N/A</v>
      </c>
      <c r="I92" s="35" t="e">
        <v>#N/A</v>
      </c>
      <c r="J92" s="30" t="e">
        <v>#N/A</v>
      </c>
      <c r="K92" s="21"/>
      <c r="L92" s="21"/>
      <c r="M92" s="21"/>
      <c r="N92" s="21"/>
      <c r="O92" s="20"/>
    </row>
    <row r="93" spans="1:15" x14ac:dyDescent="0.3">
      <c r="A93" s="18"/>
      <c r="B93" s="39" t="s">
        <v>4</v>
      </c>
      <c r="C93" s="40">
        <v>-20</v>
      </c>
      <c r="D93" s="41">
        <v>68</v>
      </c>
      <c r="E93" s="21"/>
      <c r="F93" s="21"/>
      <c r="G93" s="30" t="e">
        <v>#N/A</v>
      </c>
      <c r="H93" s="36" t="e">
        <v>#N/A</v>
      </c>
      <c r="I93" s="35" t="e">
        <v>#N/A</v>
      </c>
      <c r="J93" s="30" t="e">
        <v>#N/A</v>
      </c>
      <c r="K93" s="21"/>
      <c r="L93" s="21"/>
      <c r="M93" s="21"/>
      <c r="N93" s="21"/>
      <c r="O93" s="20"/>
    </row>
    <row r="94" spans="1:15" x14ac:dyDescent="0.3">
      <c r="A94" s="18"/>
      <c r="B94" s="39"/>
      <c r="C94" s="40"/>
      <c r="D94" s="41"/>
      <c r="E94" s="21"/>
      <c r="F94" s="21"/>
      <c r="G94" s="30" t="e">
        <v>#N/A</v>
      </c>
      <c r="H94" s="30" t="e">
        <v>#N/A</v>
      </c>
      <c r="I94" s="30" t="e">
        <v>#N/A</v>
      </c>
      <c r="J94" s="30" t="e">
        <v>#N/A</v>
      </c>
      <c r="K94" s="21"/>
      <c r="L94" s="21"/>
      <c r="M94" s="21"/>
      <c r="N94" s="21"/>
      <c r="O94" s="20"/>
    </row>
    <row r="95" spans="1:15" x14ac:dyDescent="0.3">
      <c r="A95" s="18"/>
      <c r="B95" s="39" t="s">
        <v>3</v>
      </c>
      <c r="C95" s="40">
        <v>20</v>
      </c>
      <c r="D95" s="41">
        <v>123.41</v>
      </c>
      <c r="E95" s="21"/>
      <c r="F95" s="21"/>
      <c r="G95" s="30" t="e">
        <v>#N/A</v>
      </c>
      <c r="H95" s="30" t="e">
        <v>#N/A</v>
      </c>
      <c r="I95" s="30" t="e">
        <v>#N/A</v>
      </c>
      <c r="J95" s="30" t="e">
        <v>#N/A</v>
      </c>
      <c r="K95" s="21"/>
      <c r="L95" s="21"/>
      <c r="M95" s="21"/>
      <c r="N95" s="21"/>
      <c r="O95" s="20"/>
    </row>
    <row r="96" spans="1:15" x14ac:dyDescent="0.3">
      <c r="A96" s="18"/>
      <c r="B96" s="21"/>
      <c r="C96" s="21"/>
      <c r="D96" s="21"/>
      <c r="E96" s="21"/>
      <c r="F96" s="21"/>
      <c r="G96" s="30" t="e">
        <v>#N/A</v>
      </c>
      <c r="H96" s="30" t="e">
        <v>#N/A</v>
      </c>
      <c r="I96" s="30" t="e">
        <v>#N/A</v>
      </c>
      <c r="J96" s="30" t="e">
        <v>#N/A</v>
      </c>
      <c r="K96" s="21"/>
      <c r="L96" s="21"/>
      <c r="M96" s="21"/>
      <c r="N96" s="21"/>
      <c r="O96" s="20"/>
    </row>
    <row r="97" spans="1:15" x14ac:dyDescent="0.3">
      <c r="A97" s="18"/>
      <c r="B97" s="21"/>
      <c r="C97" s="21"/>
      <c r="D97" s="21"/>
      <c r="E97" s="21"/>
      <c r="F97" s="21"/>
      <c r="G97" s="21"/>
      <c r="H97" s="21"/>
      <c r="I97" s="21"/>
      <c r="J97" s="21"/>
      <c r="K97" s="21"/>
      <c r="L97" s="21"/>
      <c r="M97" s="21"/>
      <c r="N97" s="21"/>
      <c r="O97" s="20"/>
    </row>
    <row r="98" spans="1:15" x14ac:dyDescent="0.3">
      <c r="A98" s="18"/>
      <c r="B98" s="21"/>
      <c r="C98" s="21"/>
      <c r="D98" s="21"/>
      <c r="E98" s="21"/>
      <c r="F98" s="21"/>
      <c r="G98" s="21"/>
      <c r="H98" s="21"/>
      <c r="I98" s="21"/>
      <c r="J98" s="21"/>
      <c r="K98" s="21"/>
      <c r="L98" s="21"/>
      <c r="M98" s="21"/>
      <c r="N98" s="21"/>
      <c r="O98" s="20"/>
    </row>
    <row r="99" spans="1:15" x14ac:dyDescent="0.3">
      <c r="A99" s="18"/>
      <c r="B99" s="21"/>
      <c r="C99" s="21"/>
      <c r="D99" s="21"/>
      <c r="E99" s="21"/>
      <c r="F99" s="21"/>
      <c r="G99" s="21"/>
      <c r="H99" s="21"/>
      <c r="I99" s="21"/>
      <c r="J99" s="21"/>
      <c r="K99" s="21"/>
      <c r="L99" s="21"/>
      <c r="M99" s="21"/>
      <c r="N99" s="21"/>
      <c r="O99" s="20"/>
    </row>
    <row r="100" spans="1:15" x14ac:dyDescent="0.3">
      <c r="A100" s="18"/>
      <c r="B100" s="21"/>
      <c r="C100" s="21"/>
      <c r="D100" s="21"/>
      <c r="E100" s="21"/>
      <c r="F100" s="21"/>
      <c r="G100" s="21"/>
      <c r="H100" s="21"/>
      <c r="I100" s="21"/>
      <c r="J100" s="21"/>
      <c r="K100" s="21"/>
      <c r="L100" s="21"/>
      <c r="M100" s="21"/>
      <c r="N100" s="21"/>
      <c r="O100" s="20"/>
    </row>
    <row r="101" spans="1:15" x14ac:dyDescent="0.3">
      <c r="A101" s="18"/>
      <c r="B101" s="21"/>
      <c r="C101" s="21"/>
      <c r="D101" s="21"/>
      <c r="E101" s="21"/>
      <c r="F101" s="21"/>
      <c r="G101" s="21"/>
      <c r="H101" s="21"/>
      <c r="I101" s="21"/>
      <c r="J101" s="21"/>
      <c r="K101" s="21"/>
      <c r="L101" s="21"/>
      <c r="M101" s="21"/>
      <c r="N101" s="21"/>
      <c r="O101" s="20"/>
    </row>
    <row r="102" spans="1:15" x14ac:dyDescent="0.3">
      <c r="A102" s="18"/>
      <c r="B102" s="21"/>
      <c r="C102" s="21"/>
      <c r="D102" s="21"/>
      <c r="E102" s="21"/>
      <c r="F102" s="21"/>
      <c r="G102" s="21"/>
      <c r="H102" s="21"/>
      <c r="I102" s="21"/>
      <c r="J102" s="21"/>
      <c r="K102" s="21"/>
      <c r="L102" s="21"/>
      <c r="M102" s="21"/>
      <c r="N102" s="21"/>
      <c r="O102" s="20"/>
    </row>
    <row r="103" spans="1:15" ht="15" thickBot="1" x14ac:dyDescent="0.35">
      <c r="A103" s="22"/>
      <c r="B103" s="23"/>
      <c r="C103" s="23"/>
      <c r="D103" s="23"/>
      <c r="E103" s="23"/>
      <c r="F103" s="23"/>
      <c r="G103" s="23"/>
      <c r="H103" s="23"/>
      <c r="I103" s="23"/>
      <c r="J103" s="23"/>
      <c r="K103" s="23"/>
      <c r="L103" s="23"/>
      <c r="M103" s="23"/>
      <c r="N103" s="23"/>
      <c r="O103" s="24"/>
    </row>
  </sheetData>
  <mergeCells count="33">
    <mergeCell ref="B90:D90"/>
    <mergeCell ref="B5:D5"/>
    <mergeCell ref="A3:M3"/>
    <mergeCell ref="Q3:Z3"/>
    <mergeCell ref="Q4:R6"/>
    <mergeCell ref="S4:Z6"/>
    <mergeCell ref="Q7:R7"/>
    <mergeCell ref="S7:Y7"/>
    <mergeCell ref="Q8:R10"/>
    <mergeCell ref="S8:Y10"/>
    <mergeCell ref="Z8:Z10"/>
    <mergeCell ref="Q11:R13"/>
    <mergeCell ref="S11:Y13"/>
    <mergeCell ref="Z11:Z13"/>
    <mergeCell ref="Q14:R16"/>
    <mergeCell ref="S14:Y16"/>
    <mergeCell ref="Z14:Z16"/>
    <mergeCell ref="Q17:R19"/>
    <mergeCell ref="S17:Y19"/>
    <mergeCell ref="Z17:Z19"/>
    <mergeCell ref="Q20:R22"/>
    <mergeCell ref="S20:Y22"/>
    <mergeCell ref="Z20:Z22"/>
    <mergeCell ref="B53:D53"/>
    <mergeCell ref="Q29:R31"/>
    <mergeCell ref="S29:Y31"/>
    <mergeCell ref="Z29:Z31"/>
    <mergeCell ref="Q23:R25"/>
    <mergeCell ref="S23:Y25"/>
    <mergeCell ref="Z23:Z25"/>
    <mergeCell ref="Q26:R28"/>
    <mergeCell ref="S26:Y28"/>
    <mergeCell ref="Z26:Z28"/>
  </mergeCells>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Z109"/>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35.44140625" bestFit="1" customWidth="1"/>
    <col min="4" max="4" width="17.44140625" customWidth="1"/>
    <col min="5" max="5" width="33" customWidth="1"/>
    <col min="6" max="6" width="16.77734375" customWidth="1"/>
    <col min="8" max="15" width="11.21875" customWidth="1"/>
    <col min="19" max="25" width="13.21875" customWidth="1"/>
  </cols>
  <sheetData>
    <row r="1" spans="1:26" ht="34.5" customHeight="1" thickBot="1" x14ac:dyDescent="0.35">
      <c r="A1" s="292" t="s">
        <v>1580</v>
      </c>
      <c r="B1" s="473" t="e" vm="1">
        <v>#VALUE!</v>
      </c>
      <c r="C1" s="8" t="s">
        <v>840</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3415</v>
      </c>
      <c r="R3" s="486"/>
      <c r="S3" s="486"/>
      <c r="T3" s="486"/>
      <c r="U3" s="486"/>
      <c r="V3" s="486"/>
      <c r="W3" s="486"/>
      <c r="X3" s="486"/>
      <c r="Y3" s="486"/>
      <c r="Z3" s="486"/>
    </row>
    <row r="4" spans="1:26" x14ac:dyDescent="0.3">
      <c r="A4" s="18"/>
      <c r="B4" s="557" t="s">
        <v>841</v>
      </c>
      <c r="C4" s="558"/>
      <c r="D4" s="21"/>
      <c r="E4" s="179" t="s">
        <v>3415</v>
      </c>
      <c r="F4" s="21"/>
      <c r="G4" s="21"/>
      <c r="H4" s="21"/>
      <c r="I4" s="21"/>
      <c r="J4" s="21"/>
      <c r="K4" s="159"/>
      <c r="L4" s="21"/>
      <c r="M4" s="21"/>
      <c r="N4" s="21"/>
      <c r="O4" s="20"/>
      <c r="Q4" s="487" t="s">
        <v>333</v>
      </c>
      <c r="R4" s="487"/>
      <c r="S4" s="487" t="s">
        <v>3836</v>
      </c>
      <c r="T4" s="487"/>
      <c r="U4" s="487"/>
      <c r="V4" s="487"/>
      <c r="W4" s="487"/>
      <c r="X4" s="487"/>
      <c r="Y4" s="487"/>
      <c r="Z4" s="487"/>
    </row>
    <row r="5" spans="1:26" x14ac:dyDescent="0.3">
      <c r="A5" s="18"/>
      <c r="B5" s="30" t="s">
        <v>77</v>
      </c>
      <c r="C5" s="30">
        <v>1</v>
      </c>
      <c r="D5" s="21"/>
      <c r="E5" s="186" t="str" cm="1">
        <f t="array" ref="E5">_xll.U.RANGE_REF(B5:C8)</f>
        <v>[REF]{{34856#2238110039728!R5C2:R8C3}}</v>
      </c>
      <c r="F5" s="21"/>
      <c r="G5" s="21"/>
      <c r="H5" s="21"/>
      <c r="I5" s="21"/>
      <c r="J5" s="21"/>
      <c r="K5" s="159"/>
      <c r="L5" s="21"/>
      <c r="M5" s="21"/>
      <c r="N5" s="21"/>
      <c r="O5" s="20"/>
      <c r="Q5" s="487"/>
      <c r="R5" s="487"/>
      <c r="S5" s="487"/>
      <c r="T5" s="487"/>
      <c r="U5" s="487"/>
      <c r="V5" s="487"/>
      <c r="W5" s="487"/>
      <c r="X5" s="487"/>
      <c r="Y5" s="487"/>
      <c r="Z5" s="487"/>
    </row>
    <row r="6" spans="1:26" x14ac:dyDescent="0.3">
      <c r="A6" s="18"/>
      <c r="B6" s="30" t="s">
        <v>78</v>
      </c>
      <c r="C6" s="30">
        <v>2</v>
      </c>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30" t="s">
        <v>78</v>
      </c>
      <c r="C7" s="30">
        <v>2</v>
      </c>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30" t="s">
        <v>79</v>
      </c>
      <c r="C8" s="30">
        <v>3</v>
      </c>
      <c r="D8" s="21"/>
      <c r="E8" s="30" t="str">
        <f t="array" ref="E8:F11">_xll.U.VUNIQUE(E5)</f>
        <v>a</v>
      </c>
      <c r="F8" s="30">
        <v>1</v>
      </c>
      <c r="G8" s="21"/>
      <c r="H8" s="21"/>
      <c r="I8" s="21"/>
      <c r="J8" s="21"/>
      <c r="K8" s="159"/>
      <c r="L8" s="21"/>
      <c r="M8" s="21"/>
      <c r="N8" s="21"/>
      <c r="O8" s="20"/>
      <c r="Q8" s="487" t="s">
        <v>458</v>
      </c>
      <c r="R8" s="487"/>
      <c r="S8" s="487" t="s">
        <v>3092</v>
      </c>
      <c r="T8" s="487"/>
      <c r="U8" s="487"/>
      <c r="V8" s="487"/>
      <c r="W8" s="487"/>
      <c r="X8" s="487"/>
      <c r="Y8" s="487"/>
      <c r="Z8" s="509" t="s">
        <v>325</v>
      </c>
    </row>
    <row r="9" spans="1:26" x14ac:dyDescent="0.3">
      <c r="A9" s="18"/>
      <c r="B9" s="21"/>
      <c r="C9" s="21"/>
      <c r="D9" s="21"/>
      <c r="E9" s="30" t="str">
        <v>b</v>
      </c>
      <c r="F9" s="30">
        <v>2</v>
      </c>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30" t="str">
        <v>c</v>
      </c>
      <c r="F10" s="30">
        <v>3</v>
      </c>
      <c r="G10" s="21"/>
      <c r="H10" s="21"/>
      <c r="I10" s="21"/>
      <c r="J10" s="21"/>
      <c r="K10" s="21"/>
      <c r="L10" s="21"/>
      <c r="M10" s="21"/>
      <c r="N10" s="21"/>
      <c r="O10" s="20"/>
      <c r="Q10" s="487"/>
      <c r="R10" s="487"/>
      <c r="S10" s="487"/>
      <c r="T10" s="487"/>
      <c r="U10" s="487"/>
      <c r="V10" s="487"/>
      <c r="W10" s="487"/>
      <c r="X10" s="487"/>
      <c r="Y10" s="487"/>
      <c r="Z10" s="509"/>
    </row>
    <row r="11" spans="1:26" x14ac:dyDescent="0.3">
      <c r="A11" s="18"/>
      <c r="B11" s="21"/>
      <c r="C11" s="21"/>
      <c r="D11" s="21"/>
      <c r="E11" s="30" t="e">
        <v>#N/A</v>
      </c>
      <c r="F11" s="30" t="e">
        <v>#N/A</v>
      </c>
      <c r="G11" s="21"/>
      <c r="H11" s="21"/>
      <c r="I11" s="21"/>
      <c r="J11" s="21"/>
      <c r="K11" s="21"/>
      <c r="L11" s="21"/>
      <c r="M11" s="21"/>
      <c r="N11" s="21"/>
      <c r="O11" s="20"/>
      <c r="Q11" s="484" t="s">
        <v>2500</v>
      </c>
      <c r="R11" s="484"/>
      <c r="S11" s="484" t="s">
        <v>3100</v>
      </c>
      <c r="T11" s="484"/>
      <c r="U11" s="484"/>
      <c r="V11" s="484"/>
      <c r="W11" s="484"/>
      <c r="X11" s="484"/>
      <c r="Y11" s="484"/>
      <c r="Z11" s="485" t="s">
        <v>326</v>
      </c>
    </row>
    <row r="12" spans="1:26" x14ac:dyDescent="0.3">
      <c r="A12" s="18"/>
      <c r="B12" s="21"/>
      <c r="C12" s="21"/>
      <c r="D12" s="21"/>
      <c r="E12" s="21"/>
      <c r="F12" s="21"/>
      <c r="G12" s="21"/>
      <c r="H12" s="21"/>
      <c r="I12" s="21"/>
      <c r="J12" s="21"/>
      <c r="K12" s="21"/>
      <c r="L12" s="21"/>
      <c r="M12" s="21"/>
      <c r="N12" s="21"/>
      <c r="O12" s="20"/>
      <c r="Q12" s="484"/>
      <c r="R12" s="484"/>
      <c r="S12" s="484"/>
      <c r="T12" s="484"/>
      <c r="U12" s="484"/>
      <c r="V12" s="484"/>
      <c r="W12" s="484"/>
      <c r="X12" s="484"/>
      <c r="Y12" s="484"/>
      <c r="Z12" s="485"/>
    </row>
    <row r="13" spans="1:26" x14ac:dyDescent="0.3">
      <c r="A13" s="18"/>
      <c r="B13" s="21"/>
      <c r="C13" s="21"/>
      <c r="D13" s="21"/>
      <c r="E13" s="21"/>
      <c r="F13" s="21"/>
      <c r="G13" s="21"/>
      <c r="H13" s="21"/>
      <c r="I13" s="21"/>
      <c r="J13" s="21"/>
      <c r="K13" s="21"/>
      <c r="L13" s="21"/>
      <c r="M13" s="21"/>
      <c r="N13" s="21"/>
      <c r="O13" s="20"/>
      <c r="Q13" s="484"/>
      <c r="R13" s="484"/>
      <c r="S13" s="484"/>
      <c r="T13" s="484"/>
      <c r="U13" s="484"/>
      <c r="V13" s="484"/>
      <c r="W13" s="484"/>
      <c r="X13" s="484"/>
      <c r="Y13" s="484"/>
      <c r="Z13" s="485"/>
    </row>
    <row r="14" spans="1:26" ht="15" customHeight="1" x14ac:dyDescent="0.3">
      <c r="A14" s="18"/>
      <c r="B14" s="21"/>
      <c r="C14" s="21"/>
      <c r="D14" s="21"/>
      <c r="E14" s="21"/>
      <c r="F14" s="21"/>
      <c r="G14" s="21"/>
      <c r="H14" s="21"/>
      <c r="I14" s="21"/>
      <c r="J14" s="21"/>
      <c r="K14" s="21"/>
      <c r="L14" s="21"/>
      <c r="M14" s="21"/>
      <c r="N14" s="21"/>
      <c r="O14" s="20"/>
      <c r="Q14" s="484" t="s">
        <v>3733</v>
      </c>
      <c r="R14" s="484"/>
      <c r="S14" s="484" t="s">
        <v>3837</v>
      </c>
      <c r="T14" s="484"/>
      <c r="U14" s="484"/>
      <c r="V14" s="484"/>
      <c r="W14" s="484"/>
      <c r="X14" s="484"/>
      <c r="Y14" s="484"/>
      <c r="Z14" s="485" t="s">
        <v>326</v>
      </c>
    </row>
    <row r="15" spans="1:26" x14ac:dyDescent="0.3">
      <c r="A15" s="18"/>
      <c r="B15" s="21"/>
      <c r="C15" s="21"/>
      <c r="D15" s="21"/>
      <c r="E15" s="21"/>
      <c r="F15" s="21"/>
      <c r="G15" s="21"/>
      <c r="H15" s="21"/>
      <c r="I15" s="21"/>
      <c r="J15" s="21"/>
      <c r="K15" s="21"/>
      <c r="L15" s="21"/>
      <c r="M15" s="21"/>
      <c r="N15" s="21"/>
      <c r="O15" s="20"/>
      <c r="Q15" s="484"/>
      <c r="R15" s="484"/>
      <c r="S15" s="484"/>
      <c r="T15" s="484"/>
      <c r="U15" s="484"/>
      <c r="V15" s="484"/>
      <c r="W15" s="484"/>
      <c r="X15" s="484"/>
      <c r="Y15" s="484"/>
      <c r="Z15" s="485"/>
    </row>
    <row r="16" spans="1:26" x14ac:dyDescent="0.3">
      <c r="A16" s="18"/>
      <c r="B16" s="21"/>
      <c r="C16" s="21"/>
      <c r="D16" s="21"/>
      <c r="E16" s="21"/>
      <c r="F16" s="21"/>
      <c r="G16" s="21"/>
      <c r="H16" s="21"/>
      <c r="I16" s="21"/>
      <c r="J16" s="21"/>
      <c r="K16" s="21"/>
      <c r="L16" s="21"/>
      <c r="M16" s="21"/>
      <c r="N16" s="21"/>
      <c r="O16" s="20"/>
      <c r="Q16" s="484"/>
      <c r="R16" s="484"/>
      <c r="S16" s="484"/>
      <c r="T16" s="484"/>
      <c r="U16" s="484"/>
      <c r="V16" s="484"/>
      <c r="W16" s="484"/>
      <c r="X16" s="484"/>
      <c r="Y16" s="484"/>
      <c r="Z16" s="485"/>
    </row>
    <row r="17" spans="1:26" x14ac:dyDescent="0.3">
      <c r="A17" s="18"/>
      <c r="B17" s="21"/>
      <c r="C17" s="21"/>
      <c r="D17" s="21"/>
      <c r="E17" s="21"/>
      <c r="F17" s="21"/>
      <c r="G17" s="21"/>
      <c r="H17" s="21"/>
      <c r="I17" s="21"/>
      <c r="J17" s="21"/>
      <c r="K17" s="21"/>
      <c r="L17" s="21"/>
      <c r="M17" s="21"/>
      <c r="N17" s="21"/>
      <c r="O17" s="20"/>
      <c r="Q17" s="484" t="s">
        <v>989</v>
      </c>
      <c r="R17" s="484"/>
      <c r="S17" s="484" t="s">
        <v>2499</v>
      </c>
      <c r="T17" s="484"/>
      <c r="U17" s="484"/>
      <c r="V17" s="484"/>
      <c r="W17" s="484"/>
      <c r="X17" s="484"/>
      <c r="Y17" s="484"/>
      <c r="Z17" s="485" t="s">
        <v>326</v>
      </c>
    </row>
    <row r="18" spans="1:26" x14ac:dyDescent="0.3">
      <c r="A18" s="18"/>
      <c r="B18" s="21"/>
      <c r="C18" s="21"/>
      <c r="D18" s="21"/>
      <c r="E18" s="21"/>
      <c r="F18" s="21"/>
      <c r="G18" s="21"/>
      <c r="H18" s="21"/>
      <c r="I18" s="21"/>
      <c r="J18" s="21"/>
      <c r="K18" s="21"/>
      <c r="L18" s="21"/>
      <c r="M18" s="21"/>
      <c r="N18" s="21"/>
      <c r="O18" s="20"/>
      <c r="Q18" s="484"/>
      <c r="R18" s="484"/>
      <c r="S18" s="484"/>
      <c r="T18" s="484"/>
      <c r="U18" s="484"/>
      <c r="V18" s="484"/>
      <c r="W18" s="484"/>
      <c r="X18" s="484"/>
      <c r="Y18" s="484"/>
      <c r="Z18" s="485"/>
    </row>
    <row r="19" spans="1:26" x14ac:dyDescent="0.3">
      <c r="A19" s="18"/>
      <c r="B19" s="21"/>
      <c r="C19" s="21"/>
      <c r="D19" s="21"/>
      <c r="E19" s="21"/>
      <c r="F19" s="21"/>
      <c r="G19" s="21"/>
      <c r="H19" s="21"/>
      <c r="I19" s="21"/>
      <c r="J19" s="21"/>
      <c r="K19" s="21"/>
      <c r="L19" s="21"/>
      <c r="M19" s="21"/>
      <c r="N19" s="21"/>
      <c r="O19" s="20"/>
      <c r="Q19" s="484"/>
      <c r="R19" s="484"/>
      <c r="S19" s="484"/>
      <c r="T19" s="484"/>
      <c r="U19" s="484"/>
      <c r="V19" s="484"/>
      <c r="W19" s="484"/>
      <c r="X19" s="484"/>
      <c r="Y19" s="484"/>
      <c r="Z19" s="485"/>
    </row>
    <row r="20" spans="1:26" x14ac:dyDescent="0.3">
      <c r="A20" s="18"/>
      <c r="B20" s="557" t="s">
        <v>841</v>
      </c>
      <c r="C20" s="558"/>
      <c r="D20" s="21"/>
      <c r="E20" s="179" t="s">
        <v>3415</v>
      </c>
      <c r="F20" s="21"/>
      <c r="G20" s="21"/>
      <c r="H20" s="21"/>
      <c r="I20" s="21"/>
      <c r="J20" s="21"/>
      <c r="K20" s="21"/>
      <c r="L20" s="21"/>
      <c r="M20" s="21"/>
      <c r="N20" s="21"/>
      <c r="O20" s="20"/>
      <c r="Q20" s="484" t="s">
        <v>989</v>
      </c>
      <c r="R20" s="484"/>
      <c r="S20" s="484" t="s">
        <v>2499</v>
      </c>
      <c r="T20" s="484"/>
      <c r="U20" s="484"/>
      <c r="V20" s="484"/>
      <c r="W20" s="484"/>
      <c r="X20" s="484"/>
      <c r="Y20" s="484"/>
      <c r="Z20" s="485" t="s">
        <v>326</v>
      </c>
    </row>
    <row r="21" spans="1:26" x14ac:dyDescent="0.3">
      <c r="A21" s="18"/>
      <c r="B21" s="30" t="s">
        <v>77</v>
      </c>
      <c r="C21" s="30">
        <v>1</v>
      </c>
      <c r="D21" s="21"/>
      <c r="E21" s="186" t="str" cm="1">
        <f t="array" ref="E21">_xll.U.RANGE_REF(B21:C22)</f>
        <v>[REF]{{34856#2238110039728!R21C2:R22C3}}</v>
      </c>
      <c r="F21" s="21"/>
      <c r="G21" s="21"/>
      <c r="H21" s="21"/>
      <c r="I21" s="21"/>
      <c r="J21" s="21"/>
      <c r="K21" s="21"/>
      <c r="L21" s="21"/>
      <c r="M21" s="21"/>
      <c r="N21" s="21"/>
      <c r="O21" s="20"/>
      <c r="Q21" s="484"/>
      <c r="R21" s="484"/>
      <c r="S21" s="484"/>
      <c r="T21" s="484"/>
      <c r="U21" s="484"/>
      <c r="V21" s="484"/>
      <c r="W21" s="484"/>
      <c r="X21" s="484"/>
      <c r="Y21" s="484"/>
      <c r="Z21" s="485"/>
    </row>
    <row r="22" spans="1:26" x14ac:dyDescent="0.3">
      <c r="A22" s="18"/>
      <c r="B22" s="30" t="s">
        <v>78</v>
      </c>
      <c r="C22" s="30">
        <v>2</v>
      </c>
      <c r="D22" s="21"/>
      <c r="E22" s="186" t="str" cm="1">
        <f t="array" ref="E22">_xll.U.RANGE_REF(B26:C27)</f>
        <v>[REF]{{34856#2238110039728!R26C2:R27C3}}</v>
      </c>
      <c r="F22" s="21"/>
      <c r="G22" s="21"/>
      <c r="H22" s="21"/>
      <c r="I22" s="21"/>
      <c r="J22" s="21"/>
      <c r="K22" s="21"/>
      <c r="L22" s="21"/>
      <c r="M22" s="21"/>
      <c r="N22" s="21"/>
      <c r="O22" s="20"/>
      <c r="Q22" s="484"/>
      <c r="R22" s="484"/>
      <c r="S22" s="484"/>
      <c r="T22" s="484"/>
      <c r="U22" s="484"/>
      <c r="V22" s="484"/>
      <c r="W22" s="484"/>
      <c r="X22" s="484"/>
      <c r="Y22" s="484"/>
      <c r="Z22" s="485"/>
    </row>
    <row r="23" spans="1:26" x14ac:dyDescent="0.3">
      <c r="A23" s="18"/>
      <c r="B23" s="21"/>
      <c r="C23" s="21"/>
      <c r="D23" s="21"/>
      <c r="E23" s="21"/>
      <c r="F23" s="21"/>
      <c r="G23" s="21"/>
      <c r="H23" s="21"/>
      <c r="I23" s="21"/>
      <c r="J23" s="21"/>
      <c r="K23" s="21"/>
      <c r="L23" s="21"/>
      <c r="M23" s="21"/>
      <c r="N23" s="21"/>
      <c r="O23" s="20"/>
      <c r="Q23" s="484" t="s">
        <v>989</v>
      </c>
      <c r="R23" s="484"/>
      <c r="S23" s="484" t="s">
        <v>2499</v>
      </c>
      <c r="T23" s="484"/>
      <c r="U23" s="484"/>
      <c r="V23" s="484"/>
      <c r="W23" s="484"/>
      <c r="X23" s="484"/>
      <c r="Y23" s="484"/>
      <c r="Z23" s="485" t="s">
        <v>326</v>
      </c>
    </row>
    <row r="24" spans="1:26" x14ac:dyDescent="0.3">
      <c r="A24" s="18"/>
      <c r="B24" s="21"/>
      <c r="C24" s="21"/>
      <c r="D24" s="21"/>
      <c r="E24" s="21"/>
      <c r="F24" s="21"/>
      <c r="G24" s="21"/>
      <c r="H24" s="21"/>
      <c r="I24" s="21"/>
      <c r="J24" s="21"/>
      <c r="K24" s="21"/>
      <c r="L24" s="21"/>
      <c r="M24" s="21"/>
      <c r="N24" s="21"/>
      <c r="O24" s="20"/>
      <c r="Q24" s="484"/>
      <c r="R24" s="484"/>
      <c r="S24" s="484"/>
      <c r="T24" s="484"/>
      <c r="U24" s="484"/>
      <c r="V24" s="484"/>
      <c r="W24" s="484"/>
      <c r="X24" s="484"/>
      <c r="Y24" s="484"/>
      <c r="Z24" s="485"/>
    </row>
    <row r="25" spans="1:26" x14ac:dyDescent="0.3">
      <c r="A25" s="18"/>
      <c r="B25" s="557" t="s">
        <v>842</v>
      </c>
      <c r="C25" s="558"/>
      <c r="D25" s="21"/>
      <c r="E25" s="30" t="str">
        <f t="array" ref="E25:F28">_xll.U.VUNIQUE((E21,E22))</f>
        <v>a</v>
      </c>
      <c r="F25" s="30">
        <v>1</v>
      </c>
      <c r="G25" s="21"/>
      <c r="H25" s="21"/>
      <c r="I25" s="21"/>
      <c r="J25" s="21"/>
      <c r="K25" s="21"/>
      <c r="L25" s="21"/>
      <c r="M25" s="21"/>
      <c r="N25" s="21"/>
      <c r="O25" s="20"/>
      <c r="Q25" s="484"/>
      <c r="R25" s="484"/>
      <c r="S25" s="484"/>
      <c r="T25" s="484"/>
      <c r="U25" s="484"/>
      <c r="V25" s="484"/>
      <c r="W25" s="484"/>
      <c r="X25" s="484"/>
      <c r="Y25" s="484"/>
      <c r="Z25" s="485"/>
    </row>
    <row r="26" spans="1:26" x14ac:dyDescent="0.3">
      <c r="A26" s="18"/>
      <c r="B26" s="30" t="s">
        <v>78</v>
      </c>
      <c r="C26" s="30">
        <v>2</v>
      </c>
      <c r="D26" s="21"/>
      <c r="E26" s="30" t="str">
        <v>b</v>
      </c>
      <c r="F26" s="30">
        <v>2</v>
      </c>
      <c r="G26" s="21"/>
      <c r="H26" s="21"/>
      <c r="I26" s="21"/>
      <c r="J26" s="21"/>
      <c r="K26" s="21"/>
      <c r="L26" s="21"/>
      <c r="M26" s="21"/>
      <c r="N26" s="21"/>
      <c r="O26" s="20"/>
      <c r="Q26" s="484" t="s">
        <v>989</v>
      </c>
      <c r="R26" s="484"/>
      <c r="S26" s="484" t="s">
        <v>2499</v>
      </c>
      <c r="T26" s="484"/>
      <c r="U26" s="484"/>
      <c r="V26" s="484"/>
      <c r="W26" s="484"/>
      <c r="X26" s="484"/>
      <c r="Y26" s="484"/>
      <c r="Z26" s="485" t="s">
        <v>326</v>
      </c>
    </row>
    <row r="27" spans="1:26" x14ac:dyDescent="0.3">
      <c r="A27" s="18"/>
      <c r="B27" s="30" t="s">
        <v>79</v>
      </c>
      <c r="C27" s="30">
        <v>3</v>
      </c>
      <c r="D27" s="21"/>
      <c r="E27" s="30" t="str">
        <v>c</v>
      </c>
      <c r="F27" s="30">
        <v>3</v>
      </c>
      <c r="G27" s="21"/>
      <c r="H27" s="21"/>
      <c r="I27" s="21"/>
      <c r="J27" s="21"/>
      <c r="K27" s="21"/>
      <c r="L27" s="21"/>
      <c r="M27" s="21"/>
      <c r="N27" s="21"/>
      <c r="O27" s="20"/>
      <c r="Q27" s="484"/>
      <c r="R27" s="484"/>
      <c r="S27" s="484"/>
      <c r="T27" s="484"/>
      <c r="U27" s="484"/>
      <c r="V27" s="484"/>
      <c r="W27" s="484"/>
      <c r="X27" s="484"/>
      <c r="Y27" s="484"/>
      <c r="Z27" s="485"/>
    </row>
    <row r="28" spans="1:26" x14ac:dyDescent="0.3">
      <c r="A28" s="18"/>
      <c r="B28" s="21"/>
      <c r="C28" s="21"/>
      <c r="D28" s="21"/>
      <c r="E28" s="30" t="e">
        <v>#N/A</v>
      </c>
      <c r="F28" s="30" t="e">
        <v>#N/A</v>
      </c>
      <c r="G28" s="21"/>
      <c r="H28" s="21"/>
      <c r="I28" s="21"/>
      <c r="J28" s="21"/>
      <c r="K28" s="21"/>
      <c r="L28" s="21"/>
      <c r="M28" s="21"/>
      <c r="N28" s="21"/>
      <c r="O28" s="20"/>
      <c r="Q28" s="484"/>
      <c r="R28" s="484"/>
      <c r="S28" s="484"/>
      <c r="T28" s="484"/>
      <c r="U28" s="484"/>
      <c r="V28" s="484"/>
      <c r="W28" s="484"/>
      <c r="X28" s="484"/>
      <c r="Y28" s="484"/>
      <c r="Z28" s="485"/>
    </row>
    <row r="29" spans="1:26" x14ac:dyDescent="0.3">
      <c r="A29" s="18"/>
      <c r="B29" s="21"/>
      <c r="C29" s="21"/>
      <c r="D29" s="21"/>
      <c r="E29" s="21"/>
      <c r="F29" s="21"/>
      <c r="G29" s="21"/>
      <c r="H29" s="21"/>
      <c r="I29" s="21"/>
      <c r="J29" s="21"/>
      <c r="K29" s="21"/>
      <c r="L29" s="21"/>
      <c r="M29" s="21"/>
      <c r="N29" s="21"/>
      <c r="O29" s="20"/>
      <c r="Q29" s="484" t="s">
        <v>989</v>
      </c>
      <c r="R29" s="484"/>
      <c r="S29" s="484" t="s">
        <v>2499</v>
      </c>
      <c r="T29" s="484"/>
      <c r="U29" s="484"/>
      <c r="V29" s="484"/>
      <c r="W29" s="484"/>
      <c r="X29" s="484"/>
      <c r="Y29" s="484"/>
      <c r="Z29" s="485" t="s">
        <v>326</v>
      </c>
    </row>
    <row r="30" spans="1:26" x14ac:dyDescent="0.3">
      <c r="A30" s="18"/>
      <c r="B30" s="21"/>
      <c r="C30" s="21"/>
      <c r="D30" s="21"/>
      <c r="E30" s="21"/>
      <c r="F30" s="21"/>
      <c r="G30" s="21"/>
      <c r="H30" s="21"/>
      <c r="I30" s="21"/>
      <c r="J30" s="21"/>
      <c r="K30" s="21"/>
      <c r="L30" s="21"/>
      <c r="M30" s="21"/>
      <c r="N30" s="21"/>
      <c r="O30" s="20"/>
      <c r="Q30" s="484"/>
      <c r="R30" s="484"/>
      <c r="S30" s="484"/>
      <c r="T30" s="484"/>
      <c r="U30" s="484"/>
      <c r="V30" s="484"/>
      <c r="W30" s="484"/>
      <c r="X30" s="484"/>
      <c r="Y30" s="484"/>
      <c r="Z30" s="485"/>
    </row>
    <row r="31" spans="1:26" x14ac:dyDescent="0.3">
      <c r="A31" s="18"/>
      <c r="B31" s="21"/>
      <c r="C31" s="21"/>
      <c r="D31" s="21"/>
      <c r="E31" s="21"/>
      <c r="F31" s="21"/>
      <c r="G31" s="21"/>
      <c r="H31" s="21"/>
      <c r="I31" s="21"/>
      <c r="J31" s="21"/>
      <c r="K31" s="21"/>
      <c r="L31" s="21"/>
      <c r="M31" s="21"/>
      <c r="N31" s="21"/>
      <c r="O31" s="20"/>
      <c r="Q31" s="484"/>
      <c r="R31" s="484"/>
      <c r="S31" s="484"/>
      <c r="T31" s="484"/>
      <c r="U31" s="484"/>
      <c r="V31" s="484"/>
      <c r="W31" s="484"/>
      <c r="X31" s="484"/>
      <c r="Y31" s="484"/>
      <c r="Z31" s="485"/>
    </row>
    <row r="32" spans="1:26" x14ac:dyDescent="0.3">
      <c r="A32" s="18"/>
      <c r="B32" s="21"/>
      <c r="C32" s="21"/>
      <c r="D32" s="21"/>
      <c r="E32" s="21"/>
      <c r="F32" s="21"/>
      <c r="G32" s="21"/>
      <c r="H32" s="21"/>
      <c r="I32" s="21"/>
      <c r="J32" s="21"/>
      <c r="K32" s="21"/>
      <c r="L32" s="21"/>
      <c r="M32" s="21"/>
      <c r="N32" s="21"/>
      <c r="O32" s="20"/>
      <c r="Q32" s="484" t="s">
        <v>989</v>
      </c>
      <c r="R32" s="484"/>
      <c r="S32" s="484" t="s">
        <v>2499</v>
      </c>
      <c r="T32" s="484"/>
      <c r="U32" s="484"/>
      <c r="V32" s="484"/>
      <c r="W32" s="484"/>
      <c r="X32" s="484"/>
      <c r="Y32" s="484"/>
      <c r="Z32" s="485" t="s">
        <v>326</v>
      </c>
    </row>
    <row r="33" spans="1:26" x14ac:dyDescent="0.3">
      <c r="A33" s="18"/>
      <c r="B33" s="21"/>
      <c r="C33" s="21"/>
      <c r="D33" s="21"/>
      <c r="E33" s="21"/>
      <c r="F33" s="21"/>
      <c r="G33" s="21"/>
      <c r="H33" s="21"/>
      <c r="I33" s="21"/>
      <c r="J33" s="21"/>
      <c r="K33" s="21"/>
      <c r="L33" s="21"/>
      <c r="M33" s="21"/>
      <c r="N33" s="21"/>
      <c r="O33" s="20"/>
      <c r="Q33" s="484"/>
      <c r="R33" s="484"/>
      <c r="S33" s="484"/>
      <c r="T33" s="484"/>
      <c r="U33" s="484"/>
      <c r="V33" s="484"/>
      <c r="W33" s="484"/>
      <c r="X33" s="484"/>
      <c r="Y33" s="484"/>
      <c r="Z33" s="485"/>
    </row>
    <row r="34" spans="1:26" x14ac:dyDescent="0.3">
      <c r="A34" s="18"/>
      <c r="B34" s="21"/>
      <c r="C34" s="21"/>
      <c r="D34" s="21"/>
      <c r="E34" s="21"/>
      <c r="F34" s="21"/>
      <c r="G34" s="21"/>
      <c r="H34" s="21"/>
      <c r="I34" s="21"/>
      <c r="J34" s="21"/>
      <c r="K34" s="21"/>
      <c r="L34" s="21"/>
      <c r="M34" s="21"/>
      <c r="N34" s="21"/>
      <c r="O34" s="20"/>
      <c r="Q34" s="484"/>
      <c r="R34" s="484"/>
      <c r="S34" s="484"/>
      <c r="T34" s="484"/>
      <c r="U34" s="484"/>
      <c r="V34" s="484"/>
      <c r="W34" s="484"/>
      <c r="X34" s="484"/>
      <c r="Y34" s="484"/>
      <c r="Z34" s="485"/>
    </row>
    <row r="35" spans="1:26" x14ac:dyDescent="0.3">
      <c r="A35" s="18"/>
      <c r="B35" s="21"/>
      <c r="C35" s="21"/>
      <c r="D35" s="21"/>
      <c r="E35" s="21"/>
      <c r="F35" s="21"/>
      <c r="G35" s="21"/>
      <c r="H35" s="21"/>
      <c r="I35" s="21"/>
      <c r="J35" s="21"/>
      <c r="K35" s="21"/>
      <c r="L35" s="21"/>
      <c r="M35" s="21"/>
      <c r="N35" s="21"/>
      <c r="O35" s="20"/>
      <c r="Q35" s="484" t="s">
        <v>989</v>
      </c>
      <c r="R35" s="484"/>
      <c r="S35" s="484" t="s">
        <v>2499</v>
      </c>
      <c r="T35" s="484"/>
      <c r="U35" s="484"/>
      <c r="V35" s="484"/>
      <c r="W35" s="484"/>
      <c r="X35" s="484"/>
      <c r="Y35" s="484"/>
      <c r="Z35" s="485" t="s">
        <v>326</v>
      </c>
    </row>
    <row r="36" spans="1:26" x14ac:dyDescent="0.3">
      <c r="A36" s="18"/>
      <c r="B36" s="21"/>
      <c r="C36" s="21"/>
      <c r="D36" s="21"/>
      <c r="E36" s="21"/>
      <c r="F36" s="21"/>
      <c r="G36" s="21"/>
      <c r="H36" s="21"/>
      <c r="I36" s="21"/>
      <c r="J36" s="21"/>
      <c r="K36" s="21"/>
      <c r="L36" s="21"/>
      <c r="M36" s="21"/>
      <c r="N36" s="21"/>
      <c r="O36" s="20"/>
      <c r="Q36" s="484"/>
      <c r="R36" s="484"/>
      <c r="S36" s="484"/>
      <c r="T36" s="484"/>
      <c r="U36" s="484"/>
      <c r="V36" s="484"/>
      <c r="W36" s="484"/>
      <c r="X36" s="484"/>
      <c r="Y36" s="484"/>
      <c r="Z36" s="485"/>
    </row>
    <row r="37" spans="1:26" x14ac:dyDescent="0.3">
      <c r="A37" s="18"/>
      <c r="B37" s="21"/>
      <c r="C37" s="21"/>
      <c r="D37" s="21"/>
      <c r="E37" s="21"/>
      <c r="F37" s="21"/>
      <c r="G37" s="21"/>
      <c r="H37" s="21"/>
      <c r="I37" s="21"/>
      <c r="J37" s="21"/>
      <c r="K37" s="21"/>
      <c r="L37" s="21"/>
      <c r="M37" s="21"/>
      <c r="N37" s="21"/>
      <c r="O37" s="20"/>
      <c r="Q37" s="484"/>
      <c r="R37" s="484"/>
      <c r="S37" s="484"/>
      <c r="T37" s="484"/>
      <c r="U37" s="484"/>
      <c r="V37" s="484"/>
      <c r="W37" s="484"/>
      <c r="X37" s="484"/>
      <c r="Y37" s="484"/>
      <c r="Z37" s="485"/>
    </row>
    <row r="38" spans="1:26" x14ac:dyDescent="0.3">
      <c r="A38" s="18"/>
      <c r="B38" s="21"/>
      <c r="C38" s="21"/>
      <c r="D38" s="21"/>
      <c r="E38" s="21"/>
      <c r="F38" s="21"/>
      <c r="G38" s="21"/>
      <c r="H38" s="21"/>
      <c r="I38" s="21"/>
      <c r="J38" s="21"/>
      <c r="K38" s="21"/>
      <c r="L38" s="21"/>
      <c r="M38" s="21"/>
      <c r="N38" s="21"/>
      <c r="O38" s="20"/>
      <c r="Q38" s="484" t="s">
        <v>989</v>
      </c>
      <c r="R38" s="484"/>
      <c r="S38" s="484" t="s">
        <v>2499</v>
      </c>
      <c r="T38" s="484"/>
      <c r="U38" s="484"/>
      <c r="V38" s="484"/>
      <c r="W38" s="484"/>
      <c r="X38" s="484"/>
      <c r="Y38" s="484"/>
      <c r="Z38" s="485" t="s">
        <v>326</v>
      </c>
    </row>
    <row r="39" spans="1:26" x14ac:dyDescent="0.3">
      <c r="A39" s="18"/>
      <c r="B39" s="21"/>
      <c r="C39" s="21"/>
      <c r="D39" s="21"/>
      <c r="E39" s="21"/>
      <c r="F39" s="21"/>
      <c r="G39" s="21"/>
      <c r="H39" s="21"/>
      <c r="I39" s="21"/>
      <c r="J39" s="21"/>
      <c r="K39" s="21"/>
      <c r="L39" s="21"/>
      <c r="M39" s="21"/>
      <c r="N39" s="21"/>
      <c r="O39" s="20"/>
      <c r="Q39" s="484"/>
      <c r="R39" s="484"/>
      <c r="S39" s="484"/>
      <c r="T39" s="484"/>
      <c r="U39" s="484"/>
      <c r="V39" s="484"/>
      <c r="W39" s="484"/>
      <c r="X39" s="484"/>
      <c r="Y39" s="484"/>
      <c r="Z39" s="485"/>
    </row>
    <row r="40" spans="1:26" x14ac:dyDescent="0.3">
      <c r="A40" s="18"/>
      <c r="B40" s="21"/>
      <c r="C40" s="21"/>
      <c r="D40" s="21"/>
      <c r="E40" s="21"/>
      <c r="F40" s="21"/>
      <c r="G40" s="21"/>
      <c r="H40" s="21"/>
      <c r="I40" s="21"/>
      <c r="J40" s="21"/>
      <c r="K40" s="21"/>
      <c r="L40" s="21"/>
      <c r="M40" s="21"/>
      <c r="N40" s="21"/>
      <c r="O40" s="20"/>
      <c r="Q40" s="484"/>
      <c r="R40" s="484"/>
      <c r="S40" s="484"/>
      <c r="T40" s="484"/>
      <c r="U40" s="484"/>
      <c r="V40" s="484"/>
      <c r="W40" s="484"/>
      <c r="X40" s="484"/>
      <c r="Y40" s="484"/>
      <c r="Z40" s="485"/>
    </row>
    <row r="41" spans="1:26" x14ac:dyDescent="0.3">
      <c r="A41" s="18"/>
      <c r="B41" s="21"/>
      <c r="C41" s="21"/>
      <c r="D41" s="21"/>
      <c r="E41" s="21"/>
      <c r="F41" s="21"/>
      <c r="G41" s="21"/>
      <c r="H41" s="21"/>
      <c r="I41" s="21"/>
      <c r="J41" s="21"/>
      <c r="K41" s="21"/>
      <c r="L41" s="21"/>
      <c r="M41" s="21"/>
      <c r="N41" s="21"/>
      <c r="O41" s="20"/>
      <c r="Q41" s="484" t="s">
        <v>989</v>
      </c>
      <c r="R41" s="484"/>
      <c r="S41" s="484" t="s">
        <v>2499</v>
      </c>
      <c r="T41" s="484"/>
      <c r="U41" s="484"/>
      <c r="V41" s="484"/>
      <c r="W41" s="484"/>
      <c r="X41" s="484"/>
      <c r="Y41" s="484"/>
      <c r="Z41" s="485" t="s">
        <v>326</v>
      </c>
    </row>
    <row r="42" spans="1:26" x14ac:dyDescent="0.3">
      <c r="A42" s="18"/>
      <c r="B42" s="21"/>
      <c r="C42" s="21"/>
      <c r="D42" s="21"/>
      <c r="E42" s="21"/>
      <c r="F42" s="21"/>
      <c r="G42" s="21"/>
      <c r="H42" s="21"/>
      <c r="I42" s="21"/>
      <c r="J42" s="21"/>
      <c r="K42" s="21"/>
      <c r="L42" s="21"/>
      <c r="M42" s="21"/>
      <c r="N42" s="21"/>
      <c r="O42" s="20"/>
      <c r="Q42" s="484"/>
      <c r="R42" s="484"/>
      <c r="S42" s="484"/>
      <c r="T42" s="484"/>
      <c r="U42" s="484"/>
      <c r="V42" s="484"/>
      <c r="W42" s="484"/>
      <c r="X42" s="484"/>
      <c r="Y42" s="484"/>
      <c r="Z42" s="485"/>
    </row>
    <row r="43" spans="1:26" x14ac:dyDescent="0.3">
      <c r="A43" s="18"/>
      <c r="B43" s="21"/>
      <c r="C43" s="21"/>
      <c r="D43" s="21"/>
      <c r="E43" s="21"/>
      <c r="F43" s="21"/>
      <c r="G43" s="21"/>
      <c r="H43" s="21"/>
      <c r="I43" s="21"/>
      <c r="J43" s="21"/>
      <c r="K43" s="21"/>
      <c r="L43" s="21"/>
      <c r="M43" s="21"/>
      <c r="N43" s="21"/>
      <c r="O43" s="20"/>
      <c r="Q43" s="484"/>
      <c r="R43" s="484"/>
      <c r="S43" s="484"/>
      <c r="T43" s="484"/>
      <c r="U43" s="484"/>
      <c r="V43" s="484"/>
      <c r="W43" s="484"/>
      <c r="X43" s="484"/>
      <c r="Y43" s="484"/>
      <c r="Z43" s="485"/>
    </row>
    <row r="44" spans="1:26" x14ac:dyDescent="0.3">
      <c r="A44" s="18"/>
      <c r="B44" s="21"/>
      <c r="C44" s="179" t="s">
        <v>1562</v>
      </c>
      <c r="D44" s="21"/>
      <c r="E44" s="179" t="s">
        <v>3415</v>
      </c>
      <c r="F44" s="21"/>
      <c r="G44" s="21"/>
      <c r="H44" s="21"/>
      <c r="I44" s="21"/>
      <c r="J44" s="21"/>
      <c r="K44" s="21"/>
      <c r="L44" s="21"/>
      <c r="M44" s="21"/>
      <c r="N44" s="21"/>
      <c r="O44" s="20"/>
      <c r="Q44" s="484" t="s">
        <v>989</v>
      </c>
      <c r="R44" s="484"/>
      <c r="S44" s="484" t="s">
        <v>2499</v>
      </c>
      <c r="T44" s="484"/>
      <c r="U44" s="484"/>
      <c r="V44" s="484"/>
      <c r="W44" s="484"/>
      <c r="X44" s="484"/>
      <c r="Y44" s="484"/>
      <c r="Z44" s="485" t="s">
        <v>326</v>
      </c>
    </row>
    <row r="45" spans="1:26" x14ac:dyDescent="0.3">
      <c r="A45" s="18"/>
      <c r="B45" s="21"/>
      <c r="C45" s="181" t="s">
        <v>1561</v>
      </c>
      <c r="D45" s="21"/>
      <c r="E45" s="186" t="str" cm="1">
        <f t="array" ref="E45">_xll.U.RANGE_REF(C45,TRUE)</f>
        <v>[REF]{{34856#2238110039728!R5C2:R8C3}}</v>
      </c>
      <c r="F45" s="21"/>
      <c r="G45" s="21"/>
      <c r="H45" s="21"/>
      <c r="I45" s="21"/>
      <c r="J45" s="21"/>
      <c r="K45" s="21"/>
      <c r="L45" s="21"/>
      <c r="M45" s="21"/>
      <c r="N45" s="21"/>
      <c r="O45" s="20"/>
      <c r="Q45" s="484"/>
      <c r="R45" s="484"/>
      <c r="S45" s="484"/>
      <c r="T45" s="484"/>
      <c r="U45" s="484"/>
      <c r="V45" s="484"/>
      <c r="W45" s="484"/>
      <c r="X45" s="484"/>
      <c r="Y45" s="484"/>
      <c r="Z45" s="485"/>
    </row>
    <row r="46" spans="1:26" x14ac:dyDescent="0.3">
      <c r="A46" s="18"/>
      <c r="B46" s="21"/>
      <c r="C46" s="21"/>
      <c r="D46" s="21"/>
      <c r="E46" s="21"/>
      <c r="F46" s="21"/>
      <c r="G46" s="21"/>
      <c r="H46" s="21"/>
      <c r="I46" s="21"/>
      <c r="J46" s="21"/>
      <c r="K46" s="21"/>
      <c r="L46" s="21"/>
      <c r="M46" s="21"/>
      <c r="N46" s="21"/>
      <c r="O46" s="20"/>
      <c r="Q46" s="484"/>
      <c r="R46" s="484"/>
      <c r="S46" s="484"/>
      <c r="T46" s="484"/>
      <c r="U46" s="484"/>
      <c r="V46" s="484"/>
      <c r="W46" s="484"/>
      <c r="X46" s="484"/>
      <c r="Y46" s="484"/>
      <c r="Z46" s="485"/>
    </row>
    <row r="47" spans="1:26" x14ac:dyDescent="0.3">
      <c r="A47" s="18"/>
      <c r="B47" s="21"/>
      <c r="C47" s="21"/>
      <c r="D47" s="21"/>
      <c r="E47" s="21"/>
      <c r="F47" s="21"/>
      <c r="G47" s="21"/>
      <c r="H47" s="21"/>
      <c r="I47" s="21"/>
      <c r="J47" s="21"/>
      <c r="K47" s="21"/>
      <c r="L47" s="21"/>
      <c r="M47" s="21"/>
      <c r="N47" s="21"/>
      <c r="O47" s="20"/>
      <c r="Q47" s="484" t="s">
        <v>989</v>
      </c>
      <c r="R47" s="484"/>
      <c r="S47" s="484" t="s">
        <v>2499</v>
      </c>
      <c r="T47" s="484"/>
      <c r="U47" s="484"/>
      <c r="V47" s="484"/>
      <c r="W47" s="484"/>
      <c r="X47" s="484"/>
      <c r="Y47" s="484"/>
      <c r="Z47" s="485" t="s">
        <v>326</v>
      </c>
    </row>
    <row r="48" spans="1:26" x14ac:dyDescent="0.3">
      <c r="A48" s="18"/>
      <c r="B48" s="21"/>
      <c r="C48" s="21"/>
      <c r="D48" s="21"/>
      <c r="E48" s="30" t="str">
        <f t="array" ref="E48:F51">_xll.U.VUNIQUE(E45)</f>
        <v>a</v>
      </c>
      <c r="F48" s="30">
        <v>1</v>
      </c>
      <c r="G48" s="21"/>
      <c r="H48" s="21"/>
      <c r="I48" s="21"/>
      <c r="J48" s="21"/>
      <c r="K48" s="21"/>
      <c r="L48" s="21"/>
      <c r="M48" s="21"/>
      <c r="N48" s="21"/>
      <c r="O48" s="20"/>
      <c r="Q48" s="484"/>
      <c r="R48" s="484"/>
      <c r="S48" s="484"/>
      <c r="T48" s="484"/>
      <c r="U48" s="484"/>
      <c r="V48" s="484"/>
      <c r="W48" s="484"/>
      <c r="X48" s="484"/>
      <c r="Y48" s="484"/>
      <c r="Z48" s="485"/>
    </row>
    <row r="49" spans="1:26" x14ac:dyDescent="0.3">
      <c r="A49" s="18"/>
      <c r="B49" s="21"/>
      <c r="C49" s="21"/>
      <c r="D49" s="21"/>
      <c r="E49" s="30" t="str">
        <v>b</v>
      </c>
      <c r="F49" s="30">
        <v>2</v>
      </c>
      <c r="G49" s="21"/>
      <c r="H49" s="21"/>
      <c r="I49" s="21"/>
      <c r="J49" s="21"/>
      <c r="K49" s="21"/>
      <c r="L49" s="21"/>
      <c r="M49" s="21"/>
      <c r="N49" s="21"/>
      <c r="O49" s="20"/>
      <c r="Q49" s="484"/>
      <c r="R49" s="484"/>
      <c r="S49" s="484"/>
      <c r="T49" s="484"/>
      <c r="U49" s="484"/>
      <c r="V49" s="484"/>
      <c r="W49" s="484"/>
      <c r="X49" s="484"/>
      <c r="Y49" s="484"/>
      <c r="Z49" s="485"/>
    </row>
    <row r="50" spans="1:26" x14ac:dyDescent="0.3">
      <c r="A50" s="18"/>
      <c r="B50" s="21"/>
      <c r="C50" s="21"/>
      <c r="D50" s="21"/>
      <c r="E50" s="30" t="str">
        <v>c</v>
      </c>
      <c r="F50" s="30">
        <v>3</v>
      </c>
      <c r="G50" s="21"/>
      <c r="H50" s="21"/>
      <c r="I50" s="21"/>
      <c r="J50" s="21"/>
      <c r="K50" s="21"/>
      <c r="L50" s="21"/>
      <c r="M50" s="21"/>
      <c r="N50" s="21"/>
      <c r="O50" s="20"/>
      <c r="Q50" s="484" t="s">
        <v>989</v>
      </c>
      <c r="R50" s="484"/>
      <c r="S50" s="484" t="s">
        <v>2499</v>
      </c>
      <c r="T50" s="484"/>
      <c r="U50" s="484"/>
      <c r="V50" s="484"/>
      <c r="W50" s="484"/>
      <c r="X50" s="484"/>
      <c r="Y50" s="484"/>
      <c r="Z50" s="485" t="s">
        <v>326</v>
      </c>
    </row>
    <row r="51" spans="1:26" x14ac:dyDescent="0.3">
      <c r="A51" s="18"/>
      <c r="B51" s="21"/>
      <c r="C51" s="21"/>
      <c r="D51" s="21"/>
      <c r="E51" s="30" t="e">
        <v>#N/A</v>
      </c>
      <c r="F51" s="30" t="e">
        <v>#N/A</v>
      </c>
      <c r="G51" s="21"/>
      <c r="H51" s="21"/>
      <c r="I51" s="21"/>
      <c r="J51" s="21"/>
      <c r="K51" s="21"/>
      <c r="L51" s="21"/>
      <c r="M51" s="21"/>
      <c r="N51" s="21"/>
      <c r="O51" s="20"/>
      <c r="Q51" s="484"/>
      <c r="R51" s="484"/>
      <c r="S51" s="484"/>
      <c r="T51" s="484"/>
      <c r="U51" s="484"/>
      <c r="V51" s="484"/>
      <c r="W51" s="484"/>
      <c r="X51" s="484"/>
      <c r="Y51" s="484"/>
      <c r="Z51" s="485"/>
    </row>
    <row r="52" spans="1:26" x14ac:dyDescent="0.3">
      <c r="A52" s="18"/>
      <c r="B52" s="21"/>
      <c r="C52" s="21"/>
      <c r="D52" s="21"/>
      <c r="E52" s="21"/>
      <c r="F52" s="21"/>
      <c r="G52" s="21"/>
      <c r="H52" s="21"/>
      <c r="I52" s="21"/>
      <c r="J52" s="21"/>
      <c r="K52" s="21"/>
      <c r="L52" s="21"/>
      <c r="M52" s="21"/>
      <c r="N52" s="21"/>
      <c r="O52" s="20"/>
      <c r="Q52" s="484"/>
      <c r="R52" s="484"/>
      <c r="S52" s="484"/>
      <c r="T52" s="484"/>
      <c r="U52" s="484"/>
      <c r="V52" s="484"/>
      <c r="W52" s="484"/>
      <c r="X52" s="484"/>
      <c r="Y52" s="484"/>
      <c r="Z52" s="485"/>
    </row>
    <row r="53" spans="1:26" x14ac:dyDescent="0.3">
      <c r="A53" s="18"/>
      <c r="B53" s="21"/>
      <c r="C53" s="21"/>
      <c r="D53" s="21"/>
      <c r="E53" s="21"/>
      <c r="F53" s="21"/>
      <c r="G53" s="21"/>
      <c r="H53" s="21"/>
      <c r="I53" s="21"/>
      <c r="J53" s="21"/>
      <c r="K53" s="21"/>
      <c r="L53" s="21"/>
      <c r="M53" s="21"/>
      <c r="N53" s="21"/>
      <c r="O53" s="20"/>
      <c r="Q53" s="484" t="s">
        <v>989</v>
      </c>
      <c r="R53" s="484"/>
      <c r="S53" s="484" t="s">
        <v>2499</v>
      </c>
      <c r="T53" s="484"/>
      <c r="U53" s="484"/>
      <c r="V53" s="484"/>
      <c r="W53" s="484"/>
      <c r="X53" s="484"/>
      <c r="Y53" s="484"/>
      <c r="Z53" s="485" t="s">
        <v>326</v>
      </c>
    </row>
    <row r="54" spans="1:26" x14ac:dyDescent="0.3">
      <c r="A54" s="18"/>
      <c r="B54" s="21"/>
      <c r="C54" s="21"/>
      <c r="D54" s="21"/>
      <c r="E54" s="21"/>
      <c r="F54" s="21"/>
      <c r="G54" s="21"/>
      <c r="H54" s="21"/>
      <c r="I54" s="21"/>
      <c r="J54" s="21"/>
      <c r="K54" s="21"/>
      <c r="L54" s="21"/>
      <c r="M54" s="21"/>
      <c r="N54" s="21"/>
      <c r="O54" s="20"/>
      <c r="Q54" s="484"/>
      <c r="R54" s="484"/>
      <c r="S54" s="484"/>
      <c r="T54" s="484"/>
      <c r="U54" s="484"/>
      <c r="V54" s="484"/>
      <c r="W54" s="484"/>
      <c r="X54" s="484"/>
      <c r="Y54" s="484"/>
      <c r="Z54" s="485"/>
    </row>
    <row r="55" spans="1:26" x14ac:dyDescent="0.3">
      <c r="A55" s="18"/>
      <c r="B55" s="557" t="s">
        <v>2501</v>
      </c>
      <c r="C55" s="558"/>
      <c r="D55" s="21"/>
      <c r="E55" s="179" t="s">
        <v>3415</v>
      </c>
      <c r="F55" s="21"/>
      <c r="G55" s="21"/>
      <c r="H55" s="21"/>
      <c r="I55" s="21"/>
      <c r="J55" s="21"/>
      <c r="K55" s="21"/>
      <c r="L55" s="21"/>
      <c r="M55" s="21"/>
      <c r="N55" s="21"/>
      <c r="O55" s="20"/>
      <c r="Q55" s="484"/>
      <c r="R55" s="484"/>
      <c r="S55" s="484"/>
      <c r="T55" s="484"/>
      <c r="U55" s="484"/>
      <c r="V55" s="484"/>
      <c r="W55" s="484"/>
      <c r="X55" s="484"/>
      <c r="Y55" s="484"/>
      <c r="Z55" s="485"/>
    </row>
    <row r="56" spans="1:26" x14ac:dyDescent="0.3">
      <c r="A56" s="18"/>
      <c r="B56" s="366">
        <v>1</v>
      </c>
      <c r="C56" s="363">
        <v>2</v>
      </c>
      <c r="D56" s="21"/>
      <c r="E56" s="186" t="str" cm="1">
        <f t="array" ref="E56">_xll.U.RANGE_REF(B56,C56,B57:C57)</f>
        <v>[REF]{{34856#2238110039728!R56C2}},[REF]{{34856#2238110039728!R56C3}},[REF]{{34856#2238110039728!R57C2:R57C3}}</v>
      </c>
      <c r="F56" s="21"/>
      <c r="G56" s="21"/>
      <c r="H56" s="21"/>
      <c r="I56" s="21"/>
      <c r="J56" s="21"/>
      <c r="K56" s="21"/>
      <c r="L56" s="21"/>
      <c r="M56" s="21"/>
      <c r="N56" s="21"/>
      <c r="O56" s="20"/>
      <c r="Q56" s="484" t="s">
        <v>989</v>
      </c>
      <c r="R56" s="484"/>
      <c r="S56" s="484" t="s">
        <v>2499</v>
      </c>
      <c r="T56" s="484"/>
      <c r="U56" s="484"/>
      <c r="V56" s="484"/>
      <c r="W56" s="484"/>
      <c r="X56" s="484"/>
      <c r="Y56" s="484"/>
      <c r="Z56" s="485" t="s">
        <v>326</v>
      </c>
    </row>
    <row r="57" spans="1:26" x14ac:dyDescent="0.3">
      <c r="A57" s="18"/>
      <c r="B57" s="364">
        <v>3</v>
      </c>
      <c r="C57" s="365"/>
      <c r="D57" s="21"/>
      <c r="E57" s="21"/>
      <c r="F57" s="21"/>
      <c r="G57" s="21"/>
      <c r="H57" s="21"/>
      <c r="I57" s="21"/>
      <c r="J57" s="21"/>
      <c r="K57" s="21"/>
      <c r="L57" s="21"/>
      <c r="M57" s="21"/>
      <c r="N57" s="21"/>
      <c r="O57" s="20"/>
      <c r="Q57" s="484"/>
      <c r="R57" s="484"/>
      <c r="S57" s="484"/>
      <c r="T57" s="484"/>
      <c r="U57" s="484"/>
      <c r="V57" s="484"/>
      <c r="W57" s="484"/>
      <c r="X57" s="484"/>
      <c r="Y57" s="484"/>
      <c r="Z57" s="485"/>
    </row>
    <row r="58" spans="1:26" x14ac:dyDescent="0.3">
      <c r="A58" s="18"/>
      <c r="B58" s="21"/>
      <c r="C58" s="21"/>
      <c r="D58" s="21"/>
      <c r="E58" s="21"/>
      <c r="F58" s="21"/>
      <c r="G58" s="21"/>
      <c r="H58" s="21"/>
      <c r="I58" s="21"/>
      <c r="J58" s="21"/>
      <c r="K58" s="21"/>
      <c r="L58" s="21"/>
      <c r="M58" s="21"/>
      <c r="N58" s="21"/>
      <c r="O58" s="20"/>
      <c r="Q58" s="484"/>
      <c r="R58" s="484"/>
      <c r="S58" s="484"/>
      <c r="T58" s="484"/>
      <c r="U58" s="484"/>
      <c r="V58" s="484"/>
      <c r="W58" s="484"/>
      <c r="X58" s="484"/>
      <c r="Y58" s="484"/>
      <c r="Z58" s="485"/>
    </row>
    <row r="59" spans="1:26" x14ac:dyDescent="0.3">
      <c r="A59" s="18"/>
      <c r="B59" s="21"/>
      <c r="C59" s="21"/>
      <c r="D59" s="21"/>
      <c r="E59" s="21"/>
      <c r="F59" s="21"/>
      <c r="G59" s="21"/>
      <c r="H59" s="21"/>
      <c r="I59" s="21"/>
      <c r="J59" s="21"/>
      <c r="K59" s="21"/>
      <c r="L59" s="21"/>
      <c r="M59" s="21"/>
      <c r="N59" s="21"/>
      <c r="O59" s="20"/>
      <c r="Q59" s="484" t="s">
        <v>989</v>
      </c>
      <c r="R59" s="484"/>
      <c r="S59" s="484" t="s">
        <v>2499</v>
      </c>
      <c r="T59" s="484"/>
      <c r="U59" s="484"/>
      <c r="V59" s="484"/>
      <c r="W59" s="484"/>
      <c r="X59" s="484"/>
      <c r="Y59" s="484"/>
      <c r="Z59" s="485" t="s">
        <v>326</v>
      </c>
    </row>
    <row r="60" spans="1:26" x14ac:dyDescent="0.3">
      <c r="A60" s="18"/>
      <c r="B60" s="21"/>
      <c r="C60" s="21"/>
      <c r="D60" s="21"/>
      <c r="E60" s="21"/>
      <c r="F60" s="21"/>
      <c r="G60" s="21"/>
      <c r="H60" s="21"/>
      <c r="I60" s="21"/>
      <c r="J60" s="21"/>
      <c r="K60" s="21"/>
      <c r="L60" s="21"/>
      <c r="M60" s="21"/>
      <c r="N60" s="21"/>
      <c r="O60" s="20"/>
      <c r="Q60" s="484"/>
      <c r="R60" s="484"/>
      <c r="S60" s="484"/>
      <c r="T60" s="484"/>
      <c r="U60" s="484"/>
      <c r="V60" s="484"/>
      <c r="W60" s="484"/>
      <c r="X60" s="484"/>
      <c r="Y60" s="484"/>
      <c r="Z60" s="485"/>
    </row>
    <row r="61" spans="1:26" x14ac:dyDescent="0.3">
      <c r="A61" s="18"/>
      <c r="B61" s="21"/>
      <c r="C61" s="21"/>
      <c r="D61" s="21"/>
      <c r="E61" s="21"/>
      <c r="F61" s="21"/>
      <c r="G61" s="21"/>
      <c r="H61" s="21"/>
      <c r="I61" s="21"/>
      <c r="J61" s="21"/>
      <c r="K61" s="21"/>
      <c r="L61" s="21"/>
      <c r="M61" s="21"/>
      <c r="N61" s="21"/>
      <c r="O61" s="20"/>
      <c r="Q61" s="484"/>
      <c r="R61" s="484"/>
      <c r="S61" s="484"/>
      <c r="T61" s="484"/>
      <c r="U61" s="484"/>
      <c r="V61" s="484"/>
      <c r="W61" s="484"/>
      <c r="X61" s="484"/>
      <c r="Y61" s="484"/>
      <c r="Z61" s="485"/>
    </row>
    <row r="62" spans="1:26" x14ac:dyDescent="0.3">
      <c r="A62" s="18"/>
      <c r="B62" s="21"/>
      <c r="C62" s="21"/>
      <c r="D62" s="21"/>
      <c r="E62" s="21"/>
      <c r="F62" s="21"/>
      <c r="G62" s="21"/>
      <c r="H62" s="21"/>
      <c r="I62" s="21"/>
      <c r="J62" s="21"/>
      <c r="K62" s="21"/>
      <c r="L62" s="21"/>
      <c r="M62" s="21"/>
      <c r="N62" s="21"/>
      <c r="O62" s="20"/>
      <c r="Q62" s="484" t="s">
        <v>989</v>
      </c>
      <c r="R62" s="484"/>
      <c r="S62" s="484" t="s">
        <v>2499</v>
      </c>
      <c r="T62" s="484"/>
      <c r="U62" s="484"/>
      <c r="V62" s="484"/>
      <c r="W62" s="484"/>
      <c r="X62" s="484"/>
      <c r="Y62" s="484"/>
      <c r="Z62" s="485" t="s">
        <v>326</v>
      </c>
    </row>
    <row r="63" spans="1:26" x14ac:dyDescent="0.3">
      <c r="A63" s="18"/>
      <c r="B63" s="21"/>
      <c r="C63" s="21"/>
      <c r="D63" s="21"/>
      <c r="E63" s="21"/>
      <c r="F63" s="21"/>
      <c r="G63" s="21"/>
      <c r="H63" s="21"/>
      <c r="I63" s="21"/>
      <c r="J63" s="21"/>
      <c r="K63" s="21"/>
      <c r="L63" s="21"/>
      <c r="M63" s="21"/>
      <c r="N63" s="21"/>
      <c r="O63" s="20"/>
      <c r="Q63" s="484"/>
      <c r="R63" s="484"/>
      <c r="S63" s="484"/>
      <c r="T63" s="484"/>
      <c r="U63" s="484"/>
      <c r="V63" s="484"/>
      <c r="W63" s="484"/>
      <c r="X63" s="484"/>
      <c r="Y63" s="484"/>
      <c r="Z63" s="485"/>
    </row>
    <row r="64" spans="1:26" x14ac:dyDescent="0.3">
      <c r="A64" s="18"/>
      <c r="B64" s="21"/>
      <c r="C64" s="21"/>
      <c r="D64" s="21"/>
      <c r="E64" s="179" t="s">
        <v>3098</v>
      </c>
      <c r="F64" s="21"/>
      <c r="G64" s="21"/>
      <c r="H64" s="21"/>
      <c r="I64" s="21"/>
      <c r="J64" s="21"/>
      <c r="K64" s="21"/>
      <c r="L64" s="21"/>
      <c r="M64" s="21"/>
      <c r="N64" s="21"/>
      <c r="O64" s="20"/>
      <c r="Q64" s="484"/>
      <c r="R64" s="484"/>
      <c r="S64" s="484"/>
      <c r="T64" s="484"/>
      <c r="U64" s="484"/>
      <c r="V64" s="484"/>
      <c r="W64" s="484"/>
      <c r="X64" s="484"/>
      <c r="Y64" s="484"/>
      <c r="Z64" s="485"/>
    </row>
    <row r="65" spans="1:26" x14ac:dyDescent="0.3">
      <c r="A65" s="18"/>
      <c r="B65" s="21"/>
      <c r="C65" s="21"/>
      <c r="D65" s="21"/>
      <c r="E65" s="186" t="str" cm="1">
        <f t="array" ref="E65">_xll.U.RANGE_REF("selection")</f>
        <v>[REF]{{34856#2238102196432!R1C1}}</v>
      </c>
      <c r="F65" s="21"/>
      <c r="G65" s="21"/>
      <c r="H65" s="21"/>
      <c r="I65" s="21"/>
      <c r="J65" s="21"/>
      <c r="K65" s="21"/>
      <c r="L65" s="21"/>
      <c r="M65" s="21"/>
      <c r="N65" s="21"/>
      <c r="O65" s="20"/>
      <c r="Q65" s="484" t="s">
        <v>989</v>
      </c>
      <c r="R65" s="484"/>
      <c r="S65" s="484" t="s">
        <v>2499</v>
      </c>
      <c r="T65" s="484"/>
      <c r="U65" s="484"/>
      <c r="V65" s="484"/>
      <c r="W65" s="484"/>
      <c r="X65" s="484"/>
      <c r="Y65" s="484"/>
      <c r="Z65" s="485" t="s">
        <v>326</v>
      </c>
    </row>
    <row r="66" spans="1:26" x14ac:dyDescent="0.3">
      <c r="A66" s="18"/>
      <c r="B66" s="21"/>
      <c r="C66" s="21"/>
      <c r="D66" s="21"/>
      <c r="E66" s="21"/>
      <c r="F66" s="21"/>
      <c r="G66" s="21"/>
      <c r="H66" s="21"/>
      <c r="I66" s="21"/>
      <c r="J66" s="21"/>
      <c r="K66" s="21"/>
      <c r="L66" s="21"/>
      <c r="M66" s="21"/>
      <c r="N66" s="21"/>
      <c r="O66" s="20"/>
      <c r="Q66" s="484"/>
      <c r="R66" s="484"/>
      <c r="S66" s="484"/>
      <c r="T66" s="484"/>
      <c r="U66" s="484"/>
      <c r="V66" s="484"/>
      <c r="W66" s="484"/>
      <c r="X66" s="484"/>
      <c r="Y66" s="484"/>
      <c r="Z66" s="485"/>
    </row>
    <row r="67" spans="1:26" x14ac:dyDescent="0.3">
      <c r="A67" s="18"/>
      <c r="B67" s="21"/>
      <c r="C67" s="21"/>
      <c r="D67" s="21"/>
      <c r="E67" s="179" t="s">
        <v>3099</v>
      </c>
      <c r="F67" s="21"/>
      <c r="G67" s="21"/>
      <c r="H67" s="21"/>
      <c r="I67" s="21"/>
      <c r="J67" s="21"/>
      <c r="K67" s="21"/>
      <c r="L67" s="21"/>
      <c r="M67" s="21"/>
      <c r="N67" s="21"/>
      <c r="O67" s="20"/>
      <c r="Q67" s="484"/>
      <c r="R67" s="484"/>
      <c r="S67" s="484"/>
      <c r="T67" s="484"/>
      <c r="U67" s="484"/>
      <c r="V67" s="484"/>
      <c r="W67" s="484"/>
      <c r="X67" s="484"/>
      <c r="Y67" s="484"/>
      <c r="Z67" s="485"/>
    </row>
    <row r="68" spans="1:26" x14ac:dyDescent="0.3">
      <c r="A68" s="18"/>
      <c r="B68" s="21"/>
      <c r="C68" s="21"/>
      <c r="D68" s="21"/>
      <c r="E68" s="186" t="str" cm="1">
        <f t="array" ref="E68">_xll.U.RANGE_REF("prior_selection")</f>
        <v>[REF]{{34856#2238102196432!R2C1}}</v>
      </c>
      <c r="F68" s="21"/>
      <c r="G68" s="21"/>
      <c r="H68" s="21"/>
      <c r="I68" s="21"/>
      <c r="J68" s="21"/>
      <c r="K68" s="21"/>
      <c r="L68" s="21"/>
      <c r="M68" s="21"/>
      <c r="N68" s="21"/>
      <c r="O68" s="20"/>
      <c r="Q68" s="126" t="s">
        <v>328</v>
      </c>
    </row>
    <row r="69" spans="1:26" x14ac:dyDescent="0.3">
      <c r="A69" s="18"/>
      <c r="B69" s="21"/>
      <c r="C69" s="21"/>
      <c r="D69" s="21"/>
      <c r="E69" s="21"/>
      <c r="F69" s="21"/>
      <c r="G69" s="21"/>
      <c r="H69" s="21"/>
      <c r="I69" s="21"/>
      <c r="J69" s="21"/>
      <c r="K69" s="21"/>
      <c r="L69" s="21"/>
      <c r="M69" s="21"/>
      <c r="N69" s="21"/>
      <c r="O69" s="20"/>
    </row>
    <row r="70" spans="1:26" x14ac:dyDescent="0.3">
      <c r="A70" s="490" t="s">
        <v>1560</v>
      </c>
      <c r="B70" s="491"/>
      <c r="C70" s="491"/>
      <c r="D70" s="491"/>
      <c r="E70" s="491"/>
      <c r="F70" s="491"/>
      <c r="G70" s="491"/>
      <c r="H70" s="491"/>
      <c r="I70" s="491"/>
      <c r="J70" s="491"/>
      <c r="K70" s="491"/>
      <c r="L70" s="491"/>
      <c r="M70" s="491"/>
      <c r="N70" s="21"/>
      <c r="O70" s="20"/>
    </row>
    <row r="71" spans="1:26" x14ac:dyDescent="0.3">
      <c r="A71" s="18"/>
      <c r="B71" s="21"/>
      <c r="C71" s="21"/>
      <c r="D71" s="21"/>
      <c r="E71" s="21"/>
      <c r="F71" s="21"/>
      <c r="G71" s="21"/>
      <c r="H71" s="21"/>
      <c r="I71" s="21"/>
      <c r="J71" s="21"/>
      <c r="K71" s="21"/>
      <c r="L71" s="21"/>
      <c r="M71" s="21"/>
      <c r="N71" s="21"/>
      <c r="O71" s="20"/>
      <c r="Q71" s="486" t="s">
        <v>3416</v>
      </c>
      <c r="R71" s="486"/>
      <c r="S71" s="486"/>
      <c r="T71" s="486"/>
      <c r="U71" s="486"/>
      <c r="V71" s="486"/>
      <c r="W71" s="486"/>
      <c r="X71" s="486"/>
      <c r="Y71" s="486"/>
      <c r="Z71" s="486"/>
    </row>
    <row r="72" spans="1:26" x14ac:dyDescent="0.3">
      <c r="A72" s="18"/>
      <c r="B72" s="21"/>
      <c r="C72" s="21"/>
      <c r="D72" s="21"/>
      <c r="E72" s="21"/>
      <c r="F72" s="21"/>
      <c r="G72" s="21"/>
      <c r="H72" s="21"/>
      <c r="I72" s="21"/>
      <c r="J72" s="21"/>
      <c r="K72" s="21"/>
      <c r="L72" s="21"/>
      <c r="M72" s="21"/>
      <c r="N72" s="21"/>
      <c r="O72" s="20"/>
      <c r="Q72" s="487" t="s">
        <v>333</v>
      </c>
      <c r="R72" s="487"/>
      <c r="S72" s="487" t="s">
        <v>1563</v>
      </c>
      <c r="T72" s="487"/>
      <c r="U72" s="487"/>
      <c r="V72" s="487"/>
      <c r="W72" s="487"/>
      <c r="X72" s="487"/>
      <c r="Y72" s="487"/>
      <c r="Z72" s="487"/>
    </row>
    <row r="73" spans="1:26" x14ac:dyDescent="0.3">
      <c r="A73" s="18"/>
      <c r="B73" s="557" t="s">
        <v>1569</v>
      </c>
      <c r="C73" s="558"/>
      <c r="D73" s="21"/>
      <c r="E73" s="179" t="s">
        <v>3416</v>
      </c>
      <c r="F73" s="21"/>
      <c r="G73" s="21"/>
      <c r="H73" s="21"/>
      <c r="I73" s="21"/>
      <c r="J73" s="21"/>
      <c r="K73" s="21"/>
      <c r="L73" s="21"/>
      <c r="M73" s="21"/>
      <c r="N73" s="21"/>
      <c r="O73" s="20"/>
      <c r="Q73" s="487"/>
      <c r="R73" s="487"/>
      <c r="S73" s="487"/>
      <c r="T73" s="487"/>
      <c r="U73" s="487"/>
      <c r="V73" s="487"/>
      <c r="W73" s="487"/>
      <c r="X73" s="487"/>
      <c r="Y73" s="487"/>
      <c r="Z73" s="487"/>
    </row>
    <row r="74" spans="1:26" x14ac:dyDescent="0.3">
      <c r="A74" s="18"/>
      <c r="B74" s="30" t="s">
        <v>199</v>
      </c>
      <c r="C74" s="30" t="s">
        <v>200</v>
      </c>
      <c r="D74" s="21"/>
      <c r="E74" s="186" t="str" cm="1">
        <f t="array" ref="E74">_xll.U.NAMED_RANGE(B78,B74:C75)</f>
        <v>Range name Colleagues set</v>
      </c>
      <c r="F74" s="21"/>
      <c r="G74" s="21"/>
      <c r="H74" s="21"/>
      <c r="I74" s="21"/>
      <c r="J74" s="21"/>
      <c r="K74" s="21"/>
      <c r="L74" s="21"/>
      <c r="M74" s="21"/>
      <c r="N74" s="21"/>
      <c r="O74" s="20"/>
      <c r="Q74" s="487"/>
      <c r="R74" s="487"/>
      <c r="S74" s="487"/>
      <c r="T74" s="487"/>
      <c r="U74" s="487"/>
      <c r="V74" s="487"/>
      <c r="W74" s="487"/>
      <c r="X74" s="487"/>
      <c r="Y74" s="487"/>
      <c r="Z74" s="487"/>
    </row>
    <row r="75" spans="1:26" x14ac:dyDescent="0.3">
      <c r="A75" s="18"/>
      <c r="B75" s="30" t="s">
        <v>1570</v>
      </c>
      <c r="C75" s="30" t="s">
        <v>1571</v>
      </c>
      <c r="D75" s="21"/>
      <c r="E75" s="21"/>
      <c r="F75" s="21"/>
      <c r="G75" s="21"/>
      <c r="H75" s="21"/>
      <c r="I75" s="21"/>
      <c r="J75" s="21"/>
      <c r="K75" s="21"/>
      <c r="L75" s="21"/>
      <c r="M75" s="21"/>
      <c r="N75" s="21"/>
      <c r="O75" s="20"/>
      <c r="Q75" s="483" t="s">
        <v>323</v>
      </c>
      <c r="R75" s="483"/>
      <c r="S75" s="483" t="s">
        <v>1</v>
      </c>
      <c r="T75" s="483"/>
      <c r="U75" s="483"/>
      <c r="V75" s="483"/>
      <c r="W75" s="483"/>
      <c r="X75" s="483"/>
      <c r="Y75" s="483"/>
      <c r="Z75" s="85" t="s">
        <v>324</v>
      </c>
    </row>
    <row r="76" spans="1:26" x14ac:dyDescent="0.3">
      <c r="A76" s="18"/>
      <c r="B76" s="21"/>
      <c r="C76" s="21"/>
      <c r="D76" s="21"/>
      <c r="E76" s="21"/>
      <c r="F76" s="21"/>
      <c r="G76" s="21"/>
      <c r="H76" s="21"/>
      <c r="I76" s="21"/>
      <c r="J76" s="21"/>
      <c r="K76" s="21"/>
      <c r="L76" s="21"/>
      <c r="M76" s="21"/>
      <c r="N76" s="21"/>
      <c r="O76" s="20"/>
      <c r="Q76" s="487" t="s">
        <v>517</v>
      </c>
      <c r="R76" s="487"/>
      <c r="S76" s="487" t="s">
        <v>1566</v>
      </c>
      <c r="T76" s="487"/>
      <c r="U76" s="487"/>
      <c r="V76" s="487"/>
      <c r="W76" s="487"/>
      <c r="X76" s="487"/>
      <c r="Y76" s="487"/>
      <c r="Z76" s="509" t="s">
        <v>325</v>
      </c>
    </row>
    <row r="77" spans="1:26" x14ac:dyDescent="0.3">
      <c r="A77" s="18"/>
      <c r="B77" s="179" t="s">
        <v>1572</v>
      </c>
      <c r="C77" s="21"/>
      <c r="D77" s="21"/>
      <c r="E77" s="21"/>
      <c r="F77" s="21"/>
      <c r="G77" s="21"/>
      <c r="H77" s="21"/>
      <c r="I77" s="21"/>
      <c r="J77" s="21"/>
      <c r="K77" s="21"/>
      <c r="L77" s="21"/>
      <c r="M77" s="21"/>
      <c r="N77" s="21"/>
      <c r="O77" s="20"/>
      <c r="Q77" s="487"/>
      <c r="R77" s="487"/>
      <c r="S77" s="487"/>
      <c r="T77" s="487"/>
      <c r="U77" s="487"/>
      <c r="V77" s="487"/>
      <c r="W77" s="487"/>
      <c r="X77" s="487"/>
      <c r="Y77" s="487"/>
      <c r="Z77" s="509"/>
    </row>
    <row r="78" spans="1:26" x14ac:dyDescent="0.3">
      <c r="A78" s="18"/>
      <c r="B78" s="181" t="s">
        <v>1573</v>
      </c>
      <c r="C78" s="21"/>
      <c r="D78" s="21"/>
      <c r="E78" s="21"/>
      <c r="F78" s="21"/>
      <c r="G78" s="21"/>
      <c r="H78" s="21"/>
      <c r="I78" s="21"/>
      <c r="J78" s="21"/>
      <c r="K78" s="21"/>
      <c r="L78" s="21"/>
      <c r="M78" s="21"/>
      <c r="N78" s="21"/>
      <c r="O78" s="20"/>
      <c r="Q78" s="487"/>
      <c r="R78" s="487"/>
      <c r="S78" s="487"/>
      <c r="T78" s="487"/>
      <c r="U78" s="487"/>
      <c r="V78" s="487"/>
      <c r="W78" s="487"/>
      <c r="X78" s="487"/>
      <c r="Y78" s="487"/>
      <c r="Z78" s="509"/>
    </row>
    <row r="79" spans="1:26" x14ac:dyDescent="0.3">
      <c r="A79" s="18"/>
      <c r="B79" s="21"/>
      <c r="C79" s="21"/>
      <c r="D79" s="21"/>
      <c r="E79" s="21"/>
      <c r="F79" s="21"/>
      <c r="G79" s="21"/>
      <c r="H79" s="21"/>
      <c r="I79" s="21"/>
      <c r="J79" s="21"/>
      <c r="K79" s="21"/>
      <c r="L79" s="21"/>
      <c r="M79" s="21"/>
      <c r="N79" s="21"/>
      <c r="O79" s="20"/>
      <c r="Q79" s="487" t="s">
        <v>458</v>
      </c>
      <c r="R79" s="487"/>
      <c r="S79" s="487" t="s">
        <v>1787</v>
      </c>
      <c r="T79" s="487"/>
      <c r="U79" s="487"/>
      <c r="V79" s="487"/>
      <c r="W79" s="487"/>
      <c r="X79" s="487"/>
      <c r="Y79" s="487"/>
      <c r="Z79" s="509" t="s">
        <v>325</v>
      </c>
    </row>
    <row r="80" spans="1:26" x14ac:dyDescent="0.3">
      <c r="A80" s="18"/>
      <c r="B80" s="21"/>
      <c r="C80" s="21"/>
      <c r="D80" s="21"/>
      <c r="E80" s="21"/>
      <c r="F80" s="21"/>
      <c r="G80" s="21"/>
      <c r="H80" s="21"/>
      <c r="I80" s="21"/>
      <c r="J80" s="21"/>
      <c r="K80" s="21"/>
      <c r="L80" s="21"/>
      <c r="M80" s="21"/>
      <c r="N80" s="21"/>
      <c r="O80" s="20"/>
      <c r="Q80" s="487"/>
      <c r="R80" s="487"/>
      <c r="S80" s="487"/>
      <c r="T80" s="487"/>
      <c r="U80" s="487"/>
      <c r="V80" s="487"/>
      <c r="W80" s="487"/>
      <c r="X80" s="487"/>
      <c r="Y80" s="487"/>
      <c r="Z80" s="509"/>
    </row>
    <row r="81" spans="1:26" x14ac:dyDescent="0.3">
      <c r="A81" s="18"/>
      <c r="B81" s="21"/>
      <c r="C81" s="21"/>
      <c r="D81" s="21"/>
      <c r="E81" s="21"/>
      <c r="F81" s="21"/>
      <c r="G81" s="21"/>
      <c r="H81" s="21"/>
      <c r="I81" s="21"/>
      <c r="J81" s="21"/>
      <c r="K81" s="21"/>
      <c r="L81" s="21"/>
      <c r="M81" s="21"/>
      <c r="N81" s="21"/>
      <c r="O81" s="20"/>
      <c r="Q81" s="487"/>
      <c r="R81" s="487"/>
      <c r="S81" s="487"/>
      <c r="T81" s="487"/>
      <c r="U81" s="487"/>
      <c r="V81" s="487"/>
      <c r="W81" s="487"/>
      <c r="X81" s="487"/>
      <c r="Y81" s="487"/>
      <c r="Z81" s="509"/>
    </row>
    <row r="82" spans="1:26" x14ac:dyDescent="0.3">
      <c r="A82" s="18"/>
      <c r="B82" s="21"/>
      <c r="C82" s="21"/>
      <c r="D82" s="21"/>
      <c r="E82" s="21"/>
      <c r="F82" s="21"/>
      <c r="G82" s="21"/>
      <c r="H82" s="21"/>
      <c r="I82" s="21"/>
      <c r="J82" s="21"/>
      <c r="K82" s="21"/>
      <c r="L82" s="21"/>
      <c r="M82" s="21"/>
      <c r="N82" s="21"/>
      <c r="O82" s="20"/>
      <c r="Q82" s="484" t="s">
        <v>1564</v>
      </c>
      <c r="R82" s="484"/>
      <c r="S82" s="484" t="s">
        <v>1567</v>
      </c>
      <c r="T82" s="484"/>
      <c r="U82" s="484"/>
      <c r="V82" s="484"/>
      <c r="W82" s="484"/>
      <c r="X82" s="484"/>
      <c r="Y82" s="484"/>
      <c r="Z82" s="485" t="s">
        <v>326</v>
      </c>
    </row>
    <row r="83" spans="1:26" x14ac:dyDescent="0.3">
      <c r="A83" s="18"/>
      <c r="B83" s="21"/>
      <c r="C83" s="21"/>
      <c r="D83" s="21"/>
      <c r="E83" s="21"/>
      <c r="F83" s="21"/>
      <c r="G83" s="21"/>
      <c r="H83" s="21"/>
      <c r="I83" s="21"/>
      <c r="J83" s="21"/>
      <c r="K83" s="21"/>
      <c r="L83" s="21"/>
      <c r="M83" s="21"/>
      <c r="N83" s="21"/>
      <c r="O83" s="20"/>
      <c r="Q83" s="484"/>
      <c r="R83" s="484"/>
      <c r="S83" s="484"/>
      <c r="T83" s="484"/>
      <c r="U83" s="484"/>
      <c r="V83" s="484"/>
      <c r="W83" s="484"/>
      <c r="X83" s="484"/>
      <c r="Y83" s="484"/>
      <c r="Z83" s="485"/>
    </row>
    <row r="84" spans="1:26" x14ac:dyDescent="0.3">
      <c r="A84" s="18"/>
      <c r="B84" s="21"/>
      <c r="C84" s="21"/>
      <c r="D84" s="21"/>
      <c r="E84" s="21"/>
      <c r="F84" s="21"/>
      <c r="G84" s="21"/>
      <c r="H84" s="21"/>
      <c r="I84" s="21"/>
      <c r="J84" s="21"/>
      <c r="K84" s="21"/>
      <c r="L84" s="21"/>
      <c r="M84" s="21"/>
      <c r="N84" s="21"/>
      <c r="O84" s="20"/>
      <c r="Q84" s="484"/>
      <c r="R84" s="484"/>
      <c r="S84" s="484"/>
      <c r="T84" s="484"/>
      <c r="U84" s="484"/>
      <c r="V84" s="484"/>
      <c r="W84" s="484"/>
      <c r="X84" s="484"/>
      <c r="Y84" s="484"/>
      <c r="Z84" s="485"/>
    </row>
    <row r="85" spans="1:26" x14ac:dyDescent="0.3">
      <c r="A85" s="18"/>
      <c r="B85" s="21"/>
      <c r="C85" s="21"/>
      <c r="D85" s="21"/>
      <c r="E85" s="21"/>
      <c r="F85" s="21"/>
      <c r="G85" s="21"/>
      <c r="H85" s="21"/>
      <c r="I85" s="21"/>
      <c r="J85" s="21"/>
      <c r="K85" s="21"/>
      <c r="L85" s="21"/>
      <c r="M85" s="21"/>
      <c r="N85" s="21"/>
      <c r="O85" s="20"/>
      <c r="Q85" s="484" t="s">
        <v>1565</v>
      </c>
      <c r="R85" s="484"/>
      <c r="S85" s="484" t="s">
        <v>1568</v>
      </c>
      <c r="T85" s="484"/>
      <c r="U85" s="484"/>
      <c r="V85" s="484"/>
      <c r="W85" s="484"/>
      <c r="X85" s="484"/>
      <c r="Y85" s="484"/>
      <c r="Z85" s="485" t="s">
        <v>326</v>
      </c>
    </row>
    <row r="86" spans="1:26" x14ac:dyDescent="0.3">
      <c r="A86" s="18"/>
      <c r="B86" s="179" t="s">
        <v>1788</v>
      </c>
      <c r="C86" s="21"/>
      <c r="D86" s="21"/>
      <c r="E86" s="179" t="s">
        <v>3416</v>
      </c>
      <c r="F86" s="21"/>
      <c r="G86" s="21"/>
      <c r="H86" s="21"/>
      <c r="I86" s="21"/>
      <c r="J86" s="21"/>
      <c r="K86" s="21"/>
      <c r="L86" s="21"/>
      <c r="M86" s="21"/>
      <c r="N86" s="21"/>
      <c r="O86" s="20"/>
      <c r="Q86" s="484"/>
      <c r="R86" s="484"/>
      <c r="S86" s="484"/>
      <c r="T86" s="484"/>
      <c r="U86" s="484"/>
      <c r="V86" s="484"/>
      <c r="W86" s="484"/>
      <c r="X86" s="484"/>
      <c r="Y86" s="484"/>
      <c r="Z86" s="485"/>
    </row>
    <row r="87" spans="1:26" x14ac:dyDescent="0.3">
      <c r="A87" s="18"/>
      <c r="B87" s="244" t="s">
        <v>1796</v>
      </c>
      <c r="C87" s="21"/>
      <c r="D87" s="21"/>
      <c r="E87" s="186" t="str" cm="1">
        <f t="array" ref="E87">_xll.U.NAMED_RANGE(B91,B87&amp;"")</f>
        <v>Range name ColleaguesCount set</v>
      </c>
      <c r="F87" s="21"/>
      <c r="G87" s="21"/>
      <c r="H87" s="21"/>
      <c r="I87" s="21"/>
      <c r="J87" s="21"/>
      <c r="K87" s="21"/>
      <c r="L87" s="21"/>
      <c r="M87" s="21"/>
      <c r="N87" s="21"/>
      <c r="O87" s="20"/>
      <c r="Q87" s="484"/>
      <c r="R87" s="484"/>
      <c r="S87" s="484"/>
      <c r="T87" s="484"/>
      <c r="U87" s="484"/>
      <c r="V87" s="484"/>
      <c r="W87" s="484"/>
      <c r="X87" s="484"/>
      <c r="Y87" s="484"/>
      <c r="Z87" s="485"/>
    </row>
    <row r="88" spans="1:26" x14ac:dyDescent="0.3">
      <c r="A88" s="18"/>
      <c r="B88" s="21"/>
      <c r="C88" s="21"/>
      <c r="D88" s="21"/>
      <c r="E88" s="21"/>
      <c r="F88" s="21"/>
      <c r="G88" s="21"/>
      <c r="H88" s="21"/>
      <c r="I88" s="21"/>
      <c r="J88" s="21"/>
      <c r="K88" s="21"/>
      <c r="L88" s="21"/>
      <c r="M88" s="21"/>
      <c r="N88" s="21"/>
      <c r="O88" s="20"/>
      <c r="Q88" s="126" t="s">
        <v>328</v>
      </c>
    </row>
    <row r="89" spans="1:26" x14ac:dyDescent="0.3">
      <c r="A89" s="18"/>
      <c r="B89" s="21"/>
      <c r="C89" s="21"/>
      <c r="D89" s="21"/>
      <c r="E89" s="21"/>
      <c r="F89" s="21"/>
      <c r="G89" s="21"/>
      <c r="H89" s="21"/>
      <c r="I89" s="21"/>
      <c r="J89" s="21"/>
      <c r="K89" s="21"/>
      <c r="L89" s="21"/>
      <c r="M89" s="21"/>
      <c r="N89" s="21"/>
      <c r="O89" s="20"/>
    </row>
    <row r="90" spans="1:26" x14ac:dyDescent="0.3">
      <c r="A90" s="18"/>
      <c r="B90" s="179" t="s">
        <v>1572</v>
      </c>
      <c r="C90" s="21"/>
      <c r="D90" s="21"/>
      <c r="E90" s="179" t="s">
        <v>1797</v>
      </c>
      <c r="F90" s="21"/>
      <c r="G90" s="21"/>
      <c r="H90" s="21"/>
      <c r="I90" s="21"/>
      <c r="J90" s="21"/>
      <c r="K90" s="21"/>
      <c r="L90" s="21"/>
      <c r="M90" s="21"/>
      <c r="N90" s="21"/>
      <c r="O90" s="20"/>
    </row>
    <row r="91" spans="1:26" x14ac:dyDescent="0.3">
      <c r="A91" s="18"/>
      <c r="B91" s="181" t="s">
        <v>1789</v>
      </c>
      <c r="C91" s="21"/>
      <c r="D91" s="21"/>
      <c r="E91" s="242" cm="1">
        <f t="array" ref="E91">ColleaguesCount</f>
        <v>4</v>
      </c>
      <c r="F91" s="21"/>
      <c r="G91" s="21"/>
      <c r="H91" s="21"/>
      <c r="I91" s="21"/>
      <c r="J91" s="21"/>
      <c r="K91" s="21"/>
      <c r="L91" s="21"/>
      <c r="M91" s="21"/>
      <c r="N91" s="21"/>
      <c r="O91" s="20"/>
    </row>
    <row r="92" spans="1:26" x14ac:dyDescent="0.3">
      <c r="A92" s="18"/>
      <c r="B92" s="21"/>
      <c r="C92" s="21"/>
      <c r="D92" s="21"/>
      <c r="E92" s="21"/>
      <c r="F92" s="21"/>
      <c r="G92" s="21"/>
      <c r="H92" s="21"/>
      <c r="I92" s="21"/>
      <c r="J92" s="21"/>
      <c r="K92" s="21"/>
      <c r="L92" s="21"/>
      <c r="M92" s="21"/>
      <c r="N92" s="21"/>
      <c r="O92" s="20"/>
    </row>
    <row r="93" spans="1:26" x14ac:dyDescent="0.3">
      <c r="A93" s="18"/>
      <c r="B93" s="21"/>
      <c r="C93" s="21"/>
      <c r="D93" s="21"/>
      <c r="E93" s="21"/>
      <c r="F93" s="21"/>
      <c r="G93" s="21"/>
      <c r="H93" s="21"/>
      <c r="I93" s="21"/>
      <c r="J93" s="21"/>
      <c r="K93" s="21"/>
      <c r="L93" s="21"/>
      <c r="M93" s="21"/>
      <c r="N93" s="21"/>
      <c r="O93" s="20"/>
    </row>
    <row r="94" spans="1:26" x14ac:dyDescent="0.3">
      <c r="A94" s="18"/>
      <c r="B94" s="21"/>
      <c r="C94" s="21"/>
      <c r="D94" s="21"/>
      <c r="E94" s="21"/>
      <c r="F94" s="21"/>
      <c r="G94" s="21"/>
      <c r="H94" s="21"/>
      <c r="I94" s="21"/>
      <c r="J94" s="21"/>
      <c r="K94" s="21"/>
      <c r="L94" s="21"/>
      <c r="M94" s="21"/>
      <c r="N94" s="21"/>
      <c r="O94" s="20"/>
    </row>
    <row r="95" spans="1:26" x14ac:dyDescent="0.3">
      <c r="A95" s="18"/>
      <c r="B95" s="21"/>
      <c r="C95" s="21"/>
      <c r="D95" s="21"/>
      <c r="E95" s="21"/>
      <c r="F95" s="21"/>
      <c r="G95" s="21"/>
      <c r="H95" s="21"/>
      <c r="I95" s="21"/>
      <c r="J95" s="21"/>
      <c r="K95" s="21"/>
      <c r="L95" s="21"/>
      <c r="M95" s="21"/>
      <c r="N95" s="21"/>
      <c r="O95" s="20"/>
    </row>
    <row r="96" spans="1:26" x14ac:dyDescent="0.3">
      <c r="A96" s="18"/>
      <c r="B96" s="513" t="s">
        <v>3416</v>
      </c>
      <c r="C96" s="514"/>
      <c r="D96" s="514"/>
      <c r="E96" s="515"/>
      <c r="F96" s="21"/>
      <c r="G96" s="21"/>
      <c r="H96" s="21"/>
      <c r="I96" s="21"/>
      <c r="J96" s="21"/>
      <c r="K96" s="21"/>
      <c r="L96" s="21"/>
      <c r="M96" s="21"/>
      <c r="N96" s="21"/>
      <c r="O96" s="20"/>
    </row>
    <row r="97" spans="1:15" x14ac:dyDescent="0.3">
      <c r="A97" s="18"/>
      <c r="B97" s="3" t="str">
        <f t="array" ref="B97:E104">_xll.U.VFILTER(_xll.U.NAMED_RANGE(),{"Name","CL","CONZ"})</f>
        <v>Name</v>
      </c>
      <c r="C97" s="3" t="str">
        <v>Refers To</v>
      </c>
      <c r="D97" s="3" t="str">
        <v>Scope</v>
      </c>
      <c r="E97" s="3" t="str">
        <v>Comment</v>
      </c>
      <c r="F97" s="21"/>
      <c r="G97" s="21"/>
      <c r="H97" s="21"/>
      <c r="I97" s="21"/>
      <c r="J97" s="21"/>
      <c r="K97" s="21"/>
      <c r="L97" s="21"/>
      <c r="M97" s="21"/>
      <c r="N97" s="21"/>
      <c r="O97" s="20"/>
    </row>
    <row r="98" spans="1:15" x14ac:dyDescent="0.3">
      <c r="A98" s="18"/>
      <c r="B98" s="30" t="str">
        <v>CLEAR</v>
      </c>
      <c r="C98" s="30" t="str">
        <v>=CLEAR!$E$5</v>
      </c>
      <c r="D98" s="30" t="str">
        <v>Workbook</v>
      </c>
      <c r="E98" s="30" t="str">
        <v/>
      </c>
      <c r="F98" s="21"/>
      <c r="G98" s="21"/>
      <c r="H98" s="21"/>
      <c r="I98" s="21"/>
      <c r="J98" s="21"/>
      <c r="K98" s="21"/>
      <c r="L98" s="21"/>
      <c r="M98" s="21"/>
      <c r="N98" s="21"/>
      <c r="O98" s="20"/>
    </row>
    <row r="99" spans="1:15" x14ac:dyDescent="0.3">
      <c r="A99" s="18"/>
      <c r="B99" s="30" t="str">
        <v>CLEAR_PARAMS</v>
      </c>
      <c r="C99" s="30" t="str">
        <v>=CLEAR!$Q$3:$Z$20</v>
      </c>
      <c r="D99" s="30" t="str">
        <v>Workbook</v>
      </c>
      <c r="E99" s="30" t="str">
        <v/>
      </c>
      <c r="F99" s="21"/>
      <c r="G99" s="21"/>
      <c r="H99" s="21"/>
      <c r="I99" s="21"/>
      <c r="J99" s="21"/>
      <c r="K99" s="21"/>
      <c r="L99" s="21"/>
      <c r="M99" s="21"/>
      <c r="N99" s="21"/>
      <c r="O99" s="20"/>
    </row>
    <row r="100" spans="1:15" x14ac:dyDescent="0.3">
      <c r="A100" s="18"/>
      <c r="B100" s="30" t="str">
        <v>Colleagues</v>
      </c>
      <c r="C100" s="30" t="str">
        <v>=RANGE_REF!$B$74:$C$75</v>
      </c>
      <c r="D100" s="30" t="str">
        <v>Workbook</v>
      </c>
      <c r="E100" s="30" t="str">
        <v/>
      </c>
      <c r="F100" s="21"/>
      <c r="G100" s="21"/>
      <c r="H100" s="21"/>
      <c r="I100" s="21"/>
      <c r="J100" s="21"/>
      <c r="K100" s="21"/>
      <c r="L100" s="21"/>
      <c r="M100" s="21"/>
      <c r="N100" s="21"/>
      <c r="O100" s="20"/>
    </row>
    <row r="101" spans="1:15" x14ac:dyDescent="0.3">
      <c r="A101" s="18"/>
      <c r="B101" s="30" t="str">
        <v>ColleaguesCount</v>
      </c>
      <c r="C101" s="30" t="str">
        <v>=COUNTA(Colleagues)</v>
      </c>
      <c r="D101" s="30" t="str">
        <v>Workbook</v>
      </c>
      <c r="E101" s="30" t="str">
        <v/>
      </c>
      <c r="F101" s="21"/>
      <c r="G101" s="21"/>
      <c r="H101" s="21"/>
      <c r="I101" s="21"/>
      <c r="J101" s="21"/>
      <c r="K101" s="21"/>
      <c r="L101" s="21"/>
      <c r="M101" s="21"/>
      <c r="N101" s="21"/>
      <c r="O101" s="20"/>
    </row>
    <row r="102" spans="1:15" x14ac:dyDescent="0.3">
      <c r="A102" s="18"/>
      <c r="B102" s="30" t="str">
        <v>COMPARE</v>
      </c>
      <c r="C102" s="30" t="str">
        <v>=COMPARE!$D$5</v>
      </c>
      <c r="D102" s="30" t="str">
        <v>Workbook</v>
      </c>
      <c r="E102" s="30" t="str">
        <v/>
      </c>
      <c r="F102" s="21"/>
      <c r="G102" s="21"/>
      <c r="H102" s="21"/>
      <c r="I102" s="21"/>
      <c r="J102" s="21"/>
      <c r="K102" s="21"/>
      <c r="L102" s="21"/>
      <c r="M102" s="21"/>
      <c r="N102" s="21"/>
      <c r="O102" s="20"/>
    </row>
    <row r="103" spans="1:15" x14ac:dyDescent="0.3">
      <c r="A103" s="18"/>
      <c r="B103" s="30" t="str">
        <v>COMPARE_PARAMS</v>
      </c>
      <c r="C103" s="30" t="str">
        <v>=COMPARE!$M$3:$V$26</v>
      </c>
      <c r="D103" s="30" t="str">
        <v>Workbook</v>
      </c>
      <c r="E103" s="30" t="str">
        <v/>
      </c>
      <c r="F103" s="21"/>
      <c r="G103" s="21"/>
      <c r="H103" s="21"/>
      <c r="I103" s="21"/>
      <c r="J103" s="21"/>
      <c r="K103" s="21"/>
      <c r="L103" s="21"/>
      <c r="M103" s="21"/>
      <c r="N103" s="21"/>
      <c r="O103" s="20"/>
    </row>
    <row r="104" spans="1:15" x14ac:dyDescent="0.3">
      <c r="A104" s="18"/>
      <c r="B104" s="30" t="str">
        <v>COMPILE</v>
      </c>
      <c r="C104" s="30" t="str">
        <v>=COMPILE!$E$5</v>
      </c>
      <c r="D104" s="30" t="str">
        <v>Workbook</v>
      </c>
      <c r="E104" s="30" t="str">
        <v/>
      </c>
      <c r="F104" s="21"/>
      <c r="G104" s="21"/>
      <c r="H104" s="21"/>
      <c r="I104" s="21"/>
      <c r="J104" s="21"/>
      <c r="K104" s="21"/>
      <c r="L104" s="21"/>
      <c r="M104" s="21"/>
      <c r="N104" s="21"/>
      <c r="O104" s="20"/>
    </row>
    <row r="105" spans="1:15" x14ac:dyDescent="0.3">
      <c r="A105" s="18"/>
      <c r="B105" s="21"/>
      <c r="C105" s="21"/>
      <c r="D105" s="21"/>
      <c r="E105" s="21"/>
      <c r="F105" s="21"/>
      <c r="G105" s="21"/>
      <c r="H105" s="21"/>
      <c r="I105" s="21"/>
      <c r="J105" s="21"/>
      <c r="K105" s="21"/>
      <c r="L105" s="21"/>
      <c r="M105" s="21"/>
      <c r="N105" s="21"/>
      <c r="O105" s="20"/>
    </row>
    <row r="106" spans="1:15" x14ac:dyDescent="0.3">
      <c r="A106" s="18"/>
      <c r="B106" s="21"/>
      <c r="C106" s="21"/>
      <c r="D106" s="21"/>
      <c r="E106" s="21"/>
      <c r="F106" s="21"/>
      <c r="G106" s="21"/>
      <c r="H106" s="21"/>
      <c r="I106" s="21"/>
      <c r="J106" s="21"/>
      <c r="K106" s="21"/>
      <c r="L106" s="21"/>
      <c r="M106" s="21"/>
      <c r="N106" s="21"/>
      <c r="O106" s="20"/>
    </row>
    <row r="107" spans="1:15" x14ac:dyDescent="0.3">
      <c r="A107" s="18"/>
      <c r="B107" s="21"/>
      <c r="C107" s="21"/>
      <c r="D107" s="21"/>
      <c r="E107" s="21"/>
      <c r="F107" s="21"/>
      <c r="G107" s="21"/>
      <c r="H107" s="21"/>
      <c r="I107" s="21"/>
      <c r="J107" s="21"/>
      <c r="K107" s="21"/>
      <c r="L107" s="21"/>
      <c r="M107" s="21"/>
      <c r="N107" s="21"/>
      <c r="O107" s="20"/>
    </row>
    <row r="108" spans="1:15" x14ac:dyDescent="0.3">
      <c r="A108" s="18"/>
      <c r="B108" s="21"/>
      <c r="C108" s="21"/>
      <c r="D108" s="21"/>
      <c r="E108" s="21"/>
      <c r="F108" s="21"/>
      <c r="G108" s="21"/>
      <c r="H108" s="21"/>
      <c r="I108" s="21"/>
      <c r="J108" s="21"/>
      <c r="K108" s="21"/>
      <c r="L108" s="21"/>
      <c r="M108" s="21"/>
      <c r="N108" s="21"/>
      <c r="O108" s="20"/>
    </row>
    <row r="109" spans="1:15" ht="15" thickBot="1" x14ac:dyDescent="0.35">
      <c r="A109" s="22"/>
      <c r="B109" s="23"/>
      <c r="C109" s="23"/>
      <c r="D109" s="23"/>
      <c r="E109" s="23"/>
      <c r="F109" s="23"/>
      <c r="G109" s="23"/>
      <c r="H109" s="23"/>
      <c r="I109" s="23"/>
      <c r="J109" s="23"/>
      <c r="K109" s="23"/>
      <c r="L109" s="23"/>
      <c r="M109" s="23"/>
      <c r="N109" s="23"/>
      <c r="O109" s="24"/>
    </row>
  </sheetData>
  <mergeCells count="89">
    <mergeCell ref="Q3:Z3"/>
    <mergeCell ref="Q4:R6"/>
    <mergeCell ref="S4:Z6"/>
    <mergeCell ref="Q7:R7"/>
    <mergeCell ref="S7:Y7"/>
    <mergeCell ref="B4:C4"/>
    <mergeCell ref="B20:C20"/>
    <mergeCell ref="Q35:R37"/>
    <mergeCell ref="S35:Y37"/>
    <mergeCell ref="Z35:Z37"/>
    <mergeCell ref="Q11:R13"/>
    <mergeCell ref="S11:Y13"/>
    <mergeCell ref="Z11:Z13"/>
    <mergeCell ref="Q32:R34"/>
    <mergeCell ref="S32:Y34"/>
    <mergeCell ref="Z32:Z34"/>
    <mergeCell ref="Q26:R28"/>
    <mergeCell ref="S26:Y28"/>
    <mergeCell ref="B25:C25"/>
    <mergeCell ref="S14:Y16"/>
    <mergeCell ref="Z14:Z16"/>
    <mergeCell ref="Q8:R10"/>
    <mergeCell ref="S8:Y10"/>
    <mergeCell ref="Z8:Z10"/>
    <mergeCell ref="Q71:Z71"/>
    <mergeCell ref="Q72:R74"/>
    <mergeCell ref="S72:Z74"/>
    <mergeCell ref="Z26:Z28"/>
    <mergeCell ref="Q29:R31"/>
    <mergeCell ref="S29:Y31"/>
    <mergeCell ref="Z29:Z31"/>
    <mergeCell ref="Q14:R16"/>
    <mergeCell ref="Q23:R25"/>
    <mergeCell ref="S23:Y25"/>
    <mergeCell ref="Z23:Z25"/>
    <mergeCell ref="Q17:R19"/>
    <mergeCell ref="S17:Y19"/>
    <mergeCell ref="A70:M70"/>
    <mergeCell ref="Q85:R87"/>
    <mergeCell ref="S85:Y87"/>
    <mergeCell ref="Z85:Z87"/>
    <mergeCell ref="B55:C55"/>
    <mergeCell ref="Q62:R64"/>
    <mergeCell ref="S62:Y64"/>
    <mergeCell ref="Z62:Z64"/>
    <mergeCell ref="Q76:R78"/>
    <mergeCell ref="S76:Y78"/>
    <mergeCell ref="Z76:Z78"/>
    <mergeCell ref="Q75:R75"/>
    <mergeCell ref="S75:Y75"/>
    <mergeCell ref="B73:C73"/>
    <mergeCell ref="Q53:R55"/>
    <mergeCell ref="S53:Y55"/>
    <mergeCell ref="B96:E96"/>
    <mergeCell ref="Q79:R81"/>
    <mergeCell ref="S79:Y81"/>
    <mergeCell ref="Z79:Z81"/>
    <mergeCell ref="Q82:R84"/>
    <mergeCell ref="S82:Y84"/>
    <mergeCell ref="Z82:Z84"/>
    <mergeCell ref="Z17:Z19"/>
    <mergeCell ref="Q20:R22"/>
    <mergeCell ref="S20:Y22"/>
    <mergeCell ref="Z20:Z22"/>
    <mergeCell ref="Q38:R40"/>
    <mergeCell ref="S38:Y40"/>
    <mergeCell ref="Z38:Z40"/>
    <mergeCell ref="Q41:R43"/>
    <mergeCell ref="S41:Y43"/>
    <mergeCell ref="Z41:Z43"/>
    <mergeCell ref="Q44:R46"/>
    <mergeCell ref="S44:Y46"/>
    <mergeCell ref="Z44:Z46"/>
    <mergeCell ref="Q47:R49"/>
    <mergeCell ref="S47:Y49"/>
    <mergeCell ref="Z47:Z49"/>
    <mergeCell ref="Q50:R52"/>
    <mergeCell ref="S50:Y52"/>
    <mergeCell ref="Z50:Z52"/>
    <mergeCell ref="Z53:Z55"/>
    <mergeCell ref="Q65:R67"/>
    <mergeCell ref="S65:Y67"/>
    <mergeCell ref="Z65:Z67"/>
    <mergeCell ref="Q56:R58"/>
    <mergeCell ref="S56:Y58"/>
    <mergeCell ref="Z56:Z58"/>
    <mergeCell ref="Q59:R61"/>
    <mergeCell ref="S59:Y61"/>
    <mergeCell ref="Z59:Z61"/>
  </mergeCells>
  <pageMargins left="0.7" right="0.7" top="0.75" bottom="0.75" header="0.3" footer="0.3"/>
  <pageSetup orientation="portrait" verticalDpi="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AE302"/>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33.77734375" bestFit="1" customWidth="1"/>
    <col min="5" max="6" width="10.21875" customWidth="1"/>
    <col min="8" max="8" width="9.77734375" customWidth="1"/>
    <col min="10" max="10" width="14" customWidth="1"/>
    <col min="11" max="11" width="13.77734375" bestFit="1" customWidth="1"/>
    <col min="12" max="12" width="12.5546875" bestFit="1" customWidth="1"/>
    <col min="13" max="13" width="12.21875" bestFit="1" customWidth="1"/>
    <col min="14" max="14" width="9.77734375" customWidth="1"/>
    <col min="17" max="19" width="17.5546875" customWidth="1"/>
    <col min="24" max="30" width="11" customWidth="1"/>
  </cols>
  <sheetData>
    <row r="1" spans="1:31" ht="34.5" customHeight="1" thickBot="1" x14ac:dyDescent="0.35">
      <c r="A1" s="292" t="s">
        <v>1580</v>
      </c>
      <c r="B1" s="473" t="e" vm="1">
        <v>#VALUE!</v>
      </c>
      <c r="C1" s="8" t="s">
        <v>1014</v>
      </c>
      <c r="D1" s="27"/>
      <c r="E1" s="16"/>
      <c r="F1" s="16"/>
      <c r="G1" s="16"/>
      <c r="H1" s="16"/>
      <c r="I1" s="16"/>
      <c r="J1" s="16"/>
      <c r="K1" s="16"/>
      <c r="L1" s="16"/>
      <c r="M1" s="16"/>
      <c r="N1" s="16"/>
      <c r="O1" s="16"/>
      <c r="P1" s="16"/>
      <c r="Q1" s="16"/>
      <c r="R1" s="16"/>
      <c r="S1" s="16"/>
      <c r="T1" s="19"/>
    </row>
    <row r="2" spans="1:31" ht="15" customHeight="1" x14ac:dyDescent="0.3">
      <c r="A2" s="18"/>
      <c r="B2" s="25"/>
      <c r="C2" s="25"/>
      <c r="D2" s="21"/>
      <c r="E2" s="21"/>
      <c r="F2" s="21"/>
      <c r="G2" s="21"/>
      <c r="H2" s="21"/>
      <c r="I2" s="21"/>
      <c r="J2" s="21"/>
      <c r="K2" s="21"/>
      <c r="L2" s="21"/>
      <c r="M2" s="21"/>
      <c r="N2" s="21"/>
      <c r="O2" s="21"/>
      <c r="P2" s="21"/>
      <c r="Q2" s="21"/>
      <c r="R2" s="21"/>
      <c r="S2" s="21"/>
      <c r="T2" s="20"/>
    </row>
    <row r="3" spans="1:31" ht="15" customHeight="1" x14ac:dyDescent="0.3">
      <c r="A3" s="18"/>
      <c r="B3" s="21"/>
      <c r="C3" s="21"/>
      <c r="D3" s="26"/>
      <c r="E3" s="21"/>
      <c r="F3" s="21"/>
      <c r="G3" s="21"/>
      <c r="H3" s="21"/>
      <c r="I3" s="21"/>
      <c r="J3" s="21"/>
      <c r="K3" s="21"/>
      <c r="L3" s="21"/>
      <c r="M3" s="21"/>
      <c r="N3" s="21"/>
      <c r="O3" s="21"/>
      <c r="P3" s="21"/>
      <c r="Q3" s="21"/>
      <c r="R3" s="21"/>
      <c r="S3" s="21"/>
      <c r="T3" s="20"/>
      <c r="V3" s="486" t="s">
        <v>3417</v>
      </c>
      <c r="W3" s="486"/>
      <c r="X3" s="486"/>
      <c r="Y3" s="486"/>
      <c r="Z3" s="486"/>
      <c r="AA3" s="486"/>
      <c r="AB3" s="486"/>
      <c r="AC3" s="486"/>
      <c r="AD3" s="486"/>
      <c r="AE3" s="486"/>
    </row>
    <row r="4" spans="1:31" ht="15" customHeight="1" x14ac:dyDescent="0.3">
      <c r="A4" s="18"/>
      <c r="B4" s="21"/>
      <c r="C4" s="21"/>
      <c r="D4" s="26"/>
      <c r="E4" s="21"/>
      <c r="F4" s="21"/>
      <c r="G4" s="21"/>
      <c r="H4" s="21"/>
      <c r="I4" s="21"/>
      <c r="J4" s="21"/>
      <c r="K4" s="21"/>
      <c r="L4" s="21"/>
      <c r="M4" s="21"/>
      <c r="N4" s="21"/>
      <c r="O4" s="21"/>
      <c r="P4" s="21"/>
      <c r="Q4" s="21"/>
      <c r="R4" s="21"/>
      <c r="S4" s="21"/>
      <c r="T4" s="20"/>
      <c r="V4" s="487" t="s">
        <v>333</v>
      </c>
      <c r="W4" s="487"/>
      <c r="X4" s="487" t="s">
        <v>1034</v>
      </c>
      <c r="Y4" s="487"/>
      <c r="Z4" s="487"/>
      <c r="AA4" s="487"/>
      <c r="AB4" s="487"/>
      <c r="AC4" s="487"/>
      <c r="AD4" s="487"/>
      <c r="AE4" s="487"/>
    </row>
    <row r="5" spans="1:31" ht="15" customHeight="1" x14ac:dyDescent="0.3">
      <c r="A5" s="18"/>
      <c r="B5" s="21"/>
      <c r="C5" s="155">
        <v>43101</v>
      </c>
      <c r="D5" s="155">
        <v>43160</v>
      </c>
      <c r="E5" s="155">
        <v>43252</v>
      </c>
      <c r="F5" s="21"/>
      <c r="G5" s="21"/>
      <c r="H5" s="21"/>
      <c r="I5" s="21"/>
      <c r="J5" s="21"/>
      <c r="K5" s="483" t="s">
        <v>3417</v>
      </c>
      <c r="L5" s="483"/>
      <c r="M5" s="483"/>
      <c r="N5" s="21"/>
      <c r="O5" s="21"/>
      <c r="P5" s="21"/>
      <c r="Q5" s="21"/>
      <c r="R5" s="21"/>
      <c r="S5" s="21"/>
      <c r="T5" s="20"/>
      <c r="V5" s="487"/>
      <c r="W5" s="487"/>
      <c r="X5" s="487"/>
      <c r="Y5" s="487"/>
      <c r="Z5" s="487"/>
      <c r="AA5" s="487"/>
      <c r="AB5" s="487"/>
      <c r="AC5" s="487"/>
      <c r="AD5" s="487"/>
      <c r="AE5" s="487"/>
    </row>
    <row r="6" spans="1:31" ht="15" customHeight="1" x14ac:dyDescent="0.3">
      <c r="A6" s="18"/>
      <c r="B6" s="59" t="s">
        <v>106</v>
      </c>
      <c r="C6" s="61">
        <v>0.27</v>
      </c>
      <c r="D6" s="61">
        <v>0.39</v>
      </c>
      <c r="E6" s="61">
        <v>0.43</v>
      </c>
      <c r="F6" s="21"/>
      <c r="G6" s="21"/>
      <c r="H6" s="21"/>
      <c r="I6" s="21"/>
      <c r="J6" s="21"/>
      <c r="K6" s="30" t="str">
        <f t="array" ref="K6:M14">_xll.U.GRID_TO_TABLE(B5:E8)</f>
        <v>AAPL</v>
      </c>
      <c r="L6" s="97">
        <v>43101</v>
      </c>
      <c r="M6" s="35">
        <v>0.27</v>
      </c>
      <c r="N6" s="21"/>
      <c r="O6" s="21"/>
      <c r="P6" s="21"/>
      <c r="Q6" s="21"/>
      <c r="R6" s="21"/>
      <c r="S6" s="21"/>
      <c r="T6" s="20"/>
      <c r="V6" s="487"/>
      <c r="W6" s="487"/>
      <c r="X6" s="487"/>
      <c r="Y6" s="487"/>
      <c r="Z6" s="487"/>
      <c r="AA6" s="487"/>
      <c r="AB6" s="487"/>
      <c r="AC6" s="487"/>
      <c r="AD6" s="487"/>
      <c r="AE6" s="487"/>
    </row>
    <row r="7" spans="1:31" x14ac:dyDescent="0.3">
      <c r="A7" s="18"/>
      <c r="B7" s="59" t="s">
        <v>256</v>
      </c>
      <c r="C7" s="61">
        <v>1.27</v>
      </c>
      <c r="D7" s="61">
        <v>1.39</v>
      </c>
      <c r="E7" s="61">
        <v>1.43</v>
      </c>
      <c r="F7" s="21"/>
      <c r="G7" s="21"/>
      <c r="H7" s="21"/>
      <c r="I7" s="21"/>
      <c r="J7" s="21"/>
      <c r="K7" s="30" t="str">
        <v>AAPL</v>
      </c>
      <c r="L7" s="97">
        <v>43160</v>
      </c>
      <c r="M7" s="35">
        <v>0.39</v>
      </c>
      <c r="N7" s="21"/>
      <c r="O7" s="21"/>
      <c r="P7" s="21"/>
      <c r="Q7" s="21"/>
      <c r="R7" s="21"/>
      <c r="S7" s="21"/>
      <c r="T7" s="20"/>
      <c r="V7" s="483" t="s">
        <v>323</v>
      </c>
      <c r="W7" s="483"/>
      <c r="X7" s="483" t="s">
        <v>1</v>
      </c>
      <c r="Y7" s="483"/>
      <c r="Z7" s="483"/>
      <c r="AA7" s="483"/>
      <c r="AB7" s="483"/>
      <c r="AC7" s="483"/>
      <c r="AD7" s="483"/>
      <c r="AE7" s="85" t="s">
        <v>324</v>
      </c>
    </row>
    <row r="8" spans="1:31" x14ac:dyDescent="0.3">
      <c r="A8" s="18"/>
      <c r="B8" s="59" t="s">
        <v>107</v>
      </c>
      <c r="C8" s="61">
        <v>0.77</v>
      </c>
      <c r="D8" s="61">
        <v>0.89</v>
      </c>
      <c r="E8" s="61">
        <v>0.93</v>
      </c>
      <c r="F8" s="21"/>
      <c r="G8" s="21"/>
      <c r="H8" s="21"/>
      <c r="I8" s="21"/>
      <c r="J8" s="21"/>
      <c r="K8" s="30" t="str">
        <v>AAPL</v>
      </c>
      <c r="L8" s="97">
        <v>43252</v>
      </c>
      <c r="M8" s="35">
        <v>0.43</v>
      </c>
      <c r="N8" s="21"/>
      <c r="O8" s="21"/>
      <c r="P8" s="21"/>
      <c r="Q8" s="21"/>
      <c r="R8" s="21"/>
      <c r="S8" s="21"/>
      <c r="T8" s="20"/>
      <c r="V8" s="487" t="s">
        <v>1030</v>
      </c>
      <c r="W8" s="487"/>
      <c r="X8" s="487" t="s">
        <v>1035</v>
      </c>
      <c r="Y8" s="487"/>
      <c r="Z8" s="487"/>
      <c r="AA8" s="487"/>
      <c r="AB8" s="487"/>
      <c r="AC8" s="487"/>
      <c r="AD8" s="487"/>
      <c r="AE8" s="509" t="s">
        <v>325</v>
      </c>
    </row>
    <row r="9" spans="1:31" x14ac:dyDescent="0.3">
      <c r="A9" s="18"/>
      <c r="B9" s="21"/>
      <c r="C9" s="21"/>
      <c r="D9" s="21"/>
      <c r="E9" s="21"/>
      <c r="F9" s="21"/>
      <c r="G9" s="21"/>
      <c r="H9" s="21"/>
      <c r="I9" s="21"/>
      <c r="J9" s="21"/>
      <c r="K9" s="30" t="str">
        <v>MSFT</v>
      </c>
      <c r="L9" s="97">
        <v>43101</v>
      </c>
      <c r="M9" s="35">
        <v>1.27</v>
      </c>
      <c r="N9" s="21"/>
      <c r="O9" s="21"/>
      <c r="P9" s="21"/>
      <c r="Q9" s="21"/>
      <c r="R9" s="21"/>
      <c r="S9" s="21"/>
      <c r="T9" s="20"/>
      <c r="V9" s="487"/>
      <c r="W9" s="487"/>
      <c r="X9" s="487"/>
      <c r="Y9" s="487"/>
      <c r="Z9" s="487"/>
      <c r="AA9" s="487"/>
      <c r="AB9" s="487"/>
      <c r="AC9" s="487"/>
      <c r="AD9" s="487"/>
      <c r="AE9" s="509"/>
    </row>
    <row r="10" spans="1:31" x14ac:dyDescent="0.3">
      <c r="A10" s="18"/>
      <c r="B10" s="21"/>
      <c r="C10" s="21"/>
      <c r="D10" s="21"/>
      <c r="E10" s="21"/>
      <c r="F10" s="21"/>
      <c r="G10" s="21"/>
      <c r="H10" s="21"/>
      <c r="I10" s="21"/>
      <c r="J10" s="21"/>
      <c r="K10" s="30" t="str">
        <v>MSFT</v>
      </c>
      <c r="L10" s="97">
        <v>43160</v>
      </c>
      <c r="M10" s="35">
        <v>1.39</v>
      </c>
      <c r="N10" s="21"/>
      <c r="O10" s="21"/>
      <c r="P10" s="21"/>
      <c r="Q10" s="21"/>
      <c r="R10" s="21"/>
      <c r="S10" s="21"/>
      <c r="T10" s="20"/>
      <c r="V10" s="487"/>
      <c r="W10" s="487"/>
      <c r="X10" s="487"/>
      <c r="Y10" s="487"/>
      <c r="Z10" s="487"/>
      <c r="AA10" s="487"/>
      <c r="AB10" s="487"/>
      <c r="AC10" s="487"/>
      <c r="AD10" s="487"/>
      <c r="AE10" s="509"/>
    </row>
    <row r="11" spans="1:31" x14ac:dyDescent="0.3">
      <c r="A11" s="18"/>
      <c r="B11" s="21"/>
      <c r="C11" s="21"/>
      <c r="D11" s="21"/>
      <c r="E11" s="21"/>
      <c r="F11" s="21"/>
      <c r="G11" s="21"/>
      <c r="H11" s="21"/>
      <c r="I11" s="21"/>
      <c r="J11" s="21"/>
      <c r="K11" s="30" t="str">
        <v>MSFT</v>
      </c>
      <c r="L11" s="97">
        <v>43252</v>
      </c>
      <c r="M11" s="35">
        <v>1.43</v>
      </c>
      <c r="N11" s="21"/>
      <c r="O11" s="21"/>
      <c r="P11" s="21"/>
      <c r="Q11" s="21"/>
      <c r="R11" s="21"/>
      <c r="S11" s="21"/>
      <c r="T11" s="20"/>
      <c r="V11" s="484" t="s">
        <v>1031</v>
      </c>
      <c r="W11" s="484"/>
      <c r="X11" s="484" t="s">
        <v>1036</v>
      </c>
      <c r="Y11" s="484"/>
      <c r="Z11" s="484"/>
      <c r="AA11" s="484"/>
      <c r="AB11" s="484"/>
      <c r="AC11" s="484"/>
      <c r="AD11" s="484"/>
      <c r="AE11" s="485" t="s">
        <v>326</v>
      </c>
    </row>
    <row r="12" spans="1:31" x14ac:dyDescent="0.3">
      <c r="A12" s="18"/>
      <c r="B12" s="21"/>
      <c r="C12" s="21"/>
      <c r="D12" s="21"/>
      <c r="E12" s="21"/>
      <c r="F12" s="21"/>
      <c r="G12" s="21"/>
      <c r="H12" s="21"/>
      <c r="I12" s="21"/>
      <c r="J12" s="21"/>
      <c r="K12" s="30" t="str">
        <v>IBM</v>
      </c>
      <c r="L12" s="97">
        <v>43101</v>
      </c>
      <c r="M12" s="35">
        <v>0.77</v>
      </c>
      <c r="N12" s="21"/>
      <c r="O12" s="21"/>
      <c r="P12" s="21"/>
      <c r="Q12" s="21"/>
      <c r="R12" s="21"/>
      <c r="S12" s="21"/>
      <c r="T12" s="20"/>
      <c r="V12" s="484"/>
      <c r="W12" s="484"/>
      <c r="X12" s="484"/>
      <c r="Y12" s="484"/>
      <c r="Z12" s="484"/>
      <c r="AA12" s="484"/>
      <c r="AB12" s="484"/>
      <c r="AC12" s="484"/>
      <c r="AD12" s="484"/>
      <c r="AE12" s="485"/>
    </row>
    <row r="13" spans="1:31" x14ac:dyDescent="0.3">
      <c r="A13" s="18"/>
      <c r="B13" s="21"/>
      <c r="C13" s="21"/>
      <c r="D13" s="21"/>
      <c r="E13" s="21"/>
      <c r="F13" s="21"/>
      <c r="G13" s="21"/>
      <c r="H13" s="21"/>
      <c r="I13" s="21"/>
      <c r="J13" s="21"/>
      <c r="K13" s="30" t="str">
        <v>IBM</v>
      </c>
      <c r="L13" s="97">
        <v>43160</v>
      </c>
      <c r="M13" s="35">
        <v>0.89</v>
      </c>
      <c r="N13" s="21"/>
      <c r="O13" s="21"/>
      <c r="P13" s="21"/>
      <c r="Q13" s="21"/>
      <c r="R13" s="21"/>
      <c r="S13" s="21"/>
      <c r="T13" s="20"/>
      <c r="V13" s="484"/>
      <c r="W13" s="484"/>
      <c r="X13" s="484"/>
      <c r="Y13" s="484"/>
      <c r="Z13" s="484"/>
      <c r="AA13" s="484"/>
      <c r="AB13" s="484"/>
      <c r="AC13" s="484"/>
      <c r="AD13" s="484"/>
      <c r="AE13" s="485"/>
    </row>
    <row r="14" spans="1:31" ht="15" customHeight="1" x14ac:dyDescent="0.3">
      <c r="A14" s="18"/>
      <c r="B14" s="21"/>
      <c r="C14" s="21"/>
      <c r="D14" s="21"/>
      <c r="E14" s="21"/>
      <c r="F14" s="21"/>
      <c r="G14" s="21"/>
      <c r="H14" s="21"/>
      <c r="I14" s="21"/>
      <c r="J14" s="21"/>
      <c r="K14" s="30" t="str">
        <v>IBM</v>
      </c>
      <c r="L14" s="97">
        <v>43252</v>
      </c>
      <c r="M14" s="35">
        <v>0.93</v>
      </c>
      <c r="N14" s="21"/>
      <c r="O14" s="21"/>
      <c r="P14" s="21"/>
      <c r="Q14" s="21"/>
      <c r="R14" s="21"/>
      <c r="S14" s="21"/>
      <c r="T14" s="20"/>
      <c r="V14" s="484" t="s">
        <v>1032</v>
      </c>
      <c r="W14" s="484"/>
      <c r="X14" s="484" t="s">
        <v>1037</v>
      </c>
      <c r="Y14" s="484"/>
      <c r="Z14" s="484"/>
      <c r="AA14" s="484"/>
      <c r="AB14" s="484"/>
      <c r="AC14" s="484"/>
      <c r="AD14" s="484"/>
      <c r="AE14" s="485" t="s">
        <v>326</v>
      </c>
    </row>
    <row r="15" spans="1:31" x14ac:dyDescent="0.3">
      <c r="A15" s="18"/>
      <c r="B15" s="21"/>
      <c r="C15" s="21"/>
      <c r="D15" s="21"/>
      <c r="E15" s="21"/>
      <c r="F15" s="21"/>
      <c r="G15" s="21"/>
      <c r="H15" s="21"/>
      <c r="I15" s="21"/>
      <c r="J15" s="21"/>
      <c r="K15" s="21"/>
      <c r="L15" s="21"/>
      <c r="M15" s="21"/>
      <c r="N15" s="21"/>
      <c r="O15" s="21"/>
      <c r="P15" s="21"/>
      <c r="Q15" s="21"/>
      <c r="R15" s="21"/>
      <c r="S15" s="21"/>
      <c r="T15" s="20"/>
      <c r="V15" s="484"/>
      <c r="W15" s="484"/>
      <c r="X15" s="484"/>
      <c r="Y15" s="484"/>
      <c r="Z15" s="484"/>
      <c r="AA15" s="484"/>
      <c r="AB15" s="484"/>
      <c r="AC15" s="484"/>
      <c r="AD15" s="484"/>
      <c r="AE15" s="485"/>
    </row>
    <row r="16" spans="1:31" x14ac:dyDescent="0.3">
      <c r="A16" s="18"/>
      <c r="B16" s="21"/>
      <c r="C16" s="21"/>
      <c r="D16" s="21"/>
      <c r="E16" s="21"/>
      <c r="F16" s="21"/>
      <c r="G16" s="21"/>
      <c r="H16" s="21"/>
      <c r="I16" s="21"/>
      <c r="J16" s="21"/>
      <c r="K16" s="21"/>
      <c r="L16" s="21"/>
      <c r="M16" s="21"/>
      <c r="N16" s="21"/>
      <c r="O16" s="21"/>
      <c r="P16" s="21"/>
      <c r="Q16" s="21"/>
      <c r="R16" s="21"/>
      <c r="S16" s="21"/>
      <c r="T16" s="20"/>
      <c r="V16" s="484"/>
      <c r="W16" s="484"/>
      <c r="X16" s="484"/>
      <c r="Y16" s="484"/>
      <c r="Z16" s="484"/>
      <c r="AA16" s="484"/>
      <c r="AB16" s="484"/>
      <c r="AC16" s="484"/>
      <c r="AD16" s="484"/>
      <c r="AE16" s="485"/>
    </row>
    <row r="17" spans="1:31" ht="15" customHeight="1" x14ac:dyDescent="0.3">
      <c r="A17" s="18"/>
      <c r="B17" s="21"/>
      <c r="C17" s="21"/>
      <c r="D17" s="21"/>
      <c r="E17" s="21"/>
      <c r="F17" s="21"/>
      <c r="G17" s="21"/>
      <c r="H17" s="21"/>
      <c r="I17" s="21"/>
      <c r="J17" s="21"/>
      <c r="K17" s="21"/>
      <c r="L17" s="21"/>
      <c r="M17" s="21"/>
      <c r="N17" s="21"/>
      <c r="O17" s="21"/>
      <c r="P17" s="21"/>
      <c r="Q17" s="21"/>
      <c r="R17" s="21"/>
      <c r="S17" s="21"/>
      <c r="T17" s="20"/>
      <c r="V17" s="484" t="s">
        <v>1033</v>
      </c>
      <c r="W17" s="484"/>
      <c r="X17" s="484" t="s">
        <v>1051</v>
      </c>
      <c r="Y17" s="484"/>
      <c r="Z17" s="484"/>
      <c r="AA17" s="484"/>
      <c r="AB17" s="484"/>
      <c r="AC17" s="484"/>
      <c r="AD17" s="484"/>
      <c r="AE17" s="485" t="s">
        <v>326</v>
      </c>
    </row>
    <row r="18" spans="1:31" x14ac:dyDescent="0.3">
      <c r="A18" s="18"/>
      <c r="B18" s="21"/>
      <c r="C18" s="21"/>
      <c r="D18" s="21"/>
      <c r="E18" s="21"/>
      <c r="F18" s="21"/>
      <c r="G18" s="21"/>
      <c r="H18" s="21"/>
      <c r="I18" s="21"/>
      <c r="J18" s="21"/>
      <c r="K18" s="483" t="s">
        <v>3417</v>
      </c>
      <c r="L18" s="483"/>
      <c r="M18" s="483"/>
      <c r="N18" s="21"/>
      <c r="O18" s="21"/>
      <c r="P18" s="21"/>
      <c r="Q18" s="21"/>
      <c r="R18" s="21"/>
      <c r="S18" s="21"/>
      <c r="T18" s="20"/>
      <c r="V18" s="484"/>
      <c r="W18" s="484"/>
      <c r="X18" s="484"/>
      <c r="Y18" s="484"/>
      <c r="Z18" s="484"/>
      <c r="AA18" s="484"/>
      <c r="AB18" s="484"/>
      <c r="AC18" s="484"/>
      <c r="AD18" s="484"/>
      <c r="AE18" s="485"/>
    </row>
    <row r="19" spans="1:31" x14ac:dyDescent="0.3">
      <c r="A19" s="18"/>
      <c r="B19" s="21"/>
      <c r="C19" s="21"/>
      <c r="D19" s="21"/>
      <c r="E19" s="21"/>
      <c r="F19" s="21"/>
      <c r="G19" s="21"/>
      <c r="H19" s="21"/>
      <c r="I19" s="21"/>
      <c r="J19" s="21"/>
      <c r="K19" s="3" t="str">
        <f t="array" ref="K19:M28">_xll.U.GRID_TO_TABLE(B5:E8,"Symbol","Date","Estimate")</f>
        <v>Symbol</v>
      </c>
      <c r="L19" s="195" t="str">
        <v>Date</v>
      </c>
      <c r="M19" s="3" t="str">
        <v>Estimate</v>
      </c>
      <c r="N19" s="21"/>
      <c r="O19" s="21"/>
      <c r="P19" s="21"/>
      <c r="Q19" s="21"/>
      <c r="R19" s="21"/>
      <c r="S19" s="21"/>
      <c r="T19" s="20"/>
      <c r="V19" s="484"/>
      <c r="W19" s="484"/>
      <c r="X19" s="484"/>
      <c r="Y19" s="484"/>
      <c r="Z19" s="484"/>
      <c r="AA19" s="484"/>
      <c r="AB19" s="484"/>
      <c r="AC19" s="484"/>
      <c r="AD19" s="484"/>
      <c r="AE19" s="485"/>
    </row>
    <row r="20" spans="1:31" ht="15" customHeight="1" x14ac:dyDescent="0.3">
      <c r="A20" s="18"/>
      <c r="B20" s="21"/>
      <c r="C20" s="21"/>
      <c r="D20" s="21"/>
      <c r="E20" s="21"/>
      <c r="F20" s="21"/>
      <c r="G20" s="21"/>
      <c r="H20" s="21"/>
      <c r="I20" s="21"/>
      <c r="J20" s="21"/>
      <c r="K20" s="30" t="str">
        <v>AAPL</v>
      </c>
      <c r="L20" s="97">
        <v>43101</v>
      </c>
      <c r="M20" s="35">
        <v>0.27</v>
      </c>
      <c r="N20" s="21"/>
      <c r="O20" s="21"/>
      <c r="P20" s="21"/>
      <c r="Q20" s="21"/>
      <c r="R20" s="21"/>
      <c r="S20" s="21"/>
      <c r="T20" s="20"/>
      <c r="V20" s="126" t="s">
        <v>328</v>
      </c>
    </row>
    <row r="21" spans="1:31" x14ac:dyDescent="0.3">
      <c r="A21" s="18"/>
      <c r="B21" s="21"/>
      <c r="C21" s="21"/>
      <c r="D21" s="21"/>
      <c r="E21" s="21"/>
      <c r="F21" s="21"/>
      <c r="G21" s="21"/>
      <c r="H21" s="21"/>
      <c r="I21" s="21"/>
      <c r="J21" s="21"/>
      <c r="K21" s="30" t="str">
        <v>AAPL</v>
      </c>
      <c r="L21" s="97">
        <v>43160</v>
      </c>
      <c r="M21" s="35">
        <v>0.39</v>
      </c>
      <c r="N21" s="21"/>
      <c r="O21" s="21"/>
      <c r="P21" s="21"/>
      <c r="Q21" s="21"/>
      <c r="R21" s="21"/>
      <c r="S21" s="21"/>
      <c r="T21" s="20"/>
    </row>
    <row r="22" spans="1:31" x14ac:dyDescent="0.3">
      <c r="A22" s="18"/>
      <c r="B22" s="21"/>
      <c r="C22" s="21"/>
      <c r="D22" s="21"/>
      <c r="E22" s="21"/>
      <c r="F22" s="21"/>
      <c r="G22" s="21"/>
      <c r="H22" s="21"/>
      <c r="I22" s="21"/>
      <c r="J22" s="21"/>
      <c r="K22" s="30" t="str">
        <v>AAPL</v>
      </c>
      <c r="L22" s="97">
        <v>43252</v>
      </c>
      <c r="M22" s="35">
        <v>0.43</v>
      </c>
      <c r="N22" s="21"/>
      <c r="O22" s="21"/>
      <c r="P22" s="21"/>
      <c r="Q22" s="21"/>
      <c r="R22" s="21"/>
      <c r="S22" s="21"/>
      <c r="T22" s="20"/>
    </row>
    <row r="23" spans="1:31" x14ac:dyDescent="0.3">
      <c r="A23" s="18"/>
      <c r="B23" s="21"/>
      <c r="C23" s="21"/>
      <c r="D23" s="21"/>
      <c r="E23" s="21"/>
      <c r="F23" s="21"/>
      <c r="G23" s="21"/>
      <c r="H23" s="21"/>
      <c r="I23" s="21"/>
      <c r="J23" s="21"/>
      <c r="K23" s="30" t="str">
        <v>MSFT</v>
      </c>
      <c r="L23" s="97">
        <v>43101</v>
      </c>
      <c r="M23" s="35">
        <v>1.27</v>
      </c>
      <c r="N23" s="21"/>
      <c r="O23" s="21"/>
      <c r="P23" s="21"/>
      <c r="Q23" s="21"/>
      <c r="R23" s="21"/>
      <c r="S23" s="21"/>
      <c r="T23" s="20"/>
      <c r="V23" s="486" t="s">
        <v>3418</v>
      </c>
      <c r="W23" s="486"/>
      <c r="X23" s="486"/>
      <c r="Y23" s="486"/>
      <c r="Z23" s="486"/>
      <c r="AA23" s="486"/>
      <c r="AB23" s="486"/>
      <c r="AC23" s="486"/>
      <c r="AD23" s="486"/>
      <c r="AE23" s="486"/>
    </row>
    <row r="24" spans="1:31" x14ac:dyDescent="0.3">
      <c r="A24" s="18"/>
      <c r="B24" s="21"/>
      <c r="C24" s="21"/>
      <c r="D24" s="21"/>
      <c r="E24" s="21"/>
      <c r="F24" s="21"/>
      <c r="G24" s="21"/>
      <c r="H24" s="21"/>
      <c r="I24" s="21"/>
      <c r="J24" s="21"/>
      <c r="K24" s="30" t="str">
        <v>MSFT</v>
      </c>
      <c r="L24" s="97">
        <v>43160</v>
      </c>
      <c r="M24" s="35">
        <v>1.39</v>
      </c>
      <c r="N24" s="21"/>
      <c r="O24" s="21"/>
      <c r="P24" s="21"/>
      <c r="Q24" s="21"/>
      <c r="R24" s="21"/>
      <c r="S24" s="21"/>
      <c r="T24" s="20"/>
      <c r="V24" s="487" t="s">
        <v>333</v>
      </c>
      <c r="W24" s="487"/>
      <c r="X24" s="487" t="s">
        <v>1038</v>
      </c>
      <c r="Y24" s="487"/>
      <c r="Z24" s="487"/>
      <c r="AA24" s="487"/>
      <c r="AB24" s="487"/>
      <c r="AC24" s="487"/>
      <c r="AD24" s="487"/>
      <c r="AE24" s="487"/>
    </row>
    <row r="25" spans="1:31" x14ac:dyDescent="0.3">
      <c r="A25" s="18"/>
      <c r="B25" s="21"/>
      <c r="C25" s="21"/>
      <c r="D25" s="21"/>
      <c r="E25" s="21"/>
      <c r="F25" s="21"/>
      <c r="G25" s="21"/>
      <c r="H25" s="21"/>
      <c r="I25" s="21"/>
      <c r="J25" s="21"/>
      <c r="K25" s="30" t="str">
        <v>MSFT</v>
      </c>
      <c r="L25" s="97">
        <v>43252</v>
      </c>
      <c r="M25" s="35">
        <v>1.43</v>
      </c>
      <c r="N25" s="21"/>
      <c r="O25" s="21"/>
      <c r="P25" s="21"/>
      <c r="Q25" s="21"/>
      <c r="R25" s="21"/>
      <c r="S25" s="21"/>
      <c r="T25" s="20"/>
      <c r="V25" s="487"/>
      <c r="W25" s="487"/>
      <c r="X25" s="487"/>
      <c r="Y25" s="487"/>
      <c r="Z25" s="487"/>
      <c r="AA25" s="487"/>
      <c r="AB25" s="487"/>
      <c r="AC25" s="487"/>
      <c r="AD25" s="487"/>
      <c r="AE25" s="487"/>
    </row>
    <row r="26" spans="1:31" x14ac:dyDescent="0.3">
      <c r="A26" s="18"/>
      <c r="B26" s="21"/>
      <c r="C26" s="21"/>
      <c r="D26" s="21"/>
      <c r="E26" s="21"/>
      <c r="F26" s="21"/>
      <c r="G26" s="21"/>
      <c r="H26" s="21"/>
      <c r="I26" s="21"/>
      <c r="J26" s="21"/>
      <c r="K26" s="30" t="str">
        <v>IBM</v>
      </c>
      <c r="L26" s="97">
        <v>43101</v>
      </c>
      <c r="M26" s="35">
        <v>0.77</v>
      </c>
      <c r="N26" s="21"/>
      <c r="O26" s="21"/>
      <c r="P26" s="21"/>
      <c r="Q26" s="21"/>
      <c r="R26" s="21"/>
      <c r="S26" s="21"/>
      <c r="T26" s="20"/>
      <c r="V26" s="487"/>
      <c r="W26" s="487"/>
      <c r="X26" s="487"/>
      <c r="Y26" s="487"/>
      <c r="Z26" s="487"/>
      <c r="AA26" s="487"/>
      <c r="AB26" s="487"/>
      <c r="AC26" s="487"/>
      <c r="AD26" s="487"/>
      <c r="AE26" s="487"/>
    </row>
    <row r="27" spans="1:31" x14ac:dyDescent="0.3">
      <c r="A27" s="18"/>
      <c r="B27" s="21"/>
      <c r="C27" s="21"/>
      <c r="D27" s="21"/>
      <c r="E27" s="21"/>
      <c r="F27" s="21"/>
      <c r="G27" s="21"/>
      <c r="H27" s="21"/>
      <c r="I27" s="21"/>
      <c r="J27" s="21"/>
      <c r="K27" s="30" t="str">
        <v>IBM</v>
      </c>
      <c r="L27" s="97">
        <v>43160</v>
      </c>
      <c r="M27" s="35">
        <v>0.89</v>
      </c>
      <c r="N27" s="21"/>
      <c r="O27" s="21"/>
      <c r="P27" s="21"/>
      <c r="Q27" s="21"/>
      <c r="R27" s="21"/>
      <c r="S27" s="21"/>
      <c r="T27" s="20"/>
      <c r="V27" s="483" t="s">
        <v>323</v>
      </c>
      <c r="W27" s="483"/>
      <c r="X27" s="483" t="s">
        <v>1</v>
      </c>
      <c r="Y27" s="483"/>
      <c r="Z27" s="483"/>
      <c r="AA27" s="483"/>
      <c r="AB27" s="483"/>
      <c r="AC27" s="483"/>
      <c r="AD27" s="483"/>
      <c r="AE27" s="85" t="s">
        <v>324</v>
      </c>
    </row>
    <row r="28" spans="1:31" x14ac:dyDescent="0.3">
      <c r="A28" s="18"/>
      <c r="B28" s="21"/>
      <c r="C28" s="21"/>
      <c r="D28" s="21"/>
      <c r="E28" s="21"/>
      <c r="F28" s="21"/>
      <c r="G28" s="21"/>
      <c r="H28" s="21"/>
      <c r="I28" s="21"/>
      <c r="J28" s="21"/>
      <c r="K28" s="30" t="str">
        <v>IBM</v>
      </c>
      <c r="L28" s="97">
        <v>43252</v>
      </c>
      <c r="M28" s="35">
        <v>0.93</v>
      </c>
      <c r="N28" s="21"/>
      <c r="O28" s="21"/>
      <c r="P28" s="21"/>
      <c r="Q28" s="21"/>
      <c r="R28" s="21"/>
      <c r="S28" s="21"/>
      <c r="T28" s="20"/>
      <c r="V28" s="487" t="s">
        <v>1039</v>
      </c>
      <c r="W28" s="487"/>
      <c r="X28" s="487" t="s">
        <v>1040</v>
      </c>
      <c r="Y28" s="487"/>
      <c r="Z28" s="487"/>
      <c r="AA28" s="487"/>
      <c r="AB28" s="487"/>
      <c r="AC28" s="487"/>
      <c r="AD28" s="487"/>
      <c r="AE28" s="509" t="s">
        <v>325</v>
      </c>
    </row>
    <row r="29" spans="1:31" x14ac:dyDescent="0.3">
      <c r="A29" s="18"/>
      <c r="B29" s="21"/>
      <c r="C29" s="21"/>
      <c r="D29" s="21"/>
      <c r="E29" s="21"/>
      <c r="F29" s="21"/>
      <c r="G29" s="21"/>
      <c r="H29" s="21"/>
      <c r="I29" s="21"/>
      <c r="J29" s="21"/>
      <c r="K29" s="21"/>
      <c r="L29" s="21"/>
      <c r="M29" s="21"/>
      <c r="N29" s="21"/>
      <c r="O29" s="21"/>
      <c r="P29" s="21"/>
      <c r="Q29" s="21"/>
      <c r="R29" s="21"/>
      <c r="S29" s="21"/>
      <c r="T29" s="20"/>
      <c r="V29" s="487"/>
      <c r="W29" s="487"/>
      <c r="X29" s="487"/>
      <c r="Y29" s="487"/>
      <c r="Z29" s="487"/>
      <c r="AA29" s="487"/>
      <c r="AB29" s="487"/>
      <c r="AC29" s="487"/>
      <c r="AD29" s="487"/>
      <c r="AE29" s="509"/>
    </row>
    <row r="30" spans="1:31" x14ac:dyDescent="0.3">
      <c r="A30" s="18"/>
      <c r="B30" s="21"/>
      <c r="C30" s="21"/>
      <c r="D30" s="21"/>
      <c r="E30" s="21"/>
      <c r="F30" s="21"/>
      <c r="G30" s="21"/>
      <c r="H30" s="21"/>
      <c r="I30" s="21"/>
      <c r="J30" s="21"/>
      <c r="K30" s="21"/>
      <c r="L30" s="21"/>
      <c r="M30" s="21"/>
      <c r="N30" s="21"/>
      <c r="O30" s="21"/>
      <c r="P30" s="21"/>
      <c r="Q30" s="21"/>
      <c r="R30" s="21"/>
      <c r="S30" s="21"/>
      <c r="T30" s="20"/>
      <c r="V30" s="487"/>
      <c r="W30" s="487"/>
      <c r="X30" s="487"/>
      <c r="Y30" s="487"/>
      <c r="Z30" s="487"/>
      <c r="AA30" s="487"/>
      <c r="AB30" s="487"/>
      <c r="AC30" s="487"/>
      <c r="AD30" s="487"/>
      <c r="AE30" s="509"/>
    </row>
    <row r="31" spans="1:31" ht="15" customHeight="1" x14ac:dyDescent="0.3">
      <c r="A31" s="18"/>
      <c r="B31" s="3" t="s">
        <v>2</v>
      </c>
      <c r="C31" s="155">
        <v>43101</v>
      </c>
      <c r="D31" s="155">
        <v>43160</v>
      </c>
      <c r="E31" s="155">
        <v>43252</v>
      </c>
      <c r="F31" s="21"/>
      <c r="G31" s="21"/>
      <c r="H31" s="21"/>
      <c r="I31" s="21"/>
      <c r="J31" s="21"/>
      <c r="K31" s="483" t="s">
        <v>3417</v>
      </c>
      <c r="L31" s="483"/>
      <c r="M31" s="483"/>
      <c r="N31" s="21"/>
      <c r="O31" s="21"/>
      <c r="P31" s="21"/>
      <c r="Q31" s="21"/>
      <c r="R31" s="21"/>
      <c r="S31" s="21"/>
      <c r="T31" s="20"/>
      <c r="V31" s="487" t="s">
        <v>1041</v>
      </c>
      <c r="W31" s="487"/>
      <c r="X31" s="487" t="s">
        <v>1053</v>
      </c>
      <c r="Y31" s="487"/>
      <c r="Z31" s="487"/>
      <c r="AA31" s="487"/>
      <c r="AB31" s="487"/>
      <c r="AC31" s="487"/>
      <c r="AD31" s="487"/>
      <c r="AE31" s="509" t="s">
        <v>325</v>
      </c>
    </row>
    <row r="32" spans="1:31" x14ac:dyDescent="0.3">
      <c r="A32" s="18"/>
      <c r="B32" s="59" t="s">
        <v>106</v>
      </c>
      <c r="C32" s="61">
        <v>0.27</v>
      </c>
      <c r="D32" s="61">
        <v>0.39</v>
      </c>
      <c r="E32" s="61">
        <v>0.43</v>
      </c>
      <c r="F32" s="21"/>
      <c r="G32" s="21"/>
      <c r="H32" s="21"/>
      <c r="I32" s="21"/>
      <c r="J32" s="21"/>
      <c r="K32" s="3" t="str">
        <f t="array" ref="K32:M41">_xll.U.GRID_TO_TABLE(B31:E34,TRUE)</f>
        <v>Symbol</v>
      </c>
      <c r="L32" s="195" t="str">
        <v>COL_LABEL</v>
      </c>
      <c r="M32" s="3" t="str">
        <v>GRID_VALUE</v>
      </c>
      <c r="N32" s="21"/>
      <c r="O32" s="21"/>
      <c r="P32" s="21"/>
      <c r="Q32" s="21"/>
      <c r="R32" s="21"/>
      <c r="S32" s="21"/>
      <c r="T32" s="20"/>
      <c r="V32" s="487"/>
      <c r="W32" s="487"/>
      <c r="X32" s="487"/>
      <c r="Y32" s="487"/>
      <c r="Z32" s="487"/>
      <c r="AA32" s="487"/>
      <c r="AB32" s="487"/>
      <c r="AC32" s="487"/>
      <c r="AD32" s="487"/>
      <c r="AE32" s="509"/>
    </row>
    <row r="33" spans="1:31" x14ac:dyDescent="0.3">
      <c r="A33" s="18"/>
      <c r="B33" s="59" t="s">
        <v>256</v>
      </c>
      <c r="C33" s="61">
        <v>1.27</v>
      </c>
      <c r="D33" s="61">
        <v>1.39</v>
      </c>
      <c r="E33" s="61">
        <v>1.43</v>
      </c>
      <c r="F33" s="21"/>
      <c r="G33" s="21"/>
      <c r="H33" s="21"/>
      <c r="I33" s="21"/>
      <c r="J33" s="21"/>
      <c r="K33" s="30" t="str">
        <v>AAPL</v>
      </c>
      <c r="L33" s="97">
        <v>43101</v>
      </c>
      <c r="M33" s="35">
        <v>0.27</v>
      </c>
      <c r="N33" s="21"/>
      <c r="O33" s="21"/>
      <c r="P33" s="21"/>
      <c r="Q33" s="21"/>
      <c r="R33" s="21"/>
      <c r="S33" s="21"/>
      <c r="T33" s="20"/>
      <c r="V33" s="487"/>
      <c r="W33" s="487"/>
      <c r="X33" s="487"/>
      <c r="Y33" s="487"/>
      <c r="Z33" s="487"/>
      <c r="AA33" s="487"/>
      <c r="AB33" s="487"/>
      <c r="AC33" s="487"/>
      <c r="AD33" s="487"/>
      <c r="AE33" s="509"/>
    </row>
    <row r="34" spans="1:31" ht="15" customHeight="1" x14ac:dyDescent="0.3">
      <c r="A34" s="18"/>
      <c r="B34" s="59" t="s">
        <v>107</v>
      </c>
      <c r="C34" s="61">
        <v>0.77</v>
      </c>
      <c r="D34" s="61">
        <v>0.89</v>
      </c>
      <c r="E34" s="61">
        <v>0.93</v>
      </c>
      <c r="F34" s="21"/>
      <c r="G34" s="21"/>
      <c r="H34" s="21"/>
      <c r="I34" s="21"/>
      <c r="J34" s="21"/>
      <c r="K34" s="30" t="str">
        <v>AAPL</v>
      </c>
      <c r="L34" s="97">
        <v>43160</v>
      </c>
      <c r="M34" s="35">
        <v>0.39</v>
      </c>
      <c r="N34" s="21"/>
      <c r="O34" s="21"/>
      <c r="P34" s="21"/>
      <c r="Q34" s="21"/>
      <c r="R34" s="21"/>
      <c r="S34" s="21"/>
      <c r="T34" s="20"/>
      <c r="V34" s="487" t="s">
        <v>1042</v>
      </c>
      <c r="W34" s="487"/>
      <c r="X34" s="487" t="s">
        <v>1046</v>
      </c>
      <c r="Y34" s="487"/>
      <c r="Z34" s="487"/>
      <c r="AA34" s="487"/>
      <c r="AB34" s="487"/>
      <c r="AC34" s="487"/>
      <c r="AD34" s="487"/>
      <c r="AE34" s="509" t="s">
        <v>325</v>
      </c>
    </row>
    <row r="35" spans="1:31" x14ac:dyDescent="0.3">
      <c r="A35" s="18"/>
      <c r="B35" s="21"/>
      <c r="C35" s="21"/>
      <c r="D35" s="21"/>
      <c r="E35" s="21"/>
      <c r="F35" s="21"/>
      <c r="G35" s="21"/>
      <c r="H35" s="21"/>
      <c r="I35" s="21"/>
      <c r="J35" s="21"/>
      <c r="K35" s="30" t="str">
        <v>AAPL</v>
      </c>
      <c r="L35" s="97">
        <v>43252</v>
      </c>
      <c r="M35" s="35">
        <v>0.43</v>
      </c>
      <c r="N35" s="21"/>
      <c r="O35" s="21"/>
      <c r="P35" s="21"/>
      <c r="Q35" s="21"/>
      <c r="R35" s="21"/>
      <c r="S35" s="21"/>
      <c r="T35" s="20"/>
      <c r="V35" s="487"/>
      <c r="W35" s="487"/>
      <c r="X35" s="487"/>
      <c r="Y35" s="487"/>
      <c r="Z35" s="487"/>
      <c r="AA35" s="487"/>
      <c r="AB35" s="487"/>
      <c r="AC35" s="487"/>
      <c r="AD35" s="487"/>
      <c r="AE35" s="509"/>
    </row>
    <row r="36" spans="1:31" x14ac:dyDescent="0.3">
      <c r="A36" s="18"/>
      <c r="B36" s="21"/>
      <c r="C36" s="21"/>
      <c r="D36" s="21"/>
      <c r="E36" s="21"/>
      <c r="F36" s="21"/>
      <c r="G36" s="21"/>
      <c r="H36" s="21"/>
      <c r="I36" s="21"/>
      <c r="J36" s="21"/>
      <c r="K36" s="30" t="str">
        <v>MSFT</v>
      </c>
      <c r="L36" s="97">
        <v>43101</v>
      </c>
      <c r="M36" s="35">
        <v>1.27</v>
      </c>
      <c r="N36" s="21"/>
      <c r="O36" s="21"/>
      <c r="P36" s="21"/>
      <c r="Q36" s="21"/>
      <c r="R36" s="21"/>
      <c r="S36" s="21"/>
      <c r="T36" s="20"/>
      <c r="V36" s="487"/>
      <c r="W36" s="487"/>
      <c r="X36" s="487"/>
      <c r="Y36" s="487"/>
      <c r="Z36" s="487"/>
      <c r="AA36" s="487"/>
      <c r="AB36" s="487"/>
      <c r="AC36" s="487"/>
      <c r="AD36" s="487"/>
      <c r="AE36" s="509"/>
    </row>
    <row r="37" spans="1:31" x14ac:dyDescent="0.3">
      <c r="A37" s="18"/>
      <c r="B37" s="21"/>
      <c r="C37" s="21"/>
      <c r="D37" s="21"/>
      <c r="E37" s="21"/>
      <c r="F37" s="21"/>
      <c r="G37" s="21"/>
      <c r="H37" s="21"/>
      <c r="I37" s="21"/>
      <c r="J37" s="21"/>
      <c r="K37" s="30" t="str">
        <v>MSFT</v>
      </c>
      <c r="L37" s="97">
        <v>43160</v>
      </c>
      <c r="M37" s="35">
        <v>1.39</v>
      </c>
      <c r="N37" s="21"/>
      <c r="O37" s="21"/>
      <c r="P37" s="21"/>
      <c r="Q37" s="21"/>
      <c r="R37" s="21"/>
      <c r="S37" s="21"/>
      <c r="T37" s="20"/>
      <c r="V37" s="487" t="s">
        <v>1043</v>
      </c>
      <c r="W37" s="487"/>
      <c r="X37" s="487" t="s">
        <v>1047</v>
      </c>
      <c r="Y37" s="487"/>
      <c r="Z37" s="487"/>
      <c r="AA37" s="487"/>
      <c r="AB37" s="487"/>
      <c r="AC37" s="487"/>
      <c r="AD37" s="487"/>
      <c r="AE37" s="509" t="s">
        <v>325</v>
      </c>
    </row>
    <row r="38" spans="1:31" x14ac:dyDescent="0.3">
      <c r="A38" s="18"/>
      <c r="B38" s="21"/>
      <c r="C38" s="21"/>
      <c r="D38" s="21"/>
      <c r="E38" s="21"/>
      <c r="F38" s="21"/>
      <c r="G38" s="21"/>
      <c r="H38" s="21"/>
      <c r="I38" s="21"/>
      <c r="J38" s="21"/>
      <c r="K38" s="30" t="str">
        <v>MSFT</v>
      </c>
      <c r="L38" s="97">
        <v>43252</v>
      </c>
      <c r="M38" s="35">
        <v>1.43</v>
      </c>
      <c r="N38" s="21"/>
      <c r="O38" s="21"/>
      <c r="P38" s="21"/>
      <c r="Q38" s="21"/>
      <c r="R38" s="21"/>
      <c r="S38" s="21"/>
      <c r="T38" s="20"/>
      <c r="V38" s="487"/>
      <c r="W38" s="487"/>
      <c r="X38" s="487"/>
      <c r="Y38" s="487"/>
      <c r="Z38" s="487"/>
      <c r="AA38" s="487"/>
      <c r="AB38" s="487"/>
      <c r="AC38" s="487"/>
      <c r="AD38" s="487"/>
      <c r="AE38" s="509"/>
    </row>
    <row r="39" spans="1:31" x14ac:dyDescent="0.3">
      <c r="A39" s="18"/>
      <c r="B39" s="21"/>
      <c r="C39" s="21"/>
      <c r="D39" s="21"/>
      <c r="E39" s="21"/>
      <c r="F39" s="21"/>
      <c r="G39" s="21"/>
      <c r="H39" s="21"/>
      <c r="I39" s="21"/>
      <c r="J39" s="21"/>
      <c r="K39" s="30" t="str">
        <v>IBM</v>
      </c>
      <c r="L39" s="97">
        <v>43101</v>
      </c>
      <c r="M39" s="35">
        <v>0.77</v>
      </c>
      <c r="N39" s="21"/>
      <c r="O39" s="21"/>
      <c r="P39" s="21"/>
      <c r="Q39" s="21"/>
      <c r="R39" s="21"/>
      <c r="S39" s="21"/>
      <c r="T39" s="20"/>
      <c r="V39" s="487"/>
      <c r="W39" s="487"/>
      <c r="X39" s="487"/>
      <c r="Y39" s="487"/>
      <c r="Z39" s="487"/>
      <c r="AA39" s="487"/>
      <c r="AB39" s="487"/>
      <c r="AC39" s="487"/>
      <c r="AD39" s="487"/>
      <c r="AE39" s="509"/>
    </row>
    <row r="40" spans="1:31" x14ac:dyDescent="0.3">
      <c r="A40" s="18"/>
      <c r="B40" s="21"/>
      <c r="C40" s="21"/>
      <c r="D40" s="21"/>
      <c r="E40" s="21"/>
      <c r="F40" s="21"/>
      <c r="G40" s="21"/>
      <c r="H40" s="21"/>
      <c r="I40" s="21"/>
      <c r="J40" s="21"/>
      <c r="K40" s="30" t="str">
        <v>IBM</v>
      </c>
      <c r="L40" s="97">
        <v>43160</v>
      </c>
      <c r="M40" s="35">
        <v>0.89</v>
      </c>
      <c r="N40" s="21"/>
      <c r="O40" s="21"/>
      <c r="P40" s="21"/>
      <c r="Q40" s="21"/>
      <c r="R40" s="21"/>
      <c r="S40" s="21"/>
      <c r="T40" s="20"/>
      <c r="V40" s="484" t="s">
        <v>1044</v>
      </c>
      <c r="W40" s="484"/>
      <c r="X40" s="484" t="s">
        <v>3786</v>
      </c>
      <c r="Y40" s="484"/>
      <c r="Z40" s="484"/>
      <c r="AA40" s="484"/>
      <c r="AB40" s="484"/>
      <c r="AC40" s="484"/>
      <c r="AD40" s="484"/>
      <c r="AE40" s="485" t="s">
        <v>326</v>
      </c>
    </row>
    <row r="41" spans="1:31" x14ac:dyDescent="0.3">
      <c r="A41" s="18"/>
      <c r="B41" s="21"/>
      <c r="C41" s="21"/>
      <c r="D41" s="21"/>
      <c r="E41" s="21"/>
      <c r="F41" s="21"/>
      <c r="G41" s="21"/>
      <c r="H41" s="21"/>
      <c r="I41" s="21"/>
      <c r="J41" s="21"/>
      <c r="K41" s="30" t="str">
        <v>IBM</v>
      </c>
      <c r="L41" s="97">
        <v>43252</v>
      </c>
      <c r="M41" s="35">
        <v>0.93</v>
      </c>
      <c r="N41" s="21"/>
      <c r="O41" s="21"/>
      <c r="P41" s="21"/>
      <c r="Q41" s="21"/>
      <c r="R41" s="21"/>
      <c r="S41" s="21"/>
      <c r="T41" s="20"/>
      <c r="V41" s="484"/>
      <c r="W41" s="484"/>
      <c r="X41" s="484"/>
      <c r="Y41" s="484"/>
      <c r="Z41" s="484"/>
      <c r="AA41" s="484"/>
      <c r="AB41" s="484"/>
      <c r="AC41" s="484"/>
      <c r="AD41" s="484"/>
      <c r="AE41" s="485"/>
    </row>
    <row r="42" spans="1:31" x14ac:dyDescent="0.3">
      <c r="A42" s="18"/>
      <c r="B42" s="21"/>
      <c r="C42" s="21"/>
      <c r="D42" s="21"/>
      <c r="E42" s="21"/>
      <c r="F42" s="21"/>
      <c r="G42" s="21"/>
      <c r="H42" s="21"/>
      <c r="I42" s="21"/>
      <c r="J42" s="21"/>
      <c r="K42" s="21"/>
      <c r="L42" s="21"/>
      <c r="M42" s="21"/>
      <c r="N42" s="21"/>
      <c r="O42" s="21"/>
      <c r="P42" s="21"/>
      <c r="Q42" s="21"/>
      <c r="R42" s="21"/>
      <c r="S42" s="21"/>
      <c r="T42" s="20"/>
      <c r="V42" s="484"/>
      <c r="W42" s="484"/>
      <c r="X42" s="484"/>
      <c r="Y42" s="484"/>
      <c r="Z42" s="484"/>
      <c r="AA42" s="484"/>
      <c r="AB42" s="484"/>
      <c r="AC42" s="484"/>
      <c r="AD42" s="484"/>
      <c r="AE42" s="485"/>
    </row>
    <row r="43" spans="1:31" ht="15" customHeight="1" x14ac:dyDescent="0.3">
      <c r="A43" s="18"/>
      <c r="B43" s="21"/>
      <c r="C43" s="21"/>
      <c r="D43" s="21"/>
      <c r="E43" s="21"/>
      <c r="F43" s="21"/>
      <c r="G43" s="21"/>
      <c r="H43" s="21"/>
      <c r="I43" s="21"/>
      <c r="J43" s="21"/>
      <c r="K43" s="21"/>
      <c r="L43" s="21"/>
      <c r="M43" s="21"/>
      <c r="N43" s="21"/>
      <c r="O43" s="21"/>
      <c r="P43" s="21"/>
      <c r="Q43" s="21"/>
      <c r="R43" s="21"/>
      <c r="S43" s="21"/>
      <c r="T43" s="20"/>
      <c r="V43" s="484" t="s">
        <v>1045</v>
      </c>
      <c r="W43" s="484"/>
      <c r="X43" s="484" t="s">
        <v>3787</v>
      </c>
      <c r="Y43" s="484"/>
      <c r="Z43" s="484"/>
      <c r="AA43" s="484"/>
      <c r="AB43" s="484"/>
      <c r="AC43" s="484"/>
      <c r="AD43" s="484"/>
      <c r="AE43" s="485" t="s">
        <v>326</v>
      </c>
    </row>
    <row r="44" spans="1:31" x14ac:dyDescent="0.3">
      <c r="A44" s="18"/>
      <c r="B44" s="21"/>
      <c r="C44" s="21"/>
      <c r="D44" s="21"/>
      <c r="E44" s="21"/>
      <c r="F44" s="21"/>
      <c r="G44" s="21"/>
      <c r="H44" s="21"/>
      <c r="I44" s="21"/>
      <c r="J44" s="21"/>
      <c r="K44" s="21"/>
      <c r="L44" s="21"/>
      <c r="M44" s="21"/>
      <c r="N44" s="21"/>
      <c r="O44" s="21"/>
      <c r="P44" s="21"/>
      <c r="Q44" s="21"/>
      <c r="R44" s="21"/>
      <c r="S44" s="21"/>
      <c r="T44" s="20"/>
      <c r="V44" s="484"/>
      <c r="W44" s="484"/>
      <c r="X44" s="484"/>
      <c r="Y44" s="484"/>
      <c r="Z44" s="484"/>
      <c r="AA44" s="484"/>
      <c r="AB44" s="484"/>
      <c r="AC44" s="484"/>
      <c r="AD44" s="484"/>
      <c r="AE44" s="485"/>
    </row>
    <row r="45" spans="1:31" x14ac:dyDescent="0.3">
      <c r="A45" s="18"/>
      <c r="B45" s="21"/>
      <c r="C45" s="21"/>
      <c r="D45" s="492" t="s">
        <v>1015</v>
      </c>
      <c r="E45" s="529"/>
      <c r="F45" s="529"/>
      <c r="G45" s="529"/>
      <c r="H45" s="529"/>
      <c r="I45" s="493"/>
      <c r="J45" s="21"/>
      <c r="K45" s="30" t="str">
        <f t="array" ref="K45:O56">_xll.U.GRID_TO_TABLE(B46:I53)</f>
        <v>AAPL</v>
      </c>
      <c r="L45" s="30" t="str">
        <v>early</v>
      </c>
      <c r="M45" s="30" t="str">
        <v>GS</v>
      </c>
      <c r="N45" s="97">
        <v>43101</v>
      </c>
      <c r="O45" s="35">
        <v>0.25</v>
      </c>
      <c r="P45" s="21"/>
      <c r="Q45" s="21"/>
      <c r="R45" s="21"/>
      <c r="S45" s="21"/>
      <c r="T45" s="20"/>
      <c r="V45" s="484"/>
      <c r="W45" s="484"/>
      <c r="X45" s="484"/>
      <c r="Y45" s="484"/>
      <c r="Z45" s="484"/>
      <c r="AA45" s="484"/>
      <c r="AB45" s="484"/>
      <c r="AC45" s="484"/>
      <c r="AD45" s="484"/>
      <c r="AE45" s="485"/>
    </row>
    <row r="46" spans="1:31" x14ac:dyDescent="0.3">
      <c r="A46" s="18"/>
      <c r="B46" s="21"/>
      <c r="C46" s="21"/>
      <c r="D46" s="155" t="s">
        <v>778</v>
      </c>
      <c r="E46" s="155" t="s">
        <v>778</v>
      </c>
      <c r="F46" s="155" t="s">
        <v>778</v>
      </c>
      <c r="G46" s="155" t="s">
        <v>779</v>
      </c>
      <c r="H46" s="155" t="s">
        <v>779</v>
      </c>
      <c r="I46" s="155" t="s">
        <v>779</v>
      </c>
      <c r="J46" s="21"/>
      <c r="K46" s="30" t="str">
        <v>AAPL</v>
      </c>
      <c r="L46" s="30" t="str">
        <v>early</v>
      </c>
      <c r="M46" s="30" t="str">
        <v>GS</v>
      </c>
      <c r="N46" s="97">
        <v>43160</v>
      </c>
      <c r="O46" s="35">
        <v>0.37</v>
      </c>
      <c r="P46" s="21"/>
      <c r="Q46" s="21"/>
      <c r="R46" s="21"/>
      <c r="S46" s="21"/>
      <c r="T46" s="20"/>
      <c r="V46" s="126" t="s">
        <v>328</v>
      </c>
    </row>
    <row r="47" spans="1:31" x14ac:dyDescent="0.3">
      <c r="A47" s="18"/>
      <c r="B47" s="21"/>
      <c r="C47" s="21"/>
      <c r="D47" s="155">
        <v>43101</v>
      </c>
      <c r="E47" s="155">
        <v>43160</v>
      </c>
      <c r="F47" s="155">
        <v>43252</v>
      </c>
      <c r="G47" s="155">
        <v>43101</v>
      </c>
      <c r="H47" s="155">
        <v>43160</v>
      </c>
      <c r="I47" s="155">
        <v>43252</v>
      </c>
      <c r="J47" s="21"/>
      <c r="K47" s="30" t="str">
        <v>AAPL</v>
      </c>
      <c r="L47" s="30" t="str">
        <v>early</v>
      </c>
      <c r="M47" s="30" t="str">
        <v>GS</v>
      </c>
      <c r="N47" s="97">
        <v>43252</v>
      </c>
      <c r="O47" s="35">
        <v>0.41</v>
      </c>
      <c r="P47" s="21"/>
      <c r="Q47" s="21"/>
      <c r="R47" s="21"/>
      <c r="S47" s="21"/>
      <c r="T47" s="20"/>
    </row>
    <row r="48" spans="1:31" x14ac:dyDescent="0.3">
      <c r="A48" s="18"/>
      <c r="B48" s="59" t="s">
        <v>106</v>
      </c>
      <c r="C48" s="59" t="s">
        <v>780</v>
      </c>
      <c r="D48" s="61">
        <v>0.25</v>
      </c>
      <c r="E48" s="61">
        <v>0.37</v>
      </c>
      <c r="F48" s="61">
        <v>0.41</v>
      </c>
      <c r="G48" s="61">
        <v>0.24</v>
      </c>
      <c r="H48" s="61">
        <v>0.36</v>
      </c>
      <c r="I48" s="61">
        <v>0.42</v>
      </c>
      <c r="J48" s="21"/>
      <c r="K48" s="30" t="str">
        <v>AAPL</v>
      </c>
      <c r="L48" s="30" t="str">
        <v>early</v>
      </c>
      <c r="M48" s="30" t="str">
        <v>HSBC</v>
      </c>
      <c r="N48" s="97">
        <v>43101</v>
      </c>
      <c r="O48" s="35">
        <v>0.24</v>
      </c>
      <c r="P48" s="21"/>
      <c r="Q48" s="21"/>
      <c r="R48" s="21"/>
      <c r="S48" s="21"/>
      <c r="T48" s="20"/>
    </row>
    <row r="49" spans="1:31" x14ac:dyDescent="0.3">
      <c r="A49" s="18"/>
      <c r="B49" s="59" t="s">
        <v>106</v>
      </c>
      <c r="C49" s="59" t="s">
        <v>781</v>
      </c>
      <c r="D49" s="61">
        <v>0.27</v>
      </c>
      <c r="E49" s="61">
        <v>0.39</v>
      </c>
      <c r="F49" s="61">
        <v>0.43</v>
      </c>
      <c r="G49" s="61">
        <v>0.23</v>
      </c>
      <c r="H49" s="61">
        <v>0.28000000000000003</v>
      </c>
      <c r="I49" s="61">
        <v>0.4</v>
      </c>
      <c r="J49" s="21"/>
      <c r="K49" s="30" t="str">
        <v>AAPL</v>
      </c>
      <c r="L49" s="30" t="str">
        <v>early</v>
      </c>
      <c r="M49" s="30" t="str">
        <v>HSBC</v>
      </c>
      <c r="N49" s="97">
        <v>43160</v>
      </c>
      <c r="O49" s="35">
        <v>0.36</v>
      </c>
      <c r="P49" s="21"/>
      <c r="Q49" s="21"/>
      <c r="R49" s="21"/>
      <c r="S49" s="21"/>
      <c r="T49" s="20"/>
      <c r="V49" s="486" t="s">
        <v>3419</v>
      </c>
      <c r="W49" s="486"/>
      <c r="X49" s="486"/>
      <c r="Y49" s="486"/>
      <c r="Z49" s="486"/>
      <c r="AA49" s="486"/>
      <c r="AB49" s="486"/>
      <c r="AC49" s="486"/>
      <c r="AD49" s="486"/>
      <c r="AE49" s="486"/>
    </row>
    <row r="50" spans="1:31" x14ac:dyDescent="0.3">
      <c r="A50" s="18"/>
      <c r="B50" s="59" t="s">
        <v>256</v>
      </c>
      <c r="C50" s="59" t="s">
        <v>780</v>
      </c>
      <c r="D50" s="61">
        <v>1.25</v>
      </c>
      <c r="E50" s="61">
        <v>1.37</v>
      </c>
      <c r="F50" s="61">
        <v>1.41</v>
      </c>
      <c r="G50" s="61">
        <v>1.24</v>
      </c>
      <c r="H50" s="61">
        <v>1.36</v>
      </c>
      <c r="I50" s="61">
        <v>1.42</v>
      </c>
      <c r="J50" s="21"/>
      <c r="K50" s="30" t="str">
        <v>AAPL</v>
      </c>
      <c r="L50" s="30" t="str">
        <v>early</v>
      </c>
      <c r="M50" s="30" t="str">
        <v>HSBC</v>
      </c>
      <c r="N50" s="97">
        <v>43252</v>
      </c>
      <c r="O50" s="35">
        <v>0.42</v>
      </c>
      <c r="P50" s="21"/>
      <c r="Q50" s="21"/>
      <c r="R50" s="21"/>
      <c r="S50" s="21"/>
      <c r="T50" s="20"/>
      <c r="V50" s="487" t="s">
        <v>333</v>
      </c>
      <c r="W50" s="487"/>
      <c r="X50" s="487" t="s">
        <v>1069</v>
      </c>
      <c r="Y50" s="487"/>
      <c r="Z50" s="487"/>
      <c r="AA50" s="487"/>
      <c r="AB50" s="487"/>
      <c r="AC50" s="487"/>
      <c r="AD50" s="487"/>
      <c r="AE50" s="487"/>
    </row>
    <row r="51" spans="1:31" x14ac:dyDescent="0.3">
      <c r="A51" s="18"/>
      <c r="B51" s="59" t="s">
        <v>256</v>
      </c>
      <c r="C51" s="59" t="s">
        <v>781</v>
      </c>
      <c r="D51" s="61">
        <v>1.27</v>
      </c>
      <c r="E51" s="61">
        <v>1.39</v>
      </c>
      <c r="F51" s="61">
        <v>1.43</v>
      </c>
      <c r="G51" s="61">
        <v>1.23</v>
      </c>
      <c r="H51" s="61">
        <v>1.28</v>
      </c>
      <c r="I51" s="61">
        <v>1.4</v>
      </c>
      <c r="J51" s="21"/>
      <c r="K51" s="30" t="str">
        <v>AAPL</v>
      </c>
      <c r="L51" s="30" t="str">
        <v>final</v>
      </c>
      <c r="M51" s="30" t="str">
        <v>GS</v>
      </c>
      <c r="N51" s="97">
        <v>43101</v>
      </c>
      <c r="O51" s="35">
        <v>0.27</v>
      </c>
      <c r="P51" s="21"/>
      <c r="Q51" s="21"/>
      <c r="R51" s="21"/>
      <c r="S51" s="21"/>
      <c r="T51" s="20"/>
      <c r="V51" s="487"/>
      <c r="W51" s="487"/>
      <c r="X51" s="487"/>
      <c r="Y51" s="487"/>
      <c r="Z51" s="487"/>
      <c r="AA51" s="487"/>
      <c r="AB51" s="487"/>
      <c r="AC51" s="487"/>
      <c r="AD51" s="487"/>
      <c r="AE51" s="487"/>
    </row>
    <row r="52" spans="1:31" x14ac:dyDescent="0.3">
      <c r="A52" s="18"/>
      <c r="B52" s="59" t="s">
        <v>107</v>
      </c>
      <c r="C52" s="59" t="s">
        <v>780</v>
      </c>
      <c r="D52" s="61">
        <v>0.75</v>
      </c>
      <c r="E52" s="61">
        <v>0.87</v>
      </c>
      <c r="F52" s="61">
        <v>0.91</v>
      </c>
      <c r="G52" s="61">
        <v>0.74</v>
      </c>
      <c r="H52" s="61">
        <v>0.86</v>
      </c>
      <c r="I52" s="61">
        <v>0.92</v>
      </c>
      <c r="J52" s="21"/>
      <c r="K52" s="30" t="str">
        <v>AAPL</v>
      </c>
      <c r="L52" s="30" t="str">
        <v>final</v>
      </c>
      <c r="M52" s="30" t="str">
        <v>GS</v>
      </c>
      <c r="N52" s="97">
        <v>43160</v>
      </c>
      <c r="O52" s="35">
        <v>0.39</v>
      </c>
      <c r="P52" s="21"/>
      <c r="Q52" s="21"/>
      <c r="R52" s="21"/>
      <c r="S52" s="21"/>
      <c r="T52" s="20"/>
      <c r="V52" s="487"/>
      <c r="W52" s="487"/>
      <c r="X52" s="487"/>
      <c r="Y52" s="487"/>
      <c r="Z52" s="487"/>
      <c r="AA52" s="487"/>
      <c r="AB52" s="487"/>
      <c r="AC52" s="487"/>
      <c r="AD52" s="487"/>
      <c r="AE52" s="487"/>
    </row>
    <row r="53" spans="1:31" x14ac:dyDescent="0.3">
      <c r="A53" s="18"/>
      <c r="B53" s="59" t="s">
        <v>107</v>
      </c>
      <c r="C53" s="59" t="s">
        <v>781</v>
      </c>
      <c r="D53" s="61">
        <v>0.77</v>
      </c>
      <c r="E53" s="61">
        <v>0.89</v>
      </c>
      <c r="F53" s="61">
        <v>0.93</v>
      </c>
      <c r="G53" s="61">
        <v>0.73</v>
      </c>
      <c r="H53" s="61">
        <v>0.78</v>
      </c>
      <c r="I53" s="61">
        <v>0.9</v>
      </c>
      <c r="J53" s="21"/>
      <c r="K53" s="30" t="str">
        <v>AAPL</v>
      </c>
      <c r="L53" s="30" t="str">
        <v>final</v>
      </c>
      <c r="M53" s="30" t="str">
        <v>GS</v>
      </c>
      <c r="N53" s="97">
        <v>43252</v>
      </c>
      <c r="O53" s="35">
        <v>0.43</v>
      </c>
      <c r="P53" s="21"/>
      <c r="Q53" s="21"/>
      <c r="R53" s="21"/>
      <c r="S53" s="21"/>
      <c r="T53" s="20"/>
      <c r="V53" s="483" t="s">
        <v>323</v>
      </c>
      <c r="W53" s="483"/>
      <c r="X53" s="483" t="s">
        <v>1</v>
      </c>
      <c r="Y53" s="483"/>
      <c r="Z53" s="483"/>
      <c r="AA53" s="483"/>
      <c r="AB53" s="483"/>
      <c r="AC53" s="483"/>
      <c r="AD53" s="483"/>
      <c r="AE53" s="85" t="s">
        <v>324</v>
      </c>
    </row>
    <row r="54" spans="1:31" x14ac:dyDescent="0.3">
      <c r="A54" s="18"/>
      <c r="B54" s="21"/>
      <c r="C54" s="21"/>
      <c r="D54" s="21"/>
      <c r="E54" s="21"/>
      <c r="F54" s="21"/>
      <c r="G54" s="21"/>
      <c r="H54" s="21"/>
      <c r="I54" s="21"/>
      <c r="J54" s="21"/>
      <c r="K54" s="30" t="str">
        <v>AAPL</v>
      </c>
      <c r="L54" s="30" t="str">
        <v>final</v>
      </c>
      <c r="M54" s="30" t="str">
        <v>HSBC</v>
      </c>
      <c r="N54" s="97">
        <v>43101</v>
      </c>
      <c r="O54" s="35">
        <v>0.23</v>
      </c>
      <c r="P54" s="21"/>
      <c r="Q54" s="21"/>
      <c r="R54" s="21"/>
      <c r="S54" s="21"/>
      <c r="T54" s="20"/>
      <c r="V54" s="487" t="s">
        <v>443</v>
      </c>
      <c r="W54" s="487"/>
      <c r="X54" s="487" t="s">
        <v>1070</v>
      </c>
      <c r="Y54" s="487"/>
      <c r="Z54" s="487"/>
      <c r="AA54" s="487"/>
      <c r="AB54" s="487"/>
      <c r="AC54" s="487"/>
      <c r="AD54" s="487"/>
      <c r="AE54" s="509" t="s">
        <v>325</v>
      </c>
    </row>
    <row r="55" spans="1:31" x14ac:dyDescent="0.3">
      <c r="A55" s="18"/>
      <c r="B55" s="21"/>
      <c r="C55" s="21"/>
      <c r="D55" s="21"/>
      <c r="E55" s="21"/>
      <c r="F55" s="21"/>
      <c r="G55" s="21"/>
      <c r="H55" s="21"/>
      <c r="I55" s="21"/>
      <c r="J55" s="21"/>
      <c r="K55" s="30" t="str">
        <v>AAPL</v>
      </c>
      <c r="L55" s="30" t="str">
        <v>final</v>
      </c>
      <c r="M55" s="30" t="str">
        <v>HSBC</v>
      </c>
      <c r="N55" s="97">
        <v>43160</v>
      </c>
      <c r="O55" s="35">
        <v>0.28000000000000003</v>
      </c>
      <c r="P55" s="21"/>
      <c r="Q55" s="21"/>
      <c r="R55" s="21"/>
      <c r="S55" s="21"/>
      <c r="T55" s="20"/>
      <c r="V55" s="487"/>
      <c r="W55" s="487"/>
      <c r="X55" s="487"/>
      <c r="Y55" s="487"/>
      <c r="Z55" s="487"/>
      <c r="AA55" s="487"/>
      <c r="AB55" s="487"/>
      <c r="AC55" s="487"/>
      <c r="AD55" s="487"/>
      <c r="AE55" s="509"/>
    </row>
    <row r="56" spans="1:31" x14ac:dyDescent="0.3">
      <c r="A56" s="18"/>
      <c r="B56" s="21"/>
      <c r="C56" s="21"/>
      <c r="D56" s="21"/>
      <c r="E56" s="21"/>
      <c r="F56" s="21"/>
      <c r="G56" s="21"/>
      <c r="H56" s="21"/>
      <c r="I56" s="21"/>
      <c r="J56" s="21"/>
      <c r="K56" s="30" t="str">
        <v>AAPL</v>
      </c>
      <c r="L56" s="30" t="str">
        <v>final</v>
      </c>
      <c r="M56" s="30" t="str">
        <v>HSBC</v>
      </c>
      <c r="N56" s="97">
        <v>43252</v>
      </c>
      <c r="O56" s="35">
        <v>0.4</v>
      </c>
      <c r="P56" s="21"/>
      <c r="Q56" s="21"/>
      <c r="R56" s="21"/>
      <c r="S56" s="21"/>
      <c r="T56" s="20"/>
      <c r="V56" s="487"/>
      <c r="W56" s="487"/>
      <c r="X56" s="487"/>
      <c r="Y56" s="487"/>
      <c r="Z56" s="487"/>
      <c r="AA56" s="487"/>
      <c r="AB56" s="487"/>
      <c r="AC56" s="487"/>
      <c r="AD56" s="487"/>
      <c r="AE56" s="509"/>
    </row>
    <row r="57" spans="1:31" x14ac:dyDescent="0.3">
      <c r="A57" s="18"/>
      <c r="B57" s="21"/>
      <c r="C57" s="21"/>
      <c r="D57" s="21"/>
      <c r="E57" s="21"/>
      <c r="F57" s="21"/>
      <c r="G57" s="21"/>
      <c r="H57" s="21"/>
      <c r="I57" s="21"/>
      <c r="J57" s="21"/>
      <c r="K57" s="21"/>
      <c r="L57" s="21"/>
      <c r="M57" s="21"/>
      <c r="N57" s="21"/>
      <c r="O57" s="21"/>
      <c r="P57" s="21"/>
      <c r="Q57" s="21"/>
      <c r="R57" s="21"/>
      <c r="S57" s="21"/>
      <c r="T57" s="20"/>
      <c r="V57" s="126" t="s">
        <v>328</v>
      </c>
    </row>
    <row r="58" spans="1:31" x14ac:dyDescent="0.3">
      <c r="A58" s="18"/>
      <c r="B58" s="21"/>
      <c r="C58" s="21"/>
      <c r="D58" s="21"/>
      <c r="E58" s="21"/>
      <c r="F58" s="21"/>
      <c r="G58" s="21"/>
      <c r="H58" s="21"/>
      <c r="I58" s="21"/>
      <c r="J58" s="21"/>
      <c r="K58" s="21"/>
      <c r="L58" s="21"/>
      <c r="M58" s="21"/>
      <c r="N58" s="21"/>
      <c r="O58" s="21"/>
      <c r="P58" s="21"/>
      <c r="Q58" s="21"/>
      <c r="R58" s="21"/>
      <c r="S58" s="21"/>
      <c r="T58" s="20"/>
    </row>
    <row r="59" spans="1:31" x14ac:dyDescent="0.3">
      <c r="A59" s="18"/>
      <c r="B59" s="21"/>
      <c r="C59" s="21"/>
      <c r="D59" s="21"/>
      <c r="E59" s="21"/>
      <c r="F59" s="21"/>
      <c r="G59" s="21"/>
      <c r="H59" s="21"/>
      <c r="I59" s="21"/>
      <c r="J59" s="21"/>
      <c r="K59" s="21"/>
      <c r="L59" s="21"/>
      <c r="M59" s="21"/>
      <c r="N59" s="21"/>
      <c r="O59" s="21"/>
      <c r="Q59" s="21"/>
      <c r="R59" s="21"/>
      <c r="S59" s="21"/>
      <c r="T59" s="20"/>
    </row>
    <row r="60" spans="1:31" x14ac:dyDescent="0.3">
      <c r="A60" s="18"/>
      <c r="B60" s="198" t="s">
        <v>1015</v>
      </c>
      <c r="C60" s="199"/>
      <c r="D60" s="196" t="s">
        <v>778</v>
      </c>
      <c r="E60" s="155" t="s">
        <v>778</v>
      </c>
      <c r="F60" s="155" t="s">
        <v>778</v>
      </c>
      <c r="G60" s="155" t="s">
        <v>779</v>
      </c>
      <c r="H60" s="155" t="s">
        <v>779</v>
      </c>
      <c r="I60" s="155" t="s">
        <v>779</v>
      </c>
      <c r="J60" s="21"/>
      <c r="K60" s="30" t="str">
        <f t="array" ref="K60:O71">_xll.U.GRID_TO_TABLE(B60:I67,2,2)</f>
        <v>AAPL</v>
      </c>
      <c r="L60" s="30" t="str">
        <v>early</v>
      </c>
      <c r="M60" s="30" t="str">
        <v>GS</v>
      </c>
      <c r="N60" s="97">
        <v>43101</v>
      </c>
      <c r="O60" s="35">
        <v>0.25</v>
      </c>
      <c r="P60" s="21"/>
      <c r="Q60" s="21"/>
      <c r="R60" s="21"/>
      <c r="S60" s="21"/>
      <c r="T60" s="20"/>
    </row>
    <row r="61" spans="1:31" x14ac:dyDescent="0.3">
      <c r="A61" s="18"/>
      <c r="B61" s="200"/>
      <c r="C61" s="201"/>
      <c r="D61" s="196">
        <v>43101</v>
      </c>
      <c r="E61" s="155">
        <v>43160</v>
      </c>
      <c r="F61" s="155">
        <v>43252</v>
      </c>
      <c r="G61" s="155">
        <v>43101</v>
      </c>
      <c r="H61" s="155">
        <v>43160</v>
      </c>
      <c r="I61" s="155">
        <v>43252</v>
      </c>
      <c r="J61" s="21"/>
      <c r="K61" s="30" t="str">
        <v>AAPL</v>
      </c>
      <c r="L61" s="30" t="str">
        <v>early</v>
      </c>
      <c r="M61" s="30" t="str">
        <v>GS</v>
      </c>
      <c r="N61" s="97">
        <v>43160</v>
      </c>
      <c r="O61" s="35">
        <v>0.37</v>
      </c>
      <c r="P61" s="21"/>
      <c r="Q61" s="21"/>
      <c r="R61" s="21"/>
      <c r="S61" s="21"/>
      <c r="T61" s="20"/>
    </row>
    <row r="62" spans="1:31" x14ac:dyDescent="0.3">
      <c r="A62" s="18"/>
      <c r="B62" s="197" t="s">
        <v>106</v>
      </c>
      <c r="C62" s="197" t="s">
        <v>780</v>
      </c>
      <c r="D62" s="61">
        <v>0.25</v>
      </c>
      <c r="E62" s="61">
        <v>0.37</v>
      </c>
      <c r="F62" s="61">
        <v>0.41</v>
      </c>
      <c r="G62" s="61">
        <v>0.24</v>
      </c>
      <c r="H62" s="61">
        <v>0.36</v>
      </c>
      <c r="I62" s="61">
        <v>0.42</v>
      </c>
      <c r="J62" s="21"/>
      <c r="K62" s="30" t="str">
        <v>AAPL</v>
      </c>
      <c r="L62" s="30" t="str">
        <v>early</v>
      </c>
      <c r="M62" s="30" t="str">
        <v>GS</v>
      </c>
      <c r="N62" s="97">
        <v>43252</v>
      </c>
      <c r="O62" s="35">
        <v>0.41</v>
      </c>
      <c r="P62" s="21"/>
      <c r="Q62" s="21"/>
      <c r="R62" s="21"/>
      <c r="S62" s="21"/>
      <c r="T62" s="20"/>
    </row>
    <row r="63" spans="1:31" x14ac:dyDescent="0.3">
      <c r="A63" s="18"/>
      <c r="B63" s="59" t="s">
        <v>106</v>
      </c>
      <c r="C63" s="59" t="s">
        <v>781</v>
      </c>
      <c r="D63" s="61">
        <v>0.27</v>
      </c>
      <c r="E63" s="61">
        <v>0.39</v>
      </c>
      <c r="F63" s="61">
        <v>0.43</v>
      </c>
      <c r="G63" s="61">
        <v>0.23</v>
      </c>
      <c r="H63" s="61">
        <v>0.28000000000000003</v>
      </c>
      <c r="I63" s="61">
        <v>0.4</v>
      </c>
      <c r="J63" s="21"/>
      <c r="K63" s="30" t="str">
        <v>AAPL</v>
      </c>
      <c r="L63" s="30" t="str">
        <v>early</v>
      </c>
      <c r="M63" s="30" t="str">
        <v>HSBC</v>
      </c>
      <c r="N63" s="97">
        <v>43101</v>
      </c>
      <c r="O63" s="35">
        <v>0.24</v>
      </c>
      <c r="P63" s="21"/>
      <c r="Q63" s="21"/>
      <c r="R63" s="21"/>
      <c r="S63" s="21"/>
      <c r="T63" s="20"/>
    </row>
    <row r="64" spans="1:31" x14ac:dyDescent="0.3">
      <c r="A64" s="18"/>
      <c r="B64" s="59" t="s">
        <v>256</v>
      </c>
      <c r="C64" s="59" t="s">
        <v>780</v>
      </c>
      <c r="D64" s="61">
        <v>1.25</v>
      </c>
      <c r="E64" s="61">
        <v>1.37</v>
      </c>
      <c r="F64" s="61">
        <v>1.41</v>
      </c>
      <c r="G64" s="61">
        <v>1.24</v>
      </c>
      <c r="H64" s="61">
        <v>1.36</v>
      </c>
      <c r="I64" s="61">
        <v>1.42</v>
      </c>
      <c r="J64" s="21"/>
      <c r="K64" s="30" t="str">
        <v>AAPL</v>
      </c>
      <c r="L64" s="30" t="str">
        <v>early</v>
      </c>
      <c r="M64" s="30" t="str">
        <v>HSBC</v>
      </c>
      <c r="N64" s="97">
        <v>43160</v>
      </c>
      <c r="O64" s="35">
        <v>0.36</v>
      </c>
      <c r="P64" s="21"/>
      <c r="Q64" s="21"/>
      <c r="R64" s="21"/>
      <c r="S64" s="21"/>
      <c r="T64" s="20"/>
    </row>
    <row r="65" spans="1:20" x14ac:dyDescent="0.3">
      <c r="A65" s="18"/>
      <c r="B65" s="59" t="s">
        <v>256</v>
      </c>
      <c r="C65" s="59" t="s">
        <v>781</v>
      </c>
      <c r="D65" s="61">
        <v>1.27</v>
      </c>
      <c r="E65" s="61">
        <v>1.39</v>
      </c>
      <c r="F65" s="61">
        <v>1.43</v>
      </c>
      <c r="G65" s="61">
        <v>1.23</v>
      </c>
      <c r="H65" s="61">
        <v>1.28</v>
      </c>
      <c r="I65" s="61">
        <v>1.4</v>
      </c>
      <c r="J65" s="21"/>
      <c r="K65" s="30" t="str">
        <v>AAPL</v>
      </c>
      <c r="L65" s="30" t="str">
        <v>early</v>
      </c>
      <c r="M65" s="30" t="str">
        <v>HSBC</v>
      </c>
      <c r="N65" s="97">
        <v>43252</v>
      </c>
      <c r="O65" s="35">
        <v>0.42</v>
      </c>
      <c r="P65" s="21"/>
      <c r="Q65" s="21"/>
      <c r="R65" s="21"/>
      <c r="S65" s="21"/>
      <c r="T65" s="20"/>
    </row>
    <row r="66" spans="1:20" x14ac:dyDescent="0.3">
      <c r="A66" s="18"/>
      <c r="B66" s="59" t="s">
        <v>107</v>
      </c>
      <c r="C66" s="59" t="s">
        <v>780</v>
      </c>
      <c r="D66" s="61">
        <v>0.75</v>
      </c>
      <c r="E66" s="61">
        <v>0.87</v>
      </c>
      <c r="F66" s="61">
        <v>0.91</v>
      </c>
      <c r="G66" s="61">
        <v>0.74</v>
      </c>
      <c r="H66" s="61">
        <v>0.86</v>
      </c>
      <c r="I66" s="61">
        <v>0.92</v>
      </c>
      <c r="J66" s="21"/>
      <c r="K66" s="30" t="str">
        <v>AAPL</v>
      </c>
      <c r="L66" s="30" t="str">
        <v>final</v>
      </c>
      <c r="M66" s="30" t="str">
        <v>GS</v>
      </c>
      <c r="N66" s="97">
        <v>43101</v>
      </c>
      <c r="O66" s="35">
        <v>0.27</v>
      </c>
      <c r="P66" s="21"/>
      <c r="Q66" s="21"/>
      <c r="R66" s="21"/>
      <c r="S66" s="21"/>
      <c r="T66" s="20"/>
    </row>
    <row r="67" spans="1:20" x14ac:dyDescent="0.3">
      <c r="A67" s="18"/>
      <c r="B67" s="59" t="s">
        <v>107</v>
      </c>
      <c r="C67" s="59" t="s">
        <v>781</v>
      </c>
      <c r="D67" s="61">
        <v>0.77</v>
      </c>
      <c r="E67" s="61">
        <v>0.89</v>
      </c>
      <c r="F67" s="61">
        <v>0.93</v>
      </c>
      <c r="G67" s="61">
        <v>0.73</v>
      </c>
      <c r="H67" s="61">
        <v>0.78</v>
      </c>
      <c r="I67" s="61">
        <v>0.9</v>
      </c>
      <c r="J67" s="21"/>
      <c r="K67" s="30" t="str">
        <v>AAPL</v>
      </c>
      <c r="L67" s="30" t="str">
        <v>final</v>
      </c>
      <c r="M67" s="30" t="str">
        <v>GS</v>
      </c>
      <c r="N67" s="97">
        <v>43160</v>
      </c>
      <c r="O67" s="35">
        <v>0.39</v>
      </c>
      <c r="P67" s="21"/>
      <c r="Q67" s="21"/>
      <c r="R67" s="21"/>
      <c r="S67" s="21"/>
      <c r="T67" s="20"/>
    </row>
    <row r="68" spans="1:20" x14ac:dyDescent="0.3">
      <c r="A68" s="18"/>
      <c r="B68" s="21"/>
      <c r="C68" s="21"/>
      <c r="D68" s="21"/>
      <c r="E68" s="21"/>
      <c r="F68" s="21"/>
      <c r="G68" s="21"/>
      <c r="H68" s="21"/>
      <c r="I68" s="21"/>
      <c r="J68" s="21"/>
      <c r="K68" s="30" t="str">
        <v>AAPL</v>
      </c>
      <c r="L68" s="30" t="str">
        <v>final</v>
      </c>
      <c r="M68" s="30" t="str">
        <v>GS</v>
      </c>
      <c r="N68" s="97">
        <v>43252</v>
      </c>
      <c r="O68" s="35">
        <v>0.43</v>
      </c>
      <c r="P68" s="21"/>
      <c r="Q68" s="21"/>
      <c r="R68" s="21"/>
      <c r="S68" s="21"/>
      <c r="T68" s="20"/>
    </row>
    <row r="69" spans="1:20" x14ac:dyDescent="0.3">
      <c r="A69" s="18"/>
      <c r="B69" s="21"/>
      <c r="C69" s="21"/>
      <c r="D69" s="21"/>
      <c r="E69" s="21"/>
      <c r="F69" s="21"/>
      <c r="G69" s="21"/>
      <c r="H69" s="21"/>
      <c r="I69" s="21"/>
      <c r="J69" s="21"/>
      <c r="K69" s="30" t="str">
        <v>AAPL</v>
      </c>
      <c r="L69" s="30" t="str">
        <v>final</v>
      </c>
      <c r="M69" s="30" t="str">
        <v>HSBC</v>
      </c>
      <c r="N69" s="97">
        <v>43101</v>
      </c>
      <c r="O69" s="35">
        <v>0.23</v>
      </c>
      <c r="P69" s="21"/>
      <c r="Q69" s="21"/>
      <c r="R69" s="21"/>
      <c r="S69" s="21"/>
      <c r="T69" s="20"/>
    </row>
    <row r="70" spans="1:20" x14ac:dyDescent="0.3">
      <c r="A70" s="18"/>
      <c r="B70" s="21"/>
      <c r="C70" s="21"/>
      <c r="D70" s="21"/>
      <c r="E70" s="21"/>
      <c r="F70" s="21"/>
      <c r="G70" s="21"/>
      <c r="H70" s="21"/>
      <c r="I70" s="21"/>
      <c r="J70" s="21"/>
      <c r="K70" s="30" t="str">
        <v>AAPL</v>
      </c>
      <c r="L70" s="30" t="str">
        <v>final</v>
      </c>
      <c r="M70" s="30" t="str">
        <v>HSBC</v>
      </c>
      <c r="N70" s="97">
        <v>43160</v>
      </c>
      <c r="O70" s="35">
        <v>0.28000000000000003</v>
      </c>
      <c r="P70" s="21"/>
      <c r="Q70" s="21"/>
      <c r="R70" s="21"/>
      <c r="S70" s="21"/>
      <c r="T70" s="20"/>
    </row>
    <row r="71" spans="1:20" x14ac:dyDescent="0.3">
      <c r="A71" s="18"/>
      <c r="B71" s="21"/>
      <c r="C71" s="21"/>
      <c r="D71" s="21"/>
      <c r="E71" s="21"/>
      <c r="F71" s="21"/>
      <c r="G71" s="21"/>
      <c r="H71" s="21"/>
      <c r="I71" s="21"/>
      <c r="J71" s="21"/>
      <c r="K71" s="30" t="str">
        <v>AAPL</v>
      </c>
      <c r="L71" s="30" t="str">
        <v>final</v>
      </c>
      <c r="M71" s="30" t="str">
        <v>HSBC</v>
      </c>
      <c r="N71" s="97">
        <v>43252</v>
      </c>
      <c r="O71" s="35">
        <v>0.4</v>
      </c>
      <c r="P71" s="21"/>
      <c r="Q71" s="21"/>
      <c r="R71" s="21"/>
      <c r="S71" s="21"/>
      <c r="T71" s="20"/>
    </row>
    <row r="72" spans="1:20" x14ac:dyDescent="0.3">
      <c r="A72" s="18"/>
      <c r="B72" s="21"/>
      <c r="C72" s="21"/>
      <c r="D72" s="21"/>
      <c r="E72" s="21"/>
      <c r="F72" s="21"/>
      <c r="G72" s="21"/>
      <c r="H72" s="21"/>
      <c r="I72" s="21"/>
      <c r="J72" s="21"/>
      <c r="K72" s="21"/>
      <c r="L72" s="21"/>
      <c r="M72" s="21"/>
      <c r="N72" s="21"/>
      <c r="O72" s="21"/>
      <c r="P72" s="21"/>
      <c r="Q72" s="21"/>
      <c r="R72" s="21"/>
      <c r="S72" s="21"/>
      <c r="T72" s="20"/>
    </row>
    <row r="73" spans="1:20" x14ac:dyDescent="0.3">
      <c r="A73" s="18"/>
      <c r="B73" s="21"/>
      <c r="C73" s="21"/>
      <c r="D73" s="21"/>
      <c r="E73" s="21"/>
      <c r="F73" s="21"/>
      <c r="G73" s="21"/>
      <c r="H73" s="21"/>
      <c r="I73" s="21"/>
      <c r="J73" s="21"/>
      <c r="K73" s="21"/>
      <c r="L73" s="21"/>
      <c r="M73" s="21"/>
      <c r="N73" s="21"/>
      <c r="O73" s="21"/>
      <c r="P73" s="21"/>
      <c r="Q73" s="21"/>
      <c r="R73" s="21"/>
      <c r="S73" s="21"/>
      <c r="T73" s="20"/>
    </row>
    <row r="74" spans="1:20" x14ac:dyDescent="0.3">
      <c r="A74" s="18"/>
      <c r="B74" s="21"/>
      <c r="C74" s="21"/>
      <c r="D74" s="492" t="s">
        <v>1015</v>
      </c>
      <c r="E74" s="529"/>
      <c r="F74" s="529"/>
      <c r="G74" s="529"/>
      <c r="H74" s="529"/>
      <c r="I74" s="493"/>
      <c r="J74" s="21"/>
      <c r="K74" s="3" t="str">
        <f t="array" ref="K74:O87">_xll.U.GRID_TO_TABLE(B75:I82,"Symbol,Time",D85:D86,"Val")</f>
        <v>Symbol</v>
      </c>
      <c r="L74" s="3" t="str">
        <v>Time</v>
      </c>
      <c r="M74" s="3" t="str">
        <v>Firm</v>
      </c>
      <c r="N74" s="195" t="str">
        <v>Date</v>
      </c>
      <c r="O74" s="5" t="str">
        <v>Val</v>
      </c>
      <c r="P74" s="21"/>
      <c r="Q74" s="21"/>
      <c r="R74" s="21"/>
      <c r="S74" s="21"/>
      <c r="T74" s="20"/>
    </row>
    <row r="75" spans="1:20" x14ac:dyDescent="0.3">
      <c r="A75" s="18"/>
      <c r="B75" s="21"/>
      <c r="C75" s="21"/>
      <c r="D75" s="155" t="s">
        <v>778</v>
      </c>
      <c r="E75" s="155" t="s">
        <v>778</v>
      </c>
      <c r="F75" s="155" t="s">
        <v>778</v>
      </c>
      <c r="G75" s="155" t="s">
        <v>779</v>
      </c>
      <c r="H75" s="155" t="s">
        <v>779</v>
      </c>
      <c r="I75" s="155" t="s">
        <v>779</v>
      </c>
      <c r="J75" s="21"/>
      <c r="K75" s="30" t="str">
        <v>AAPL</v>
      </c>
      <c r="L75" s="30" t="str">
        <v>early</v>
      </c>
      <c r="M75" s="30" t="str">
        <v>GS</v>
      </c>
      <c r="N75" s="97">
        <v>43101</v>
      </c>
      <c r="O75" s="35">
        <v>0.25</v>
      </c>
      <c r="P75" s="21"/>
      <c r="Q75" s="21"/>
      <c r="R75" s="21"/>
      <c r="S75" s="21"/>
      <c r="T75" s="20"/>
    </row>
    <row r="76" spans="1:20" x14ac:dyDescent="0.3">
      <c r="A76" s="18"/>
      <c r="B76" s="21"/>
      <c r="C76" s="21"/>
      <c r="D76" s="155">
        <v>43101</v>
      </c>
      <c r="E76" s="155">
        <v>43160</v>
      </c>
      <c r="F76" s="155">
        <v>43252</v>
      </c>
      <c r="G76" s="155">
        <v>43101</v>
      </c>
      <c r="H76" s="155">
        <v>43160</v>
      </c>
      <c r="I76" s="155">
        <v>43252</v>
      </c>
      <c r="J76" s="21"/>
      <c r="K76" s="30" t="str">
        <v>AAPL</v>
      </c>
      <c r="L76" s="30" t="str">
        <v>early</v>
      </c>
      <c r="M76" s="30" t="str">
        <v>GS</v>
      </c>
      <c r="N76" s="97">
        <v>43160</v>
      </c>
      <c r="O76" s="35">
        <v>0.37</v>
      </c>
      <c r="P76" s="21"/>
      <c r="Q76" s="21"/>
      <c r="R76" s="21"/>
      <c r="S76" s="21"/>
      <c r="T76" s="20"/>
    </row>
    <row r="77" spans="1:20" x14ac:dyDescent="0.3">
      <c r="A77" s="18"/>
      <c r="B77" s="59" t="s">
        <v>106</v>
      </c>
      <c r="C77" s="59" t="s">
        <v>780</v>
      </c>
      <c r="D77" s="61">
        <v>0.25</v>
      </c>
      <c r="E77" s="61">
        <v>0.37</v>
      </c>
      <c r="F77" s="61">
        <v>0.41</v>
      </c>
      <c r="G77" s="61">
        <v>0.24</v>
      </c>
      <c r="H77" s="61">
        <v>0.36</v>
      </c>
      <c r="I77" s="61">
        <v>0.42</v>
      </c>
      <c r="J77" s="21"/>
      <c r="K77" s="30" t="str">
        <v>AAPL</v>
      </c>
      <c r="L77" s="30" t="str">
        <v>early</v>
      </c>
      <c r="M77" s="30" t="str">
        <v>GS</v>
      </c>
      <c r="N77" s="97">
        <v>43252</v>
      </c>
      <c r="O77" s="35">
        <v>0.41</v>
      </c>
      <c r="P77" s="21"/>
      <c r="Q77" s="21"/>
      <c r="R77" s="21"/>
      <c r="S77" s="21"/>
      <c r="T77" s="20"/>
    </row>
    <row r="78" spans="1:20" x14ac:dyDescent="0.3">
      <c r="A78" s="18"/>
      <c r="B78" s="59" t="s">
        <v>106</v>
      </c>
      <c r="C78" s="59" t="s">
        <v>781</v>
      </c>
      <c r="D78" s="61">
        <v>0.27</v>
      </c>
      <c r="E78" s="61">
        <v>0.39</v>
      </c>
      <c r="F78" s="61">
        <v>0.43</v>
      </c>
      <c r="G78" s="61">
        <v>0.23</v>
      </c>
      <c r="H78" s="61">
        <v>0.28000000000000003</v>
      </c>
      <c r="I78" s="61">
        <v>0.4</v>
      </c>
      <c r="J78" s="21"/>
      <c r="K78" s="30" t="str">
        <v>AAPL</v>
      </c>
      <c r="L78" s="30" t="str">
        <v>early</v>
      </c>
      <c r="M78" s="30" t="str">
        <v>HSBC</v>
      </c>
      <c r="N78" s="97">
        <v>43101</v>
      </c>
      <c r="O78" s="35">
        <v>0.24</v>
      </c>
      <c r="P78" s="21"/>
      <c r="Q78" s="21"/>
      <c r="R78" s="21"/>
      <c r="S78" s="21"/>
      <c r="T78" s="20"/>
    </row>
    <row r="79" spans="1:20" x14ac:dyDescent="0.3">
      <c r="A79" s="18"/>
      <c r="B79" s="59" t="s">
        <v>256</v>
      </c>
      <c r="C79" s="59" t="s">
        <v>780</v>
      </c>
      <c r="D79" s="61">
        <v>1.25</v>
      </c>
      <c r="E79" s="61">
        <v>1.37</v>
      </c>
      <c r="F79" s="61">
        <v>1.41</v>
      </c>
      <c r="G79" s="61">
        <v>1.24</v>
      </c>
      <c r="H79" s="61">
        <v>1.36</v>
      </c>
      <c r="I79" s="61">
        <v>1.42</v>
      </c>
      <c r="J79" s="21"/>
      <c r="K79" s="30" t="str">
        <v>AAPL</v>
      </c>
      <c r="L79" s="30" t="str">
        <v>early</v>
      </c>
      <c r="M79" s="30" t="str">
        <v>HSBC</v>
      </c>
      <c r="N79" s="97">
        <v>43160</v>
      </c>
      <c r="O79" s="35">
        <v>0.36</v>
      </c>
      <c r="P79" s="21"/>
      <c r="Q79" s="21"/>
      <c r="R79" s="21"/>
      <c r="S79" s="21"/>
      <c r="T79" s="20"/>
    </row>
    <row r="80" spans="1:20" x14ac:dyDescent="0.3">
      <c r="A80" s="18"/>
      <c r="B80" s="59" t="s">
        <v>256</v>
      </c>
      <c r="C80" s="59" t="s">
        <v>781</v>
      </c>
      <c r="D80" s="61">
        <v>1.27</v>
      </c>
      <c r="E80" s="61">
        <v>1.39</v>
      </c>
      <c r="F80" s="61">
        <v>1.43</v>
      </c>
      <c r="G80" s="61">
        <v>1.23</v>
      </c>
      <c r="H80" s="61">
        <v>1.28</v>
      </c>
      <c r="I80" s="61">
        <v>1.4</v>
      </c>
      <c r="J80" s="21"/>
      <c r="K80" s="30" t="str">
        <v>AAPL</v>
      </c>
      <c r="L80" s="30" t="str">
        <v>early</v>
      </c>
      <c r="M80" s="30" t="str">
        <v>HSBC</v>
      </c>
      <c r="N80" s="97">
        <v>43252</v>
      </c>
      <c r="O80" s="35">
        <v>0.42</v>
      </c>
      <c r="P80" s="21"/>
      <c r="Q80" s="21"/>
      <c r="R80" s="21"/>
      <c r="S80" s="21"/>
      <c r="T80" s="20"/>
    </row>
    <row r="81" spans="1:20" x14ac:dyDescent="0.3">
      <c r="A81" s="18"/>
      <c r="B81" s="59" t="s">
        <v>107</v>
      </c>
      <c r="C81" s="59" t="s">
        <v>780</v>
      </c>
      <c r="D81" s="61">
        <v>0.75</v>
      </c>
      <c r="E81" s="61">
        <v>0.87</v>
      </c>
      <c r="F81" s="61">
        <v>0.91</v>
      </c>
      <c r="G81" s="61">
        <v>0.74</v>
      </c>
      <c r="H81" s="61">
        <v>0.86</v>
      </c>
      <c r="I81" s="61">
        <v>0.92</v>
      </c>
      <c r="J81" s="21"/>
      <c r="K81" s="30" t="str">
        <v>AAPL</v>
      </c>
      <c r="L81" s="30" t="str">
        <v>final</v>
      </c>
      <c r="M81" s="30" t="str">
        <v>GS</v>
      </c>
      <c r="N81" s="97">
        <v>43101</v>
      </c>
      <c r="O81" s="35">
        <v>0.27</v>
      </c>
      <c r="P81" s="21"/>
      <c r="Q81" s="21"/>
      <c r="R81" s="21"/>
      <c r="S81" s="21"/>
      <c r="T81" s="20"/>
    </row>
    <row r="82" spans="1:20" x14ac:dyDescent="0.3">
      <c r="A82" s="18"/>
      <c r="B82" s="59" t="s">
        <v>107</v>
      </c>
      <c r="C82" s="59" t="s">
        <v>781</v>
      </c>
      <c r="D82" s="61">
        <v>0.77</v>
      </c>
      <c r="E82" s="61">
        <v>0.89</v>
      </c>
      <c r="F82" s="61">
        <v>0.93</v>
      </c>
      <c r="G82" s="61">
        <v>0.73</v>
      </c>
      <c r="H82" s="61">
        <v>0.78</v>
      </c>
      <c r="I82" s="61">
        <v>0.9</v>
      </c>
      <c r="J82" s="21"/>
      <c r="K82" s="30" t="str">
        <v>AAPL</v>
      </c>
      <c r="L82" s="30" t="str">
        <v>final</v>
      </c>
      <c r="M82" s="30" t="str">
        <v>GS</v>
      </c>
      <c r="N82" s="97">
        <v>43160</v>
      </c>
      <c r="O82" s="35">
        <v>0.39</v>
      </c>
      <c r="P82" s="21"/>
      <c r="Q82" s="21"/>
      <c r="R82" s="21"/>
      <c r="S82" s="21"/>
      <c r="T82" s="20"/>
    </row>
    <row r="83" spans="1:20" x14ac:dyDescent="0.3">
      <c r="A83" s="18"/>
      <c r="B83" s="21"/>
      <c r="C83" s="21"/>
      <c r="D83" s="21"/>
      <c r="E83" s="21"/>
      <c r="F83" s="21"/>
      <c r="G83" s="21"/>
      <c r="H83" s="21"/>
      <c r="I83" s="21"/>
      <c r="J83" s="21"/>
      <c r="K83" s="30" t="str">
        <v>AAPL</v>
      </c>
      <c r="L83" s="30" t="str">
        <v>final</v>
      </c>
      <c r="M83" s="30" t="str">
        <v>GS</v>
      </c>
      <c r="N83" s="97">
        <v>43252</v>
      </c>
      <c r="O83" s="35">
        <v>0.43</v>
      </c>
      <c r="P83" s="21"/>
      <c r="Q83" s="21"/>
      <c r="R83" s="21"/>
      <c r="S83" s="21"/>
      <c r="T83" s="20"/>
    </row>
    <row r="84" spans="1:20" x14ac:dyDescent="0.3">
      <c r="A84" s="18"/>
      <c r="B84" s="21"/>
      <c r="C84" s="21"/>
      <c r="D84" s="155" t="s">
        <v>1016</v>
      </c>
      <c r="E84" s="21"/>
      <c r="F84" s="21"/>
      <c r="G84" s="21"/>
      <c r="H84" s="21"/>
      <c r="I84" s="21"/>
      <c r="J84" s="21"/>
      <c r="K84" s="30" t="str">
        <v>AAPL</v>
      </c>
      <c r="L84" s="30" t="str">
        <v>final</v>
      </c>
      <c r="M84" s="30" t="str">
        <v>HSBC</v>
      </c>
      <c r="N84" s="97">
        <v>43101</v>
      </c>
      <c r="O84" s="35">
        <v>0.23</v>
      </c>
      <c r="P84" s="21"/>
      <c r="Q84" s="21"/>
      <c r="R84" s="21"/>
      <c r="S84" s="21"/>
      <c r="T84" s="20"/>
    </row>
    <row r="85" spans="1:20" x14ac:dyDescent="0.3">
      <c r="A85" s="18"/>
      <c r="B85" s="21"/>
      <c r="C85" s="21"/>
      <c r="D85" s="30" t="s">
        <v>1017</v>
      </c>
      <c r="E85" s="21"/>
      <c r="F85" s="21"/>
      <c r="G85" s="21"/>
      <c r="H85" s="21"/>
      <c r="I85" s="21"/>
      <c r="J85" s="21"/>
      <c r="K85" s="30" t="str">
        <v>AAPL</v>
      </c>
      <c r="L85" s="30" t="str">
        <v>final</v>
      </c>
      <c r="M85" s="30" t="str">
        <v>HSBC</v>
      </c>
      <c r="N85" s="97">
        <v>43160</v>
      </c>
      <c r="O85" s="35">
        <v>0.28000000000000003</v>
      </c>
      <c r="P85" s="21"/>
      <c r="Q85" s="21"/>
      <c r="R85" s="21"/>
      <c r="S85" s="21"/>
      <c r="T85" s="20"/>
    </row>
    <row r="86" spans="1:20" x14ac:dyDescent="0.3">
      <c r="A86" s="18"/>
      <c r="B86" s="21"/>
      <c r="C86" s="21"/>
      <c r="D86" s="30" t="s">
        <v>630</v>
      </c>
      <c r="E86" s="21"/>
      <c r="F86" s="21"/>
      <c r="G86" s="21"/>
      <c r="H86" s="21"/>
      <c r="I86" s="21"/>
      <c r="J86" s="21"/>
      <c r="K86" s="30" t="str">
        <v>AAPL</v>
      </c>
      <c r="L86" s="30" t="str">
        <v>final</v>
      </c>
      <c r="M86" s="30" t="str">
        <v>HSBC</v>
      </c>
      <c r="N86" s="97">
        <v>43252</v>
      </c>
      <c r="O86" s="35">
        <v>0.4</v>
      </c>
      <c r="P86" s="21"/>
      <c r="Q86" s="21"/>
      <c r="R86" s="21"/>
      <c r="S86" s="21"/>
      <c r="T86" s="20"/>
    </row>
    <row r="87" spans="1:20" x14ac:dyDescent="0.3">
      <c r="A87" s="18"/>
      <c r="B87" s="21"/>
      <c r="C87" s="21"/>
      <c r="D87" s="21"/>
      <c r="E87" s="21"/>
      <c r="F87" s="21"/>
      <c r="G87" s="21"/>
      <c r="H87" s="21"/>
      <c r="I87" s="21"/>
      <c r="J87" s="21"/>
      <c r="K87" s="30" t="str">
        <v>MSFT</v>
      </c>
      <c r="L87" s="30" t="str">
        <v>early</v>
      </c>
      <c r="M87" s="30" t="str">
        <v>GS</v>
      </c>
      <c r="N87" s="97">
        <v>43101</v>
      </c>
      <c r="O87" s="35">
        <v>1.25</v>
      </c>
      <c r="P87" s="21"/>
      <c r="Q87" s="21"/>
      <c r="R87" s="21"/>
      <c r="S87" s="21"/>
      <c r="T87" s="20"/>
    </row>
    <row r="88" spans="1:20" x14ac:dyDescent="0.3">
      <c r="A88" s="18"/>
      <c r="B88" s="21"/>
      <c r="C88" s="21"/>
      <c r="D88" s="21"/>
      <c r="E88" s="21"/>
      <c r="F88" s="21"/>
      <c r="G88" s="21"/>
      <c r="H88" s="21"/>
      <c r="I88" s="21"/>
      <c r="J88" s="21"/>
      <c r="K88" s="21"/>
      <c r="L88" s="21"/>
      <c r="M88" s="21"/>
      <c r="N88" s="21"/>
      <c r="O88" s="21"/>
      <c r="P88" s="21"/>
      <c r="Q88" s="21"/>
      <c r="R88" s="21"/>
      <c r="S88" s="21"/>
      <c r="T88" s="20"/>
    </row>
    <row r="89" spans="1:20" x14ac:dyDescent="0.3">
      <c r="A89" s="18"/>
      <c r="B89" s="21"/>
      <c r="C89" s="21"/>
      <c r="D89" s="21"/>
      <c r="E89" s="21"/>
      <c r="F89" s="21"/>
      <c r="G89" s="21"/>
      <c r="H89" s="21"/>
      <c r="I89" s="21"/>
      <c r="J89" s="21"/>
      <c r="K89" s="21"/>
      <c r="L89" s="21"/>
      <c r="M89" s="21"/>
      <c r="N89" s="21"/>
      <c r="O89" s="21"/>
      <c r="P89" s="21"/>
      <c r="Q89" s="21"/>
      <c r="R89" s="21"/>
      <c r="S89" s="21"/>
      <c r="T89" s="20"/>
    </row>
    <row r="90" spans="1:20" x14ac:dyDescent="0.3">
      <c r="A90" s="18"/>
      <c r="B90" s="21"/>
      <c r="C90" s="21"/>
      <c r="D90" s="492" t="s">
        <v>1015</v>
      </c>
      <c r="E90" s="529"/>
      <c r="F90" s="529"/>
      <c r="G90" s="529"/>
      <c r="H90" s="529"/>
      <c r="I90" s="493"/>
      <c r="J90" s="21"/>
      <c r="K90" s="3" t="str">
        <f t="array" ref="K90:O103">_xll.U.GRID_TO_TABLE(B91:I98,TRUE,TRUE,"Val")</f>
        <v>Symbol</v>
      </c>
      <c r="L90" s="3" t="str">
        <v>Time</v>
      </c>
      <c r="M90" s="3" t="str">
        <v>Firm</v>
      </c>
      <c r="N90" s="195" t="str">
        <v>Date</v>
      </c>
      <c r="O90" s="5" t="str">
        <v>Val</v>
      </c>
      <c r="P90" s="21"/>
      <c r="Q90" s="21"/>
      <c r="R90" s="21"/>
      <c r="S90" s="21"/>
      <c r="T90" s="20"/>
    </row>
    <row r="91" spans="1:20" x14ac:dyDescent="0.3">
      <c r="A91" s="18"/>
      <c r="B91" s="21"/>
      <c r="C91" s="85" t="s">
        <v>1017</v>
      </c>
      <c r="D91" s="155" t="s">
        <v>778</v>
      </c>
      <c r="E91" s="155" t="s">
        <v>778</v>
      </c>
      <c r="F91" s="155" t="s">
        <v>778</v>
      </c>
      <c r="G91" s="155" t="s">
        <v>779</v>
      </c>
      <c r="H91" s="155" t="s">
        <v>779</v>
      </c>
      <c r="I91" s="155" t="s">
        <v>779</v>
      </c>
      <c r="J91" s="21"/>
      <c r="K91" s="30" t="str">
        <v>AAPL</v>
      </c>
      <c r="L91" s="30" t="str">
        <v>early</v>
      </c>
      <c r="M91" s="30" t="str">
        <v>GS</v>
      </c>
      <c r="N91" s="97">
        <v>43101</v>
      </c>
      <c r="O91" s="35">
        <v>0.25</v>
      </c>
      <c r="P91" s="21"/>
      <c r="Q91" s="21"/>
      <c r="R91" s="21"/>
      <c r="S91" s="21"/>
      <c r="T91" s="20"/>
    </row>
    <row r="92" spans="1:20" x14ac:dyDescent="0.3">
      <c r="A92" s="18"/>
      <c r="B92" s="85" t="s">
        <v>2</v>
      </c>
      <c r="C92" s="85" t="s">
        <v>1018</v>
      </c>
      <c r="D92" s="155">
        <v>43101</v>
      </c>
      <c r="E92" s="155">
        <v>43160</v>
      </c>
      <c r="F92" s="155">
        <v>43252</v>
      </c>
      <c r="G92" s="155">
        <v>43101</v>
      </c>
      <c r="H92" s="155">
        <v>43160</v>
      </c>
      <c r="I92" s="155">
        <v>43252</v>
      </c>
      <c r="J92" s="21"/>
      <c r="K92" s="30" t="str">
        <v>AAPL</v>
      </c>
      <c r="L92" s="30" t="str">
        <v>early</v>
      </c>
      <c r="M92" s="30" t="str">
        <v>GS</v>
      </c>
      <c r="N92" s="97">
        <v>43160</v>
      </c>
      <c r="O92" s="35">
        <v>0.37</v>
      </c>
      <c r="P92" s="21"/>
      <c r="Q92" s="21"/>
      <c r="R92" s="21"/>
      <c r="S92" s="21"/>
      <c r="T92" s="20"/>
    </row>
    <row r="93" spans="1:20" x14ac:dyDescent="0.3">
      <c r="A93" s="18"/>
      <c r="B93" s="197" t="s">
        <v>106</v>
      </c>
      <c r="C93" s="197" t="s">
        <v>780</v>
      </c>
      <c r="D93" s="61">
        <v>0.25</v>
      </c>
      <c r="E93" s="61">
        <v>0.37</v>
      </c>
      <c r="F93" s="61">
        <v>0.41</v>
      </c>
      <c r="G93" s="61">
        <v>0.24</v>
      </c>
      <c r="H93" s="61">
        <v>0.36</v>
      </c>
      <c r="I93" s="61">
        <v>0.42</v>
      </c>
      <c r="J93" s="21"/>
      <c r="K93" s="30" t="str">
        <v>AAPL</v>
      </c>
      <c r="L93" s="30" t="str">
        <v>early</v>
      </c>
      <c r="M93" s="30" t="str">
        <v>GS</v>
      </c>
      <c r="N93" s="97">
        <v>43252</v>
      </c>
      <c r="O93" s="35">
        <v>0.41</v>
      </c>
      <c r="P93" s="21"/>
      <c r="Q93" s="21"/>
      <c r="R93" s="21"/>
      <c r="S93" s="21"/>
      <c r="T93" s="20"/>
    </row>
    <row r="94" spans="1:20" x14ac:dyDescent="0.3">
      <c r="A94" s="18"/>
      <c r="B94" s="59" t="s">
        <v>106</v>
      </c>
      <c r="C94" s="59" t="s">
        <v>781</v>
      </c>
      <c r="D94" s="61">
        <v>0.27</v>
      </c>
      <c r="E94" s="61">
        <v>0.39</v>
      </c>
      <c r="F94" s="61">
        <v>0.43</v>
      </c>
      <c r="G94" s="61">
        <v>0.23</v>
      </c>
      <c r="H94" s="61">
        <v>0.28000000000000003</v>
      </c>
      <c r="I94" s="61">
        <v>0.4</v>
      </c>
      <c r="J94" s="21"/>
      <c r="K94" s="30" t="str">
        <v>AAPL</v>
      </c>
      <c r="L94" s="30" t="str">
        <v>early</v>
      </c>
      <c r="M94" s="30" t="str">
        <v>HSBC</v>
      </c>
      <c r="N94" s="97">
        <v>43101</v>
      </c>
      <c r="O94" s="35">
        <v>0.24</v>
      </c>
      <c r="P94" s="21"/>
      <c r="Q94" s="21"/>
      <c r="R94" s="21"/>
      <c r="S94" s="21"/>
      <c r="T94" s="20"/>
    </row>
    <row r="95" spans="1:20" x14ac:dyDescent="0.3">
      <c r="A95" s="18"/>
      <c r="B95" s="59" t="s">
        <v>256</v>
      </c>
      <c r="C95" s="59" t="s">
        <v>780</v>
      </c>
      <c r="D95" s="61">
        <v>1.25</v>
      </c>
      <c r="E95" s="61">
        <v>1.37</v>
      </c>
      <c r="F95" s="61">
        <v>1.41</v>
      </c>
      <c r="G95" s="61">
        <v>1.24</v>
      </c>
      <c r="H95" s="61">
        <v>1.36</v>
      </c>
      <c r="I95" s="61">
        <v>1.42</v>
      </c>
      <c r="J95" s="21"/>
      <c r="K95" s="30" t="str">
        <v>AAPL</v>
      </c>
      <c r="L95" s="30" t="str">
        <v>early</v>
      </c>
      <c r="M95" s="30" t="str">
        <v>HSBC</v>
      </c>
      <c r="N95" s="97">
        <v>43160</v>
      </c>
      <c r="O95" s="35">
        <v>0.36</v>
      </c>
      <c r="P95" s="21"/>
      <c r="Q95" s="21"/>
      <c r="R95" s="21"/>
      <c r="S95" s="21"/>
      <c r="T95" s="20"/>
    </row>
    <row r="96" spans="1:20" x14ac:dyDescent="0.3">
      <c r="A96" s="18"/>
      <c r="B96" s="59" t="s">
        <v>256</v>
      </c>
      <c r="C96" s="59" t="s">
        <v>781</v>
      </c>
      <c r="D96" s="61">
        <v>1.27</v>
      </c>
      <c r="E96" s="61">
        <v>1.39</v>
      </c>
      <c r="F96" s="61">
        <v>1.43</v>
      </c>
      <c r="G96" s="61">
        <v>1.23</v>
      </c>
      <c r="H96" s="61">
        <v>1.28</v>
      </c>
      <c r="I96" s="61">
        <v>1.4</v>
      </c>
      <c r="J96" s="21"/>
      <c r="K96" s="30" t="str">
        <v>AAPL</v>
      </c>
      <c r="L96" s="30" t="str">
        <v>early</v>
      </c>
      <c r="M96" s="30" t="str">
        <v>HSBC</v>
      </c>
      <c r="N96" s="97">
        <v>43252</v>
      </c>
      <c r="O96" s="35">
        <v>0.42</v>
      </c>
      <c r="P96" s="21"/>
      <c r="Q96" s="21"/>
      <c r="R96" s="21"/>
      <c r="S96" s="21"/>
      <c r="T96" s="20"/>
    </row>
    <row r="97" spans="1:20" x14ac:dyDescent="0.3">
      <c r="A97" s="18"/>
      <c r="B97" s="59" t="s">
        <v>107</v>
      </c>
      <c r="C97" s="59" t="s">
        <v>780</v>
      </c>
      <c r="D97" s="61">
        <v>0.75</v>
      </c>
      <c r="E97" s="61">
        <v>0.87</v>
      </c>
      <c r="F97" s="61">
        <v>0.91</v>
      </c>
      <c r="G97" s="61">
        <v>0.74</v>
      </c>
      <c r="H97" s="61">
        <v>0.86</v>
      </c>
      <c r="I97" s="61">
        <v>0.92</v>
      </c>
      <c r="J97" s="21"/>
      <c r="K97" s="30" t="str">
        <v>AAPL</v>
      </c>
      <c r="L97" s="30" t="str">
        <v>final</v>
      </c>
      <c r="M97" s="30" t="str">
        <v>GS</v>
      </c>
      <c r="N97" s="97">
        <v>43101</v>
      </c>
      <c r="O97" s="35">
        <v>0.27</v>
      </c>
      <c r="P97" s="21"/>
      <c r="Q97" s="21"/>
      <c r="R97" s="21"/>
      <c r="S97" s="21"/>
      <c r="T97" s="20"/>
    </row>
    <row r="98" spans="1:20" x14ac:dyDescent="0.3">
      <c r="A98" s="18"/>
      <c r="B98" s="59" t="s">
        <v>107</v>
      </c>
      <c r="C98" s="59" t="s">
        <v>781</v>
      </c>
      <c r="D98" s="61">
        <v>0.77</v>
      </c>
      <c r="E98" s="61">
        <v>0.89</v>
      </c>
      <c r="F98" s="61">
        <v>0.93</v>
      </c>
      <c r="G98" s="61">
        <v>0.73</v>
      </c>
      <c r="H98" s="61">
        <v>0.78</v>
      </c>
      <c r="I98" s="61">
        <v>0.9</v>
      </c>
      <c r="J98" s="21"/>
      <c r="K98" s="30" t="str">
        <v>AAPL</v>
      </c>
      <c r="L98" s="30" t="str">
        <v>final</v>
      </c>
      <c r="M98" s="30" t="str">
        <v>GS</v>
      </c>
      <c r="N98" s="97">
        <v>43160</v>
      </c>
      <c r="O98" s="35">
        <v>0.39</v>
      </c>
      <c r="P98" s="21"/>
      <c r="Q98" s="21"/>
      <c r="R98" s="21"/>
      <c r="S98" s="21"/>
      <c r="T98" s="20"/>
    </row>
    <row r="99" spans="1:20" x14ac:dyDescent="0.3">
      <c r="A99" s="18"/>
      <c r="B99" s="21"/>
      <c r="C99" s="21"/>
      <c r="D99" s="21"/>
      <c r="E99" s="21"/>
      <c r="F99" s="21"/>
      <c r="G99" s="21"/>
      <c r="H99" s="21"/>
      <c r="I99" s="21"/>
      <c r="J99" s="21"/>
      <c r="K99" s="30" t="str">
        <v>AAPL</v>
      </c>
      <c r="L99" s="30" t="str">
        <v>final</v>
      </c>
      <c r="M99" s="30" t="str">
        <v>GS</v>
      </c>
      <c r="N99" s="97">
        <v>43252</v>
      </c>
      <c r="O99" s="35">
        <v>0.43</v>
      </c>
      <c r="P99" s="21"/>
      <c r="Q99" s="21"/>
      <c r="R99" s="21"/>
      <c r="S99" s="21"/>
      <c r="T99" s="20"/>
    </row>
    <row r="100" spans="1:20" x14ac:dyDescent="0.3">
      <c r="A100" s="18"/>
      <c r="B100" s="21"/>
      <c r="C100" s="21"/>
      <c r="D100" s="21"/>
      <c r="E100" s="21"/>
      <c r="F100" s="21"/>
      <c r="G100" s="21"/>
      <c r="H100" s="21"/>
      <c r="I100" s="21"/>
      <c r="J100" s="21"/>
      <c r="K100" s="30" t="str">
        <v>AAPL</v>
      </c>
      <c r="L100" s="30" t="str">
        <v>final</v>
      </c>
      <c r="M100" s="30" t="str">
        <v>HSBC</v>
      </c>
      <c r="N100" s="97">
        <v>43101</v>
      </c>
      <c r="O100" s="35">
        <v>0.23</v>
      </c>
      <c r="P100" s="21"/>
      <c r="Q100" s="21"/>
      <c r="R100" s="21"/>
      <c r="S100" s="21"/>
      <c r="T100" s="20"/>
    </row>
    <row r="101" spans="1:20" x14ac:dyDescent="0.3">
      <c r="A101" s="18"/>
      <c r="B101" s="21"/>
      <c r="C101" s="21"/>
      <c r="D101" s="21"/>
      <c r="E101" s="21"/>
      <c r="F101" s="21"/>
      <c r="G101" s="21"/>
      <c r="H101" s="21"/>
      <c r="I101" s="21"/>
      <c r="J101" s="21"/>
      <c r="K101" s="30" t="str">
        <v>AAPL</v>
      </c>
      <c r="L101" s="30" t="str">
        <v>final</v>
      </c>
      <c r="M101" s="30" t="str">
        <v>HSBC</v>
      </c>
      <c r="N101" s="97">
        <v>43160</v>
      </c>
      <c r="O101" s="35">
        <v>0.28000000000000003</v>
      </c>
      <c r="P101" s="21"/>
      <c r="Q101" s="21"/>
      <c r="R101" s="21"/>
      <c r="S101" s="21"/>
      <c r="T101" s="20"/>
    </row>
    <row r="102" spans="1:20" x14ac:dyDescent="0.3">
      <c r="A102" s="18"/>
      <c r="B102" s="21"/>
      <c r="C102" s="21"/>
      <c r="D102" s="21"/>
      <c r="E102" s="21"/>
      <c r="F102" s="21"/>
      <c r="G102" s="21"/>
      <c r="H102" s="21"/>
      <c r="I102" s="21"/>
      <c r="J102" s="21"/>
      <c r="K102" s="30" t="str">
        <v>AAPL</v>
      </c>
      <c r="L102" s="30" t="str">
        <v>final</v>
      </c>
      <c r="M102" s="30" t="str">
        <v>HSBC</v>
      </c>
      <c r="N102" s="97">
        <v>43252</v>
      </c>
      <c r="O102" s="35">
        <v>0.4</v>
      </c>
      <c r="P102" s="21"/>
      <c r="Q102" s="21"/>
      <c r="R102" s="21"/>
      <c r="S102" s="21"/>
      <c r="T102" s="20"/>
    </row>
    <row r="103" spans="1:20" x14ac:dyDescent="0.3">
      <c r="A103" s="18"/>
      <c r="B103" s="21"/>
      <c r="C103" s="21"/>
      <c r="D103" s="21"/>
      <c r="E103" s="21"/>
      <c r="F103" s="21"/>
      <c r="G103" s="21"/>
      <c r="H103" s="21"/>
      <c r="I103" s="21"/>
      <c r="J103" s="21"/>
      <c r="K103" s="30" t="str">
        <v>MSFT</v>
      </c>
      <c r="L103" s="30" t="str">
        <v>early</v>
      </c>
      <c r="M103" s="30" t="str">
        <v>GS</v>
      </c>
      <c r="N103" s="97">
        <v>43101</v>
      </c>
      <c r="O103" s="35">
        <v>1.25</v>
      </c>
      <c r="P103" s="21"/>
      <c r="Q103" s="21"/>
      <c r="R103" s="21"/>
      <c r="S103" s="21"/>
      <c r="T103" s="20"/>
    </row>
    <row r="104" spans="1:20" x14ac:dyDescent="0.3">
      <c r="A104" s="18"/>
      <c r="B104" s="21"/>
      <c r="C104" s="21"/>
      <c r="D104" s="21"/>
      <c r="E104" s="21"/>
      <c r="F104" s="21"/>
      <c r="G104" s="21"/>
      <c r="H104" s="21"/>
      <c r="I104" s="21"/>
      <c r="J104" s="21"/>
      <c r="K104" s="21"/>
      <c r="L104" s="21"/>
      <c r="M104" s="21"/>
      <c r="N104" s="21"/>
      <c r="O104" s="21"/>
      <c r="P104" s="21"/>
      <c r="Q104" s="21"/>
      <c r="R104" s="21"/>
      <c r="S104" s="21"/>
      <c r="T104" s="20"/>
    </row>
    <row r="105" spans="1:20" x14ac:dyDescent="0.3">
      <c r="A105" s="18"/>
      <c r="B105" s="21"/>
      <c r="C105" s="21"/>
      <c r="D105" s="21"/>
      <c r="E105" s="21"/>
      <c r="F105" s="21"/>
      <c r="G105" s="21"/>
      <c r="H105" s="21"/>
      <c r="I105" s="21"/>
      <c r="J105" s="21"/>
      <c r="K105" s="21"/>
      <c r="L105" s="21"/>
      <c r="M105" s="21"/>
      <c r="N105" s="21"/>
      <c r="O105" s="21"/>
      <c r="P105" s="21"/>
      <c r="Q105" s="21"/>
      <c r="R105" s="21"/>
      <c r="S105" s="21"/>
      <c r="T105" s="20"/>
    </row>
    <row r="106" spans="1:20" x14ac:dyDescent="0.3">
      <c r="A106" s="18"/>
      <c r="B106" s="21"/>
      <c r="C106" s="21"/>
      <c r="D106" s="21"/>
      <c r="E106" s="21"/>
      <c r="F106" s="21"/>
      <c r="G106" s="21"/>
      <c r="H106" s="21"/>
      <c r="I106" s="21"/>
      <c r="J106" s="21"/>
      <c r="K106" s="67"/>
      <c r="L106" s="67"/>
      <c r="M106" s="67"/>
      <c r="N106" s="67"/>
      <c r="O106" s="67"/>
      <c r="P106" s="67"/>
      <c r="Q106" s="67"/>
      <c r="R106" s="21"/>
      <c r="S106" s="21"/>
      <c r="T106" s="20"/>
    </row>
    <row r="107" spans="1:20" x14ac:dyDescent="0.3">
      <c r="A107" s="18"/>
      <c r="B107" s="21"/>
      <c r="C107" s="21"/>
      <c r="D107" s="21"/>
      <c r="E107" s="21"/>
      <c r="F107" s="21"/>
      <c r="G107" s="21"/>
      <c r="H107" s="21"/>
      <c r="I107" s="21"/>
      <c r="J107" s="21"/>
      <c r="K107" s="21"/>
      <c r="L107" s="21"/>
      <c r="M107" s="21"/>
      <c r="N107" s="21"/>
      <c r="O107" s="21"/>
      <c r="P107" s="21"/>
      <c r="Q107" s="21"/>
      <c r="R107" s="21"/>
      <c r="S107" s="21"/>
      <c r="T107" s="20"/>
    </row>
    <row r="108" spans="1:20" x14ac:dyDescent="0.3">
      <c r="A108" s="18"/>
      <c r="B108" s="21"/>
      <c r="C108" s="21"/>
      <c r="D108" s="494" t="s">
        <v>778</v>
      </c>
      <c r="E108" s="527"/>
      <c r="F108" s="495"/>
      <c r="G108" s="494" t="s">
        <v>779</v>
      </c>
      <c r="H108" s="527"/>
      <c r="I108" s="495"/>
      <c r="J108" s="21"/>
      <c r="K108" s="21" t="str">
        <f t="array" ref="K108:O114">_xll.U.GRID_TO_TABLE(B109:I112,,,"columns(3)")</f>
        <v/>
      </c>
      <c r="L108" s="21" t="str">
        <v/>
      </c>
      <c r="M108" s="195">
        <v>43101</v>
      </c>
      <c r="N108" s="195">
        <v>43160</v>
      </c>
      <c r="O108" s="195">
        <v>43252</v>
      </c>
      <c r="P108" s="21"/>
      <c r="Q108" s="21"/>
      <c r="R108" s="21"/>
      <c r="S108" s="21"/>
      <c r="T108" s="20"/>
    </row>
    <row r="109" spans="1:20" x14ac:dyDescent="0.3">
      <c r="A109" s="18"/>
      <c r="B109" s="21"/>
      <c r="C109" s="21"/>
      <c r="D109" s="155">
        <v>43101</v>
      </c>
      <c r="E109" s="155">
        <v>43160</v>
      </c>
      <c r="F109" s="155">
        <v>43252</v>
      </c>
      <c r="G109" s="155">
        <v>43101</v>
      </c>
      <c r="H109" s="155">
        <v>43160</v>
      </c>
      <c r="I109" s="155">
        <v>43252</v>
      </c>
      <c r="J109" s="21"/>
      <c r="K109" s="47" t="str">
        <v>AAPL</v>
      </c>
      <c r="L109" s="47" t="str">
        <v>final</v>
      </c>
      <c r="M109" s="35">
        <v>0.27</v>
      </c>
      <c r="N109" s="35">
        <v>0.39</v>
      </c>
      <c r="O109" s="35">
        <v>0.43</v>
      </c>
      <c r="P109" s="21"/>
      <c r="Q109" s="21"/>
      <c r="R109" s="21"/>
      <c r="S109" s="21"/>
      <c r="T109" s="20"/>
    </row>
    <row r="110" spans="1:20" x14ac:dyDescent="0.3">
      <c r="A110" s="18"/>
      <c r="B110" s="59" t="s">
        <v>106</v>
      </c>
      <c r="C110" s="59" t="s">
        <v>781</v>
      </c>
      <c r="D110" s="61">
        <v>0.27</v>
      </c>
      <c r="E110" s="61">
        <v>0.39</v>
      </c>
      <c r="F110" s="61">
        <v>0.43</v>
      </c>
      <c r="G110" s="61">
        <v>0.23</v>
      </c>
      <c r="H110" s="61">
        <v>0.28000000000000003</v>
      </c>
      <c r="I110" s="61">
        <v>0.4</v>
      </c>
      <c r="J110" s="21"/>
      <c r="K110" s="47" t="str">
        <v>MSFT</v>
      </c>
      <c r="L110" s="47" t="str">
        <v>final</v>
      </c>
      <c r="M110" s="35">
        <v>1.27</v>
      </c>
      <c r="N110" s="35">
        <v>1.39</v>
      </c>
      <c r="O110" s="35">
        <v>1.43</v>
      </c>
      <c r="P110" s="21"/>
      <c r="Q110" s="21"/>
      <c r="R110" s="21"/>
      <c r="S110" s="21"/>
      <c r="T110" s="20"/>
    </row>
    <row r="111" spans="1:20" x14ac:dyDescent="0.3">
      <c r="A111" s="18"/>
      <c r="B111" s="59" t="s">
        <v>256</v>
      </c>
      <c r="C111" s="59" t="s">
        <v>781</v>
      </c>
      <c r="D111" s="61">
        <v>1.27</v>
      </c>
      <c r="E111" s="61">
        <v>1.39</v>
      </c>
      <c r="F111" s="61">
        <v>1.43</v>
      </c>
      <c r="G111" s="61">
        <v>1.23</v>
      </c>
      <c r="H111" s="61">
        <v>1.28</v>
      </c>
      <c r="I111" s="61">
        <v>1.4</v>
      </c>
      <c r="J111" s="21"/>
      <c r="K111" s="47" t="str">
        <v>IBM</v>
      </c>
      <c r="L111" s="47" t="str">
        <v>final</v>
      </c>
      <c r="M111" s="35">
        <v>0.77</v>
      </c>
      <c r="N111" s="35">
        <v>0.89</v>
      </c>
      <c r="O111" s="35">
        <v>0.93</v>
      </c>
      <c r="P111" s="21"/>
      <c r="Q111" s="21"/>
      <c r="R111" s="21"/>
      <c r="S111" s="21"/>
      <c r="T111" s="20"/>
    </row>
    <row r="112" spans="1:20" x14ac:dyDescent="0.3">
      <c r="A112" s="18"/>
      <c r="B112" s="59" t="s">
        <v>107</v>
      </c>
      <c r="C112" s="59" t="s">
        <v>781</v>
      </c>
      <c r="D112" s="61">
        <v>0.77</v>
      </c>
      <c r="E112" s="61">
        <v>0.89</v>
      </c>
      <c r="F112" s="61">
        <v>0.93</v>
      </c>
      <c r="G112" s="61">
        <v>0.73</v>
      </c>
      <c r="H112" s="61">
        <v>0.78</v>
      </c>
      <c r="I112" s="61">
        <v>0.9</v>
      </c>
      <c r="J112" s="21"/>
      <c r="K112" s="47" t="str">
        <v>AAPL</v>
      </c>
      <c r="L112" s="47" t="str">
        <v>final</v>
      </c>
      <c r="M112" s="35">
        <v>0.23</v>
      </c>
      <c r="N112" s="35">
        <v>0.28000000000000003</v>
      </c>
      <c r="O112" s="35">
        <v>0.4</v>
      </c>
      <c r="P112" s="21"/>
      <c r="Q112" s="21"/>
      <c r="R112" s="21"/>
      <c r="S112" s="21"/>
      <c r="T112" s="20"/>
    </row>
    <row r="113" spans="1:20" x14ac:dyDescent="0.3">
      <c r="A113" s="18"/>
      <c r="B113" s="21"/>
      <c r="C113" s="21"/>
      <c r="D113" s="21"/>
      <c r="E113" s="21"/>
      <c r="F113" s="21"/>
      <c r="G113" s="21"/>
      <c r="H113" s="21"/>
      <c r="I113" s="21"/>
      <c r="J113" s="21"/>
      <c r="K113" s="47" t="str">
        <v>MSFT</v>
      </c>
      <c r="L113" s="47" t="str">
        <v>final</v>
      </c>
      <c r="M113" s="35">
        <v>1.23</v>
      </c>
      <c r="N113" s="35">
        <v>1.28</v>
      </c>
      <c r="O113" s="35">
        <v>1.4</v>
      </c>
      <c r="P113" s="21"/>
      <c r="Q113" s="21"/>
      <c r="R113" s="21"/>
      <c r="S113" s="21"/>
      <c r="T113" s="20"/>
    </row>
    <row r="114" spans="1:20" x14ac:dyDescent="0.3">
      <c r="A114" s="18"/>
      <c r="B114" s="21"/>
      <c r="C114" s="21"/>
      <c r="D114" s="21"/>
      <c r="E114" s="21"/>
      <c r="F114" s="21"/>
      <c r="G114" s="21"/>
      <c r="H114" s="21"/>
      <c r="I114" s="21"/>
      <c r="J114" s="21"/>
      <c r="K114" s="47" t="str">
        <v>IBM</v>
      </c>
      <c r="L114" s="47" t="str">
        <v>final</v>
      </c>
      <c r="M114" s="35">
        <v>0.73</v>
      </c>
      <c r="N114" s="35">
        <v>0.78</v>
      </c>
      <c r="O114" s="35">
        <v>0.9</v>
      </c>
      <c r="P114" s="21"/>
      <c r="Q114" s="21"/>
      <c r="R114" s="21"/>
      <c r="S114" s="21"/>
      <c r="T114" s="20"/>
    </row>
    <row r="115" spans="1:20" x14ac:dyDescent="0.3">
      <c r="A115" s="18"/>
      <c r="B115" s="21"/>
      <c r="C115" s="21"/>
      <c r="D115" s="21"/>
      <c r="E115" s="21"/>
      <c r="F115" s="21"/>
      <c r="G115" s="21"/>
      <c r="H115" s="21"/>
      <c r="I115" s="21"/>
      <c r="J115" s="21"/>
      <c r="K115" s="21"/>
      <c r="L115" s="21"/>
      <c r="M115" s="21"/>
      <c r="N115" s="21"/>
      <c r="O115" s="21"/>
      <c r="P115" s="21"/>
      <c r="Q115" s="21"/>
      <c r="R115" s="21"/>
      <c r="S115" s="21"/>
      <c r="T115" s="20"/>
    </row>
    <row r="116" spans="1:20" x14ac:dyDescent="0.3">
      <c r="A116" s="18"/>
      <c r="B116" s="21"/>
      <c r="C116" s="21"/>
      <c r="D116" s="21"/>
      <c r="E116" s="21"/>
      <c r="F116" s="21"/>
      <c r="G116" s="21"/>
      <c r="H116" s="21"/>
      <c r="I116" s="21"/>
      <c r="J116" s="21"/>
      <c r="K116" s="21"/>
      <c r="L116" s="21"/>
      <c r="M116" s="21"/>
      <c r="N116" s="21"/>
      <c r="O116" s="21"/>
      <c r="P116" s="21"/>
      <c r="Q116" s="21"/>
      <c r="R116" s="21"/>
      <c r="S116" s="21"/>
      <c r="T116" s="20"/>
    </row>
    <row r="117" spans="1:20" x14ac:dyDescent="0.3">
      <c r="A117" s="18"/>
      <c r="B117" s="21"/>
      <c r="C117" s="21"/>
      <c r="D117" s="21"/>
      <c r="E117" s="21"/>
      <c r="F117" s="21"/>
      <c r="G117" s="21"/>
      <c r="H117" s="21"/>
      <c r="I117" s="21"/>
      <c r="J117" s="21"/>
      <c r="K117" s="21"/>
      <c r="L117" s="21"/>
      <c r="M117" s="21"/>
      <c r="N117" s="21"/>
      <c r="O117" s="21"/>
      <c r="P117" s="21"/>
      <c r="Q117" s="21"/>
      <c r="R117" s="21"/>
      <c r="S117" s="21"/>
      <c r="T117" s="20"/>
    </row>
    <row r="118" spans="1:20" x14ac:dyDescent="0.3">
      <c r="A118" s="18"/>
      <c r="B118" s="21"/>
      <c r="C118" s="21"/>
      <c r="D118" s="21"/>
      <c r="E118" s="21"/>
      <c r="F118" s="21"/>
      <c r="G118" s="21"/>
      <c r="H118" s="21"/>
      <c r="I118" s="21"/>
      <c r="J118" s="21"/>
      <c r="K118" s="21"/>
      <c r="L118" s="21"/>
      <c r="M118" s="21"/>
      <c r="N118" s="21"/>
      <c r="O118" s="21"/>
      <c r="P118" s="21"/>
      <c r="Q118" s="21"/>
      <c r="R118" s="21"/>
      <c r="S118" s="21"/>
      <c r="T118" s="20"/>
    </row>
    <row r="119" spans="1:20" x14ac:dyDescent="0.3">
      <c r="A119" s="18"/>
      <c r="B119" s="21"/>
      <c r="C119" s="21"/>
      <c r="D119" s="21"/>
      <c r="E119" s="21"/>
      <c r="F119" s="21"/>
      <c r="G119" s="21"/>
      <c r="H119" s="21"/>
      <c r="I119" s="21"/>
      <c r="J119" s="21"/>
      <c r="K119" s="21"/>
      <c r="L119" s="21"/>
      <c r="M119" s="21"/>
      <c r="N119" s="21"/>
      <c r="O119" s="21"/>
      <c r="P119" s="21"/>
      <c r="Q119" s="21"/>
      <c r="R119" s="21"/>
      <c r="S119" s="21"/>
      <c r="T119" s="20"/>
    </row>
    <row r="120" spans="1:20" x14ac:dyDescent="0.3">
      <c r="A120" s="18"/>
      <c r="B120" s="21"/>
      <c r="C120" s="21"/>
      <c r="D120" s="21"/>
      <c r="E120" s="21"/>
      <c r="F120" s="21"/>
      <c r="G120" s="21"/>
      <c r="H120" s="21"/>
      <c r="I120" s="21"/>
      <c r="J120" s="21"/>
      <c r="K120" s="21"/>
      <c r="L120" s="21"/>
      <c r="M120" s="21"/>
      <c r="N120" s="21"/>
      <c r="O120" s="21"/>
      <c r="P120" s="21"/>
      <c r="Q120" s="21"/>
      <c r="R120" s="21"/>
      <c r="S120" s="21"/>
      <c r="T120" s="20"/>
    </row>
    <row r="121" spans="1:20" x14ac:dyDescent="0.3">
      <c r="A121" s="18"/>
      <c r="B121" s="21"/>
      <c r="C121" s="21"/>
      <c r="D121" s="21"/>
      <c r="E121" s="21"/>
      <c r="F121" s="21"/>
      <c r="G121" s="21"/>
      <c r="H121" s="21"/>
      <c r="I121" s="21"/>
      <c r="J121" s="21"/>
      <c r="K121" s="21"/>
      <c r="L121" s="21"/>
      <c r="M121" s="21"/>
      <c r="N121" s="21"/>
      <c r="O121" s="21"/>
      <c r="P121" s="21"/>
      <c r="Q121" s="21"/>
      <c r="R121" s="21"/>
      <c r="S121" s="21"/>
      <c r="T121" s="20"/>
    </row>
    <row r="122" spans="1:20" x14ac:dyDescent="0.3">
      <c r="A122" s="18"/>
      <c r="B122" s="59" t="s">
        <v>106</v>
      </c>
      <c r="C122" s="59" t="s">
        <v>781</v>
      </c>
      <c r="D122" s="61">
        <v>0.27</v>
      </c>
      <c r="E122" s="61">
        <v>0.39</v>
      </c>
      <c r="F122" s="61">
        <v>0.43</v>
      </c>
      <c r="G122" s="61">
        <v>0.23</v>
      </c>
      <c r="H122" s="61">
        <v>0.28000000000000003</v>
      </c>
      <c r="I122" s="61">
        <v>0.4</v>
      </c>
      <c r="J122" s="21"/>
      <c r="K122" s="30" t="str">
        <f t="array" ref="K122:O127">_xll.U.GRID_TO_TABLE(B122:I124,2,,"columns(3)")</f>
        <v>AAPL</v>
      </c>
      <c r="L122" s="30" t="str">
        <v>final</v>
      </c>
      <c r="M122" s="35">
        <v>0.27</v>
      </c>
      <c r="N122" s="35">
        <v>0.39</v>
      </c>
      <c r="O122" s="35">
        <v>0.43</v>
      </c>
      <c r="P122" s="21"/>
      <c r="Q122" s="21"/>
      <c r="R122" s="21"/>
      <c r="S122" s="21"/>
      <c r="T122" s="20"/>
    </row>
    <row r="123" spans="1:20" x14ac:dyDescent="0.3">
      <c r="A123" s="18"/>
      <c r="B123" s="59" t="s">
        <v>256</v>
      </c>
      <c r="C123" s="59" t="s">
        <v>781</v>
      </c>
      <c r="D123" s="61">
        <v>1.27</v>
      </c>
      <c r="E123" s="61">
        <v>1.39</v>
      </c>
      <c r="F123" s="61">
        <v>1.43</v>
      </c>
      <c r="G123" s="61">
        <v>1.23</v>
      </c>
      <c r="H123" s="61">
        <v>1.28</v>
      </c>
      <c r="I123" s="61">
        <v>1.4</v>
      </c>
      <c r="J123" s="21"/>
      <c r="K123" s="30" t="str">
        <v>MSFT</v>
      </c>
      <c r="L123" s="30" t="str">
        <v>final</v>
      </c>
      <c r="M123" s="35">
        <v>1.27</v>
      </c>
      <c r="N123" s="35">
        <v>1.39</v>
      </c>
      <c r="O123" s="35">
        <v>1.43</v>
      </c>
      <c r="P123" s="21"/>
      <c r="Q123" s="21"/>
      <c r="R123" s="21"/>
      <c r="S123" s="21"/>
      <c r="T123" s="20"/>
    </row>
    <row r="124" spans="1:20" x14ac:dyDescent="0.3">
      <c r="A124" s="18"/>
      <c r="B124" s="59" t="s">
        <v>107</v>
      </c>
      <c r="C124" s="59" t="s">
        <v>781</v>
      </c>
      <c r="D124" s="61">
        <v>0.77</v>
      </c>
      <c r="E124" s="61">
        <v>0.89</v>
      </c>
      <c r="F124" s="61">
        <v>0.93</v>
      </c>
      <c r="G124" s="61">
        <v>0.73</v>
      </c>
      <c r="H124" s="61">
        <v>0.78</v>
      </c>
      <c r="I124" s="61">
        <v>0.9</v>
      </c>
      <c r="J124" s="21"/>
      <c r="K124" s="30" t="str">
        <v>IBM</v>
      </c>
      <c r="L124" s="30" t="str">
        <v>final</v>
      </c>
      <c r="M124" s="35">
        <v>0.77</v>
      </c>
      <c r="N124" s="35">
        <v>0.89</v>
      </c>
      <c r="O124" s="35">
        <v>0.93</v>
      </c>
      <c r="P124" s="21"/>
      <c r="Q124" s="21"/>
      <c r="R124" s="21"/>
      <c r="S124" s="21"/>
      <c r="T124" s="20"/>
    </row>
    <row r="125" spans="1:20" x14ac:dyDescent="0.3">
      <c r="A125" s="18"/>
      <c r="B125" s="21"/>
      <c r="C125" s="21"/>
      <c r="D125" s="21"/>
      <c r="E125" s="21"/>
      <c r="F125" s="21"/>
      <c r="G125" s="21"/>
      <c r="H125" s="21"/>
      <c r="I125" s="21"/>
      <c r="J125" s="21"/>
      <c r="K125" s="30" t="str">
        <v>AAPL</v>
      </c>
      <c r="L125" s="30" t="str">
        <v>final</v>
      </c>
      <c r="M125" s="35">
        <v>0.23</v>
      </c>
      <c r="N125" s="35">
        <v>0.28000000000000003</v>
      </c>
      <c r="O125" s="35">
        <v>0.4</v>
      </c>
      <c r="P125" s="21"/>
      <c r="Q125" s="21"/>
      <c r="R125" s="21"/>
      <c r="S125" s="21"/>
      <c r="T125" s="20"/>
    </row>
    <row r="126" spans="1:20" x14ac:dyDescent="0.3">
      <c r="A126" s="18"/>
      <c r="B126" s="21"/>
      <c r="C126" s="21"/>
      <c r="D126" s="21"/>
      <c r="E126" s="21"/>
      <c r="F126" s="21"/>
      <c r="G126" s="21"/>
      <c r="H126" s="21"/>
      <c r="I126" s="21"/>
      <c r="J126" s="21"/>
      <c r="K126" s="30" t="str">
        <v>MSFT</v>
      </c>
      <c r="L126" s="30" t="str">
        <v>final</v>
      </c>
      <c r="M126" s="35">
        <v>1.23</v>
      </c>
      <c r="N126" s="35">
        <v>1.28</v>
      </c>
      <c r="O126" s="35">
        <v>1.4</v>
      </c>
      <c r="P126" s="21"/>
      <c r="Q126" s="21"/>
      <c r="R126" s="21"/>
      <c r="S126" s="21"/>
      <c r="T126" s="20"/>
    </row>
    <row r="127" spans="1:20" x14ac:dyDescent="0.3">
      <c r="A127" s="18"/>
      <c r="B127" s="21"/>
      <c r="C127" s="21"/>
      <c r="D127" s="21"/>
      <c r="E127" s="21"/>
      <c r="F127" s="21"/>
      <c r="G127" s="21"/>
      <c r="H127" s="21"/>
      <c r="I127" s="21"/>
      <c r="J127" s="21"/>
      <c r="K127" s="30" t="str">
        <v>IBM</v>
      </c>
      <c r="L127" s="30" t="str">
        <v>final</v>
      </c>
      <c r="M127" s="35">
        <v>0.73</v>
      </c>
      <c r="N127" s="35">
        <v>0.78</v>
      </c>
      <c r="O127" s="35">
        <v>0.9</v>
      </c>
      <c r="P127" s="21"/>
      <c r="Q127" s="21"/>
      <c r="R127" s="21"/>
      <c r="S127" s="21"/>
      <c r="T127" s="20"/>
    </row>
    <row r="128" spans="1:20" x14ac:dyDescent="0.3">
      <c r="A128" s="18"/>
      <c r="B128" s="21"/>
      <c r="C128" s="21"/>
      <c r="D128" s="21"/>
      <c r="E128" s="21"/>
      <c r="F128" s="21"/>
      <c r="G128" s="21"/>
      <c r="H128" s="21"/>
      <c r="I128" s="21"/>
      <c r="J128" s="21"/>
      <c r="K128" s="21"/>
      <c r="L128" s="21"/>
      <c r="M128" s="21"/>
      <c r="N128" s="21"/>
      <c r="O128" s="21"/>
      <c r="P128" s="21"/>
      <c r="Q128" s="21"/>
      <c r="R128" s="21"/>
      <c r="S128" s="21"/>
      <c r="T128" s="20"/>
    </row>
    <row r="129" spans="1:20" x14ac:dyDescent="0.3">
      <c r="A129" s="18"/>
      <c r="B129" s="21"/>
      <c r="C129" s="21"/>
      <c r="D129" s="21"/>
      <c r="E129" s="21"/>
      <c r="F129" s="21"/>
      <c r="G129" s="21"/>
      <c r="H129" s="21"/>
      <c r="I129" s="21"/>
      <c r="J129" s="21"/>
      <c r="K129" s="21"/>
      <c r="L129" s="21"/>
      <c r="M129" s="21"/>
      <c r="N129" s="21"/>
      <c r="O129" s="21"/>
      <c r="P129" s="21"/>
      <c r="Q129" s="21"/>
      <c r="R129" s="21"/>
      <c r="S129" s="21"/>
      <c r="T129" s="20"/>
    </row>
    <row r="130" spans="1:20" x14ac:dyDescent="0.3">
      <c r="A130" s="18"/>
      <c r="B130" s="21"/>
      <c r="C130" s="21"/>
      <c r="D130" s="21"/>
      <c r="E130" s="21"/>
      <c r="F130" s="155" t="s">
        <v>1052</v>
      </c>
      <c r="G130" s="21"/>
      <c r="H130" s="155" t="s">
        <v>1016</v>
      </c>
      <c r="I130" s="21"/>
      <c r="J130" s="21"/>
      <c r="K130" s="3" t="str">
        <f t="array" ref="K130:O136">_xll.U.GRID_TO_TABLE(B122:I124,F131:F132,H131:H133,"columns(3)")</f>
        <v>Symbol</v>
      </c>
      <c r="L130" s="3" t="str">
        <v>Time</v>
      </c>
      <c r="M130" s="195">
        <v>43101</v>
      </c>
      <c r="N130" s="195">
        <v>43160</v>
      </c>
      <c r="O130" s="195">
        <v>43252</v>
      </c>
      <c r="P130" s="21"/>
      <c r="Q130" s="21"/>
      <c r="R130" s="21"/>
      <c r="S130" s="21"/>
      <c r="T130" s="20"/>
    </row>
    <row r="131" spans="1:20" x14ac:dyDescent="0.3">
      <c r="A131" s="18"/>
      <c r="B131" s="21"/>
      <c r="C131" s="21"/>
      <c r="D131" s="21"/>
      <c r="E131" s="21"/>
      <c r="F131" s="97" t="s">
        <v>2</v>
      </c>
      <c r="G131" s="21"/>
      <c r="H131" s="97">
        <v>43101</v>
      </c>
      <c r="I131" s="21"/>
      <c r="J131" s="21"/>
      <c r="K131" s="30" t="str">
        <v>AAPL</v>
      </c>
      <c r="L131" s="30" t="str">
        <v>final</v>
      </c>
      <c r="M131" s="35">
        <v>0.27</v>
      </c>
      <c r="N131" s="35">
        <v>0.39</v>
      </c>
      <c r="O131" s="35">
        <v>0.43</v>
      </c>
      <c r="P131" s="21"/>
      <c r="Q131" s="21"/>
      <c r="R131" s="21"/>
      <c r="S131" s="21"/>
      <c r="T131" s="20"/>
    </row>
    <row r="132" spans="1:20" x14ac:dyDescent="0.3">
      <c r="A132" s="18"/>
      <c r="B132" s="21"/>
      <c r="C132" s="21"/>
      <c r="D132" s="21"/>
      <c r="E132" s="21"/>
      <c r="F132" s="97" t="s">
        <v>263</v>
      </c>
      <c r="G132" s="21"/>
      <c r="H132" s="97">
        <v>43160</v>
      </c>
      <c r="I132" s="21"/>
      <c r="J132" s="21"/>
      <c r="K132" s="30" t="str">
        <v>MSFT</v>
      </c>
      <c r="L132" s="30" t="str">
        <v>final</v>
      </c>
      <c r="M132" s="35">
        <v>1.27</v>
      </c>
      <c r="N132" s="35">
        <v>1.39</v>
      </c>
      <c r="O132" s="35">
        <v>1.43</v>
      </c>
      <c r="P132" s="21"/>
      <c r="Q132" s="21"/>
      <c r="R132" s="21"/>
      <c r="S132" s="21"/>
      <c r="T132" s="20"/>
    </row>
    <row r="133" spans="1:20" x14ac:dyDescent="0.3">
      <c r="A133" s="18"/>
      <c r="B133" s="21"/>
      <c r="C133" s="21"/>
      <c r="D133" s="21"/>
      <c r="E133" s="21"/>
      <c r="F133" s="21"/>
      <c r="G133" s="21"/>
      <c r="H133" s="97">
        <v>43252</v>
      </c>
      <c r="I133" s="21"/>
      <c r="J133" s="21"/>
      <c r="K133" s="30" t="str">
        <v>IBM</v>
      </c>
      <c r="L133" s="30" t="str">
        <v>final</v>
      </c>
      <c r="M133" s="35">
        <v>0.77</v>
      </c>
      <c r="N133" s="35">
        <v>0.89</v>
      </c>
      <c r="O133" s="35">
        <v>0.93</v>
      </c>
      <c r="P133" s="21"/>
      <c r="Q133" s="21"/>
      <c r="R133" s="21"/>
      <c r="S133" s="21"/>
      <c r="T133" s="20"/>
    </row>
    <row r="134" spans="1:20" x14ac:dyDescent="0.3">
      <c r="A134" s="18"/>
      <c r="B134" s="21"/>
      <c r="C134" s="21"/>
      <c r="D134" s="21"/>
      <c r="E134" s="21"/>
      <c r="F134" s="21"/>
      <c r="G134" s="21"/>
      <c r="H134" s="21"/>
      <c r="I134" s="21"/>
      <c r="J134" s="21"/>
      <c r="K134" s="30" t="str">
        <v>AAPL</v>
      </c>
      <c r="L134" s="30" t="str">
        <v>final</v>
      </c>
      <c r="M134" s="35">
        <v>0.23</v>
      </c>
      <c r="N134" s="35">
        <v>0.28000000000000003</v>
      </c>
      <c r="O134" s="35">
        <v>0.4</v>
      </c>
      <c r="P134" s="21"/>
      <c r="Q134" s="21"/>
      <c r="R134" s="21"/>
      <c r="S134" s="21"/>
      <c r="T134" s="20"/>
    </row>
    <row r="135" spans="1:20" x14ac:dyDescent="0.3">
      <c r="A135" s="18"/>
      <c r="B135" s="21"/>
      <c r="C135" s="21"/>
      <c r="D135" s="21"/>
      <c r="E135" s="21"/>
      <c r="F135" s="21"/>
      <c r="G135" s="21"/>
      <c r="H135" s="21"/>
      <c r="I135" s="21"/>
      <c r="J135" s="21"/>
      <c r="K135" s="30" t="str">
        <v>MSFT</v>
      </c>
      <c r="L135" s="30" t="str">
        <v>final</v>
      </c>
      <c r="M135" s="35">
        <v>1.23</v>
      </c>
      <c r="N135" s="35">
        <v>1.28</v>
      </c>
      <c r="O135" s="35">
        <v>1.4</v>
      </c>
      <c r="P135" s="21"/>
      <c r="Q135" s="21"/>
      <c r="R135" s="21"/>
      <c r="S135" s="21"/>
      <c r="T135" s="20"/>
    </row>
    <row r="136" spans="1:20" x14ac:dyDescent="0.3">
      <c r="A136" s="18"/>
      <c r="B136" s="21"/>
      <c r="C136" s="21"/>
      <c r="D136" s="21"/>
      <c r="E136" s="21"/>
      <c r="F136" s="21"/>
      <c r="G136" s="21"/>
      <c r="H136" s="21"/>
      <c r="I136" s="21"/>
      <c r="J136" s="21"/>
      <c r="K136" s="30" t="str">
        <v>IBM</v>
      </c>
      <c r="L136" s="30" t="str">
        <v>final</v>
      </c>
      <c r="M136" s="35">
        <v>0.73</v>
      </c>
      <c r="N136" s="35">
        <v>0.78</v>
      </c>
      <c r="O136" s="35">
        <v>0.9</v>
      </c>
      <c r="P136" s="21"/>
      <c r="Q136" s="21"/>
      <c r="R136" s="21"/>
      <c r="S136" s="21"/>
      <c r="T136" s="20"/>
    </row>
    <row r="137" spans="1:20" x14ac:dyDescent="0.3">
      <c r="A137" s="18"/>
      <c r="B137" s="21"/>
      <c r="C137" s="21"/>
      <c r="D137" s="21"/>
      <c r="E137" s="21"/>
      <c r="F137" s="21"/>
      <c r="G137" s="21"/>
      <c r="H137" s="21"/>
      <c r="I137" s="21"/>
      <c r="J137" s="21"/>
      <c r="K137" s="21"/>
      <c r="L137" s="21"/>
      <c r="M137" s="21"/>
      <c r="N137" s="21"/>
      <c r="O137" s="21"/>
      <c r="P137" s="21"/>
      <c r="Q137" s="21"/>
      <c r="R137" s="21"/>
      <c r="S137" s="21"/>
      <c r="T137" s="20"/>
    </row>
    <row r="138" spans="1:20" x14ac:dyDescent="0.3">
      <c r="A138" s="18"/>
      <c r="B138" s="21"/>
      <c r="C138" s="21"/>
      <c r="D138" s="21"/>
      <c r="E138" s="21"/>
      <c r="F138" s="21"/>
      <c r="G138" s="21"/>
      <c r="H138" s="21"/>
      <c r="I138" s="21"/>
      <c r="J138" s="21"/>
      <c r="K138" s="21"/>
      <c r="L138" s="21"/>
      <c r="M138" s="21"/>
      <c r="N138" s="21"/>
      <c r="O138" s="21"/>
      <c r="P138" s="21"/>
      <c r="Q138" s="21"/>
      <c r="R138" s="21"/>
      <c r="S138" s="21"/>
      <c r="T138" s="20"/>
    </row>
    <row r="139" spans="1:20" x14ac:dyDescent="0.3">
      <c r="A139" s="18"/>
      <c r="B139" s="21"/>
      <c r="C139" s="21"/>
      <c r="D139" s="21"/>
      <c r="E139" s="21"/>
      <c r="F139" s="21"/>
      <c r="G139" s="21"/>
      <c r="H139" s="21"/>
      <c r="I139" s="21"/>
      <c r="J139" s="21"/>
      <c r="K139" s="21"/>
      <c r="L139" s="21"/>
      <c r="M139" s="21"/>
      <c r="N139" s="21"/>
      <c r="O139" s="21"/>
      <c r="P139" s="21"/>
      <c r="Q139" s="21"/>
      <c r="R139" s="21"/>
      <c r="S139" s="21"/>
      <c r="T139" s="20"/>
    </row>
    <row r="140" spans="1:20" x14ac:dyDescent="0.3">
      <c r="A140" s="18"/>
      <c r="B140" s="21"/>
      <c r="C140" s="21"/>
      <c r="D140" s="21"/>
      <c r="E140" s="21"/>
      <c r="F140" s="21"/>
      <c r="G140" s="21"/>
      <c r="H140" s="21"/>
      <c r="I140" s="21"/>
      <c r="J140" s="21"/>
      <c r="K140" s="207">
        <f t="array" ref="K140:M145">_xll.U.GRID_TO_TABLE(D122:I124,,,"columns(3)")</f>
        <v>0.27</v>
      </c>
      <c r="L140" s="207">
        <v>0.39</v>
      </c>
      <c r="M140" s="207">
        <v>0.43</v>
      </c>
      <c r="N140" s="21"/>
      <c r="O140" s="21"/>
      <c r="P140" s="21"/>
      <c r="Q140" s="21"/>
      <c r="R140" s="21"/>
      <c r="S140" s="21"/>
      <c r="T140" s="20"/>
    </row>
    <row r="141" spans="1:20" x14ac:dyDescent="0.3">
      <c r="A141" s="18"/>
      <c r="B141" s="21"/>
      <c r="C141" s="21"/>
      <c r="D141" s="21"/>
      <c r="E141" s="21"/>
      <c r="F141" s="21"/>
      <c r="G141" s="21"/>
      <c r="H141" s="21"/>
      <c r="I141" s="21"/>
      <c r="J141" s="21"/>
      <c r="K141" s="207">
        <v>1.27</v>
      </c>
      <c r="L141" s="207">
        <v>1.39</v>
      </c>
      <c r="M141" s="207">
        <v>1.43</v>
      </c>
      <c r="N141" s="21"/>
      <c r="O141" s="21"/>
      <c r="P141" s="21"/>
      <c r="Q141" s="21"/>
      <c r="R141" s="21"/>
      <c r="S141" s="21"/>
      <c r="T141" s="20"/>
    </row>
    <row r="142" spans="1:20" x14ac:dyDescent="0.3">
      <c r="A142" s="18"/>
      <c r="B142" s="21"/>
      <c r="C142" s="21"/>
      <c r="D142" s="21"/>
      <c r="E142" s="21"/>
      <c r="F142" s="21"/>
      <c r="G142" s="21"/>
      <c r="H142" s="21"/>
      <c r="I142" s="21"/>
      <c r="J142" s="21"/>
      <c r="K142" s="207">
        <v>0.77</v>
      </c>
      <c r="L142" s="207">
        <v>0.89</v>
      </c>
      <c r="M142" s="207">
        <v>0.93</v>
      </c>
      <c r="N142" s="21"/>
      <c r="O142" s="21"/>
      <c r="P142" s="21"/>
      <c r="Q142" s="21"/>
      <c r="R142" s="21"/>
      <c r="S142" s="21"/>
      <c r="T142" s="20"/>
    </row>
    <row r="143" spans="1:20" x14ac:dyDescent="0.3">
      <c r="A143" s="18"/>
      <c r="B143" s="21"/>
      <c r="C143" s="21"/>
      <c r="D143" s="21"/>
      <c r="E143" s="21"/>
      <c r="F143" s="21"/>
      <c r="G143" s="21"/>
      <c r="H143" s="21"/>
      <c r="I143" s="21"/>
      <c r="J143" s="21"/>
      <c r="K143" s="207">
        <v>0.23</v>
      </c>
      <c r="L143" s="207">
        <v>0.28000000000000003</v>
      </c>
      <c r="M143" s="207">
        <v>0.4</v>
      </c>
      <c r="N143" s="21"/>
      <c r="O143" s="21"/>
      <c r="P143" s="21"/>
      <c r="Q143" s="21"/>
      <c r="R143" s="21"/>
      <c r="S143" s="21"/>
      <c r="T143" s="20"/>
    </row>
    <row r="144" spans="1:20" x14ac:dyDescent="0.3">
      <c r="A144" s="18"/>
      <c r="B144" s="21"/>
      <c r="C144" s="21"/>
      <c r="D144" s="21"/>
      <c r="E144" s="21"/>
      <c r="F144" s="21"/>
      <c r="G144" s="21"/>
      <c r="H144" s="21"/>
      <c r="I144" s="21"/>
      <c r="J144" s="21"/>
      <c r="K144" s="207">
        <v>1.23</v>
      </c>
      <c r="L144" s="207">
        <v>1.28</v>
      </c>
      <c r="M144" s="207">
        <v>1.4</v>
      </c>
      <c r="N144" s="21"/>
      <c r="O144" s="21"/>
      <c r="P144" s="21"/>
      <c r="Q144" s="21"/>
      <c r="R144" s="21"/>
      <c r="S144" s="21"/>
      <c r="T144" s="20"/>
    </row>
    <row r="145" spans="1:20" x14ac:dyDescent="0.3">
      <c r="A145" s="18"/>
      <c r="B145" s="21"/>
      <c r="C145" s="21"/>
      <c r="D145" s="21"/>
      <c r="E145" s="21"/>
      <c r="F145" s="21"/>
      <c r="G145" s="21"/>
      <c r="H145" s="21"/>
      <c r="I145" s="21"/>
      <c r="J145" s="21"/>
      <c r="K145" s="207">
        <v>0.73</v>
      </c>
      <c r="L145" s="207">
        <v>0.78</v>
      </c>
      <c r="M145" s="207">
        <v>0.9</v>
      </c>
      <c r="N145" s="21"/>
      <c r="O145" s="21"/>
      <c r="P145" s="21"/>
      <c r="Q145" s="21"/>
      <c r="R145" s="21"/>
      <c r="S145" s="21"/>
      <c r="T145" s="20"/>
    </row>
    <row r="146" spans="1:20" x14ac:dyDescent="0.3">
      <c r="A146" s="18"/>
      <c r="B146" s="21"/>
      <c r="C146" s="21"/>
      <c r="D146" s="21"/>
      <c r="E146" s="21"/>
      <c r="F146" s="21"/>
      <c r="G146" s="21"/>
      <c r="H146" s="21"/>
      <c r="I146" s="21"/>
      <c r="J146" s="21"/>
      <c r="K146" s="21"/>
      <c r="L146" s="21"/>
      <c r="M146" s="21"/>
      <c r="N146" s="21"/>
      <c r="O146" s="21"/>
      <c r="P146" s="21"/>
      <c r="Q146" s="21"/>
      <c r="R146" s="21"/>
      <c r="S146" s="21"/>
      <c r="T146" s="20"/>
    </row>
    <row r="147" spans="1:20" x14ac:dyDescent="0.3">
      <c r="A147" s="18"/>
      <c r="B147" s="21"/>
      <c r="C147" s="21"/>
      <c r="D147" s="21"/>
      <c r="E147" s="21"/>
      <c r="F147" s="21"/>
      <c r="G147" s="21"/>
      <c r="H147" s="21"/>
      <c r="I147" s="21"/>
      <c r="J147" s="21"/>
      <c r="K147" s="21"/>
      <c r="L147" s="21"/>
      <c r="M147" s="21"/>
      <c r="N147" s="21"/>
      <c r="O147" s="21"/>
      <c r="P147" s="21"/>
      <c r="Q147" s="21"/>
      <c r="R147" s="21"/>
      <c r="S147" s="21"/>
      <c r="T147" s="20"/>
    </row>
    <row r="148" spans="1:20" x14ac:dyDescent="0.3">
      <c r="A148" s="18"/>
      <c r="B148" s="21"/>
      <c r="C148" s="21"/>
      <c r="D148" s="21"/>
      <c r="E148" s="21"/>
      <c r="F148" s="21"/>
      <c r="G148" s="21"/>
      <c r="H148" s="21"/>
      <c r="I148" s="21"/>
      <c r="J148" s="21"/>
      <c r="K148" s="195">
        <f t="array" ref="K148:M154">_xll.U.GRID_TO_TABLE(D122:I124,,H131:H133,"columns(3)")</f>
        <v>43101</v>
      </c>
      <c r="L148" s="195">
        <v>43160</v>
      </c>
      <c r="M148" s="195">
        <v>43252</v>
      </c>
      <c r="N148" s="21"/>
      <c r="O148" s="21"/>
      <c r="P148" s="21"/>
      <c r="Q148" s="21"/>
      <c r="R148" s="21"/>
      <c r="S148" s="21"/>
      <c r="T148" s="20"/>
    </row>
    <row r="149" spans="1:20" x14ac:dyDescent="0.3">
      <c r="A149" s="18"/>
      <c r="B149" s="21"/>
      <c r="C149" s="21"/>
      <c r="D149" s="21"/>
      <c r="E149" s="21"/>
      <c r="F149" s="21"/>
      <c r="G149" s="21"/>
      <c r="H149" s="21"/>
      <c r="I149" s="21"/>
      <c r="J149" s="21"/>
      <c r="K149" s="35">
        <v>0.27</v>
      </c>
      <c r="L149" s="35">
        <v>0.39</v>
      </c>
      <c r="M149" s="35">
        <v>0.43</v>
      </c>
      <c r="N149" s="21"/>
      <c r="O149" s="21"/>
      <c r="P149" s="21"/>
      <c r="Q149" s="21"/>
      <c r="R149" s="21"/>
      <c r="S149" s="21"/>
      <c r="T149" s="20"/>
    </row>
    <row r="150" spans="1:20" x14ac:dyDescent="0.3">
      <c r="A150" s="18"/>
      <c r="B150" s="21"/>
      <c r="C150" s="21"/>
      <c r="D150" s="21"/>
      <c r="E150" s="21"/>
      <c r="F150" s="21"/>
      <c r="G150" s="21"/>
      <c r="H150" s="21"/>
      <c r="I150" s="21"/>
      <c r="J150" s="21"/>
      <c r="K150" s="35">
        <v>1.27</v>
      </c>
      <c r="L150" s="35">
        <v>1.39</v>
      </c>
      <c r="M150" s="35">
        <v>1.43</v>
      </c>
      <c r="N150" s="21"/>
      <c r="O150" s="21"/>
      <c r="P150" s="21"/>
      <c r="Q150" s="21"/>
      <c r="R150" s="21"/>
      <c r="S150" s="21"/>
      <c r="T150" s="20"/>
    </row>
    <row r="151" spans="1:20" x14ac:dyDescent="0.3">
      <c r="A151" s="18"/>
      <c r="B151" s="21"/>
      <c r="C151" s="21"/>
      <c r="D151" s="21"/>
      <c r="E151" s="21"/>
      <c r="F151" s="21"/>
      <c r="G151" s="21"/>
      <c r="H151" s="21"/>
      <c r="I151" s="21"/>
      <c r="J151" s="21"/>
      <c r="K151" s="35">
        <v>0.77</v>
      </c>
      <c r="L151" s="35">
        <v>0.89</v>
      </c>
      <c r="M151" s="35">
        <v>0.93</v>
      </c>
      <c r="N151" s="21"/>
      <c r="O151" s="21"/>
      <c r="P151" s="21"/>
      <c r="Q151" s="21"/>
      <c r="R151" s="21"/>
      <c r="S151" s="21"/>
      <c r="T151" s="20"/>
    </row>
    <row r="152" spans="1:20" x14ac:dyDescent="0.3">
      <c r="A152" s="18"/>
      <c r="B152" s="21"/>
      <c r="C152" s="21"/>
      <c r="D152" s="21"/>
      <c r="E152" s="21"/>
      <c r="F152" s="21"/>
      <c r="G152" s="21"/>
      <c r="H152" s="21"/>
      <c r="I152" s="21"/>
      <c r="J152" s="21"/>
      <c r="K152" s="35">
        <v>0.23</v>
      </c>
      <c r="L152" s="35">
        <v>0.28000000000000003</v>
      </c>
      <c r="M152" s="35">
        <v>0.4</v>
      </c>
      <c r="N152" s="21"/>
      <c r="O152" s="21"/>
      <c r="P152" s="21"/>
      <c r="Q152" s="21"/>
      <c r="R152" s="21"/>
      <c r="S152" s="21"/>
      <c r="T152" s="20"/>
    </row>
    <row r="153" spans="1:20" x14ac:dyDescent="0.3">
      <c r="A153" s="18"/>
      <c r="B153" s="21"/>
      <c r="C153" s="21"/>
      <c r="D153" s="21"/>
      <c r="E153" s="21"/>
      <c r="F153" s="21"/>
      <c r="G153" s="21"/>
      <c r="H153" s="21"/>
      <c r="I153" s="21"/>
      <c r="J153" s="21"/>
      <c r="K153" s="35">
        <v>1.23</v>
      </c>
      <c r="L153" s="35">
        <v>1.28</v>
      </c>
      <c r="M153" s="35">
        <v>1.4</v>
      </c>
      <c r="N153" s="21"/>
      <c r="O153" s="21"/>
      <c r="P153" s="21"/>
      <c r="Q153" s="21"/>
      <c r="R153" s="21"/>
      <c r="S153" s="21"/>
      <c r="T153" s="20"/>
    </row>
    <row r="154" spans="1:20" x14ac:dyDescent="0.3">
      <c r="A154" s="18"/>
      <c r="B154" s="21"/>
      <c r="C154" s="21"/>
      <c r="D154" s="21"/>
      <c r="E154" s="21"/>
      <c r="F154" s="21"/>
      <c r="G154" s="21"/>
      <c r="H154" s="21"/>
      <c r="I154" s="21"/>
      <c r="J154" s="21"/>
      <c r="K154" s="35">
        <v>0.73</v>
      </c>
      <c r="L154" s="35">
        <v>0.78</v>
      </c>
      <c r="M154" s="35">
        <v>0.9</v>
      </c>
      <c r="N154" s="21"/>
      <c r="O154" s="21"/>
      <c r="P154" s="21"/>
      <c r="Q154" s="21"/>
      <c r="R154" s="21"/>
      <c r="S154" s="21"/>
      <c r="T154" s="20"/>
    </row>
    <row r="155" spans="1:20" x14ac:dyDescent="0.3">
      <c r="A155" s="18"/>
      <c r="B155" s="21"/>
      <c r="C155" s="21"/>
      <c r="D155" s="21"/>
      <c r="E155" s="21"/>
      <c r="F155" s="21"/>
      <c r="G155" s="21"/>
      <c r="H155" s="21"/>
      <c r="I155" s="21"/>
      <c r="J155" s="21"/>
      <c r="K155" s="21"/>
      <c r="L155" s="21"/>
      <c r="M155" s="21"/>
      <c r="N155" s="21"/>
      <c r="O155" s="21"/>
      <c r="P155" s="21"/>
      <c r="Q155" s="21"/>
      <c r="R155" s="21"/>
      <c r="S155" s="21"/>
      <c r="T155" s="20"/>
    </row>
    <row r="156" spans="1:20" x14ac:dyDescent="0.3">
      <c r="A156" s="18"/>
      <c r="B156" s="21"/>
      <c r="C156" s="21"/>
      <c r="D156" s="21"/>
      <c r="E156" s="21"/>
      <c r="F156" s="21"/>
      <c r="G156" s="21"/>
      <c r="H156" s="21"/>
      <c r="I156" s="21"/>
      <c r="J156" s="21"/>
      <c r="K156" s="21"/>
      <c r="L156" s="21"/>
      <c r="M156" s="21"/>
      <c r="N156" s="21"/>
      <c r="O156" s="21"/>
      <c r="P156" s="21"/>
      <c r="Q156" s="21"/>
      <c r="R156" s="21"/>
      <c r="S156" s="21"/>
      <c r="T156" s="20"/>
    </row>
    <row r="157" spans="1:20" x14ac:dyDescent="0.3">
      <c r="A157" s="18"/>
      <c r="B157" s="21"/>
      <c r="C157" s="21"/>
      <c r="D157" s="3" t="s">
        <v>778</v>
      </c>
      <c r="E157" s="3" t="s">
        <v>778</v>
      </c>
      <c r="F157" s="3" t="s">
        <v>778</v>
      </c>
      <c r="G157" s="3" t="s">
        <v>779</v>
      </c>
      <c r="H157" s="3" t="s">
        <v>779</v>
      </c>
      <c r="I157" s="3" t="s">
        <v>779</v>
      </c>
      <c r="J157" s="21"/>
      <c r="K157" s="21" t="str">
        <f t="array" ref="K157:P163">_xll.U.TABLE_TO_GRID(_xll.U.GRID_TO_TABLE(B157:I161),{1,2,3},4,5)</f>
        <v/>
      </c>
      <c r="L157" s="21" t="str">
        <v/>
      </c>
      <c r="M157" s="21" t="str">
        <v/>
      </c>
      <c r="N157" s="195">
        <v>43101</v>
      </c>
      <c r="O157" s="195">
        <v>43160</v>
      </c>
      <c r="P157" s="195">
        <v>43252</v>
      </c>
      <c r="Q157" s="21"/>
      <c r="R157" s="21"/>
      <c r="S157" s="21"/>
      <c r="T157" s="20"/>
    </row>
    <row r="158" spans="1:20" x14ac:dyDescent="0.3">
      <c r="A158" s="18"/>
      <c r="B158" s="21"/>
      <c r="C158" s="21"/>
      <c r="D158" s="155">
        <v>43101</v>
      </c>
      <c r="E158" s="155">
        <v>43160</v>
      </c>
      <c r="F158" s="155">
        <v>43252</v>
      </c>
      <c r="G158" s="155">
        <v>43101</v>
      </c>
      <c r="H158" s="155">
        <v>43160</v>
      </c>
      <c r="I158" s="155">
        <v>43252</v>
      </c>
      <c r="J158" s="21"/>
      <c r="K158" s="47" t="str">
        <v>AAPL</v>
      </c>
      <c r="L158" s="47" t="str">
        <v>final</v>
      </c>
      <c r="M158" s="209" t="str">
        <v>GS</v>
      </c>
      <c r="N158" s="35">
        <v>0.27</v>
      </c>
      <c r="O158" s="35">
        <v>0.39</v>
      </c>
      <c r="P158" s="35">
        <v>0.43</v>
      </c>
      <c r="Q158" s="21"/>
      <c r="R158" s="21"/>
      <c r="S158" s="21"/>
      <c r="T158" s="20"/>
    </row>
    <row r="159" spans="1:20" x14ac:dyDescent="0.3">
      <c r="A159" s="18"/>
      <c r="B159" s="59" t="s">
        <v>106</v>
      </c>
      <c r="C159" s="59" t="s">
        <v>781</v>
      </c>
      <c r="D159" s="61">
        <v>0.27</v>
      </c>
      <c r="E159" s="61">
        <v>0.39</v>
      </c>
      <c r="F159" s="61">
        <v>0.43</v>
      </c>
      <c r="G159" s="61">
        <v>0.23</v>
      </c>
      <c r="H159" s="61">
        <v>0.28000000000000003</v>
      </c>
      <c r="I159" s="61">
        <v>0.4</v>
      </c>
      <c r="J159" s="21"/>
      <c r="K159" s="47" t="str">
        <v>AAPL</v>
      </c>
      <c r="L159" s="47" t="str">
        <v>final</v>
      </c>
      <c r="M159" s="209" t="str">
        <v>HSBC</v>
      </c>
      <c r="N159" s="35">
        <v>0.23</v>
      </c>
      <c r="O159" s="35">
        <v>0.28000000000000003</v>
      </c>
      <c r="P159" s="35">
        <v>0.4</v>
      </c>
      <c r="Q159" s="21"/>
      <c r="R159" s="21"/>
      <c r="S159" s="21"/>
      <c r="T159" s="20"/>
    </row>
    <row r="160" spans="1:20" x14ac:dyDescent="0.3">
      <c r="A160" s="18"/>
      <c r="B160" s="59" t="s">
        <v>256</v>
      </c>
      <c r="C160" s="59" t="s">
        <v>781</v>
      </c>
      <c r="D160" s="61">
        <v>1.27</v>
      </c>
      <c r="E160" s="61">
        <v>1.39</v>
      </c>
      <c r="F160" s="61">
        <v>1.43</v>
      </c>
      <c r="G160" s="61">
        <v>1.23</v>
      </c>
      <c r="H160" s="61">
        <v>1.28</v>
      </c>
      <c r="I160" s="61">
        <v>1.4</v>
      </c>
      <c r="J160" s="21"/>
      <c r="K160" s="47" t="str">
        <v>IBM</v>
      </c>
      <c r="L160" s="47" t="str">
        <v>final</v>
      </c>
      <c r="M160" s="209" t="str">
        <v>GS</v>
      </c>
      <c r="N160" s="35">
        <v>0.77</v>
      </c>
      <c r="O160" s="35">
        <v>0.89</v>
      </c>
      <c r="P160" s="35">
        <v>0.93</v>
      </c>
      <c r="Q160" s="21"/>
      <c r="R160" s="21"/>
      <c r="S160" s="21"/>
      <c r="T160" s="20"/>
    </row>
    <row r="161" spans="1:20" x14ac:dyDescent="0.3">
      <c r="A161" s="18"/>
      <c r="B161" s="59" t="s">
        <v>107</v>
      </c>
      <c r="C161" s="59" t="s">
        <v>781</v>
      </c>
      <c r="D161" s="61">
        <v>0.77</v>
      </c>
      <c r="E161" s="61">
        <v>0.89</v>
      </c>
      <c r="F161" s="61">
        <v>0.93</v>
      </c>
      <c r="G161" s="61">
        <v>0.73</v>
      </c>
      <c r="H161" s="61">
        <v>0.78</v>
      </c>
      <c r="I161" s="61">
        <v>0.9</v>
      </c>
      <c r="J161" s="21"/>
      <c r="K161" s="47" t="str">
        <v>IBM</v>
      </c>
      <c r="L161" s="47" t="str">
        <v>final</v>
      </c>
      <c r="M161" s="209" t="str">
        <v>HSBC</v>
      </c>
      <c r="N161" s="35">
        <v>0.73</v>
      </c>
      <c r="O161" s="35">
        <v>0.78</v>
      </c>
      <c r="P161" s="35">
        <v>0.9</v>
      </c>
      <c r="Q161" s="21"/>
      <c r="R161" s="21"/>
      <c r="S161" s="21"/>
      <c r="T161" s="20"/>
    </row>
    <row r="162" spans="1:20" x14ac:dyDescent="0.3">
      <c r="A162" s="18"/>
      <c r="B162" s="21"/>
      <c r="C162" s="21"/>
      <c r="D162" s="21"/>
      <c r="E162" s="21"/>
      <c r="F162" s="21"/>
      <c r="G162" s="21"/>
      <c r="H162" s="21"/>
      <c r="I162" s="21"/>
      <c r="J162" s="21"/>
      <c r="K162" s="47" t="str">
        <v>MSFT</v>
      </c>
      <c r="L162" s="47" t="str">
        <v>final</v>
      </c>
      <c r="M162" s="209" t="str">
        <v>GS</v>
      </c>
      <c r="N162" s="35">
        <v>1.27</v>
      </c>
      <c r="O162" s="35">
        <v>1.39</v>
      </c>
      <c r="P162" s="35">
        <v>1.43</v>
      </c>
      <c r="Q162" s="21"/>
      <c r="R162" s="21"/>
      <c r="S162" s="21"/>
      <c r="T162" s="20"/>
    </row>
    <row r="163" spans="1:20" x14ac:dyDescent="0.3">
      <c r="A163" s="18"/>
      <c r="B163" s="21"/>
      <c r="C163" s="21"/>
      <c r="D163" s="21"/>
      <c r="E163" s="21"/>
      <c r="F163" s="21"/>
      <c r="G163" s="21"/>
      <c r="H163" s="21"/>
      <c r="I163" s="21"/>
      <c r="J163" s="21"/>
      <c r="K163" s="47" t="str">
        <v>MSFT</v>
      </c>
      <c r="L163" s="47" t="str">
        <v>final</v>
      </c>
      <c r="M163" s="209" t="str">
        <v>HSBC</v>
      </c>
      <c r="N163" s="35">
        <v>1.23</v>
      </c>
      <c r="O163" s="35">
        <v>1.28</v>
      </c>
      <c r="P163" s="35">
        <v>1.4</v>
      </c>
      <c r="Q163" s="21"/>
      <c r="R163" s="21"/>
      <c r="S163" s="21"/>
      <c r="T163" s="20"/>
    </row>
    <row r="164" spans="1:20" x14ac:dyDescent="0.3">
      <c r="A164" s="18"/>
      <c r="B164" s="21"/>
      <c r="C164" s="21"/>
      <c r="D164" s="21"/>
      <c r="E164" s="21"/>
      <c r="F164" s="21"/>
      <c r="G164" s="21"/>
      <c r="H164" s="21"/>
      <c r="I164" s="21"/>
      <c r="J164" s="21"/>
      <c r="K164" s="21"/>
      <c r="L164" s="21"/>
      <c r="M164" s="21"/>
      <c r="N164" s="21"/>
      <c r="O164" s="21"/>
      <c r="P164" s="21"/>
      <c r="Q164" s="21"/>
      <c r="R164" s="21"/>
      <c r="S164" s="21"/>
      <c r="T164" s="20"/>
    </row>
    <row r="165" spans="1:20" x14ac:dyDescent="0.3">
      <c r="A165" s="18"/>
      <c r="B165" s="21"/>
      <c r="C165" s="21"/>
      <c r="D165" s="21"/>
      <c r="E165" s="21"/>
      <c r="F165" s="21"/>
      <c r="G165" s="21"/>
      <c r="H165" s="21"/>
      <c r="I165" s="21"/>
      <c r="J165" s="21"/>
      <c r="K165" s="21"/>
      <c r="L165" s="21"/>
      <c r="M165" s="21"/>
      <c r="N165" s="21"/>
      <c r="O165" s="21"/>
      <c r="P165" s="21"/>
      <c r="Q165" s="21"/>
      <c r="R165" s="21"/>
      <c r="S165" s="21"/>
      <c r="T165" s="20"/>
    </row>
    <row r="166" spans="1:20" x14ac:dyDescent="0.3">
      <c r="A166" s="490" t="s">
        <v>3418</v>
      </c>
      <c r="B166" s="491"/>
      <c r="C166" s="491"/>
      <c r="D166" s="491"/>
      <c r="E166" s="491"/>
      <c r="F166" s="491"/>
      <c r="G166" s="491"/>
      <c r="H166" s="491"/>
      <c r="I166" s="491"/>
      <c r="J166" s="491"/>
      <c r="K166" s="491"/>
      <c r="L166" s="491"/>
      <c r="M166" s="491"/>
      <c r="N166" s="491"/>
      <c r="O166" s="491"/>
      <c r="P166" s="491"/>
      <c r="Q166" s="491"/>
      <c r="R166" s="491"/>
      <c r="S166" s="21"/>
      <c r="T166" s="20"/>
    </row>
    <row r="167" spans="1:20" x14ac:dyDescent="0.3">
      <c r="A167" s="18"/>
      <c r="B167" s="21"/>
      <c r="C167" s="21"/>
      <c r="D167" s="21"/>
      <c r="E167" s="21"/>
      <c r="F167" s="21"/>
      <c r="G167" s="21"/>
      <c r="H167" s="21"/>
      <c r="I167" s="21"/>
      <c r="J167" s="21"/>
      <c r="K167" s="21"/>
      <c r="L167" s="21"/>
      <c r="M167" s="21"/>
      <c r="N167" s="21"/>
      <c r="O167" s="21"/>
      <c r="P167" s="21"/>
      <c r="Q167" s="21"/>
      <c r="R167" s="21"/>
      <c r="S167" s="21"/>
      <c r="T167" s="20"/>
    </row>
    <row r="168" spans="1:20" x14ac:dyDescent="0.3">
      <c r="A168" s="18"/>
      <c r="B168" s="21"/>
      <c r="C168" s="21"/>
      <c r="D168" s="21"/>
      <c r="E168" s="21"/>
      <c r="F168" s="21"/>
      <c r="G168" s="21"/>
      <c r="H168" s="21"/>
      <c r="I168" s="21"/>
      <c r="J168" s="21"/>
      <c r="K168" s="21"/>
      <c r="L168" s="21"/>
      <c r="M168" s="21"/>
      <c r="N168" s="21"/>
      <c r="O168" s="21"/>
      <c r="P168" s="21"/>
      <c r="Q168" s="21"/>
      <c r="R168" s="21"/>
      <c r="S168" s="21"/>
      <c r="T168" s="20"/>
    </row>
    <row r="169" spans="1:20" x14ac:dyDescent="0.3">
      <c r="A169" s="18"/>
      <c r="B169" s="3" t="s">
        <v>2</v>
      </c>
      <c r="C169" s="195" t="s">
        <v>630</v>
      </c>
      <c r="D169" s="3" t="s">
        <v>1019</v>
      </c>
      <c r="E169" s="21"/>
      <c r="F169" s="21"/>
      <c r="G169" s="21"/>
      <c r="H169" s="21"/>
      <c r="I169" s="483" t="s">
        <v>3418</v>
      </c>
      <c r="J169" s="483"/>
      <c r="K169" s="483"/>
      <c r="L169" s="483"/>
      <c r="M169" s="21"/>
      <c r="N169" s="21"/>
      <c r="O169" s="21"/>
      <c r="P169" s="21"/>
      <c r="Q169" s="21"/>
      <c r="R169" s="21"/>
      <c r="S169" s="21"/>
      <c r="T169" s="20"/>
    </row>
    <row r="170" spans="1:20" x14ac:dyDescent="0.3">
      <c r="A170" s="18"/>
      <c r="B170" s="181" t="s">
        <v>106</v>
      </c>
      <c r="C170" s="202">
        <v>43101</v>
      </c>
      <c r="D170" s="203">
        <v>0.27</v>
      </c>
      <c r="E170" s="21"/>
      <c r="F170" s="21"/>
      <c r="G170" s="21"/>
      <c r="H170" s="21"/>
      <c r="I170" s="205" t="str">
        <f t="array" ref="I170:L173">_xll.U.TABLE_TO_GRID(B169:D178,"Symbol","Date","Estimate")</f>
        <v/>
      </c>
      <c r="J170" s="204">
        <v>43101</v>
      </c>
      <c r="K170" s="204">
        <v>43160</v>
      </c>
      <c r="L170" s="204">
        <v>43252</v>
      </c>
      <c r="M170" s="21"/>
      <c r="N170" s="21"/>
      <c r="O170" s="21"/>
      <c r="P170" s="21"/>
      <c r="Q170" s="21"/>
      <c r="R170" s="21"/>
      <c r="S170" s="21"/>
      <c r="T170" s="20"/>
    </row>
    <row r="171" spans="1:20" x14ac:dyDescent="0.3">
      <c r="A171" s="18"/>
      <c r="B171" s="181" t="s">
        <v>106</v>
      </c>
      <c r="C171" s="202">
        <v>43160</v>
      </c>
      <c r="D171" s="203">
        <v>0.39</v>
      </c>
      <c r="E171" s="21"/>
      <c r="F171" s="21"/>
      <c r="G171" s="21"/>
      <c r="H171" s="21"/>
      <c r="I171" s="3" t="str">
        <v>AAPL</v>
      </c>
      <c r="J171" s="35">
        <v>0.27</v>
      </c>
      <c r="K171" s="35">
        <v>0.39</v>
      </c>
      <c r="L171" s="35">
        <v>0.43</v>
      </c>
      <c r="M171" s="21"/>
      <c r="N171" s="21"/>
      <c r="O171" s="21"/>
      <c r="P171" s="21"/>
      <c r="Q171" s="21"/>
      <c r="R171" s="21"/>
      <c r="S171" s="21"/>
      <c r="T171" s="20"/>
    </row>
    <row r="172" spans="1:20" x14ac:dyDescent="0.3">
      <c r="A172" s="18"/>
      <c r="B172" s="181" t="s">
        <v>106</v>
      </c>
      <c r="C172" s="202">
        <v>43252</v>
      </c>
      <c r="D172" s="203">
        <v>0.43</v>
      </c>
      <c r="E172" s="21"/>
      <c r="F172" s="21"/>
      <c r="G172" s="21"/>
      <c r="H172" s="21"/>
      <c r="I172" s="3" t="str">
        <v>IBM</v>
      </c>
      <c r="J172" s="35">
        <v>0.77</v>
      </c>
      <c r="K172" s="35">
        <v>0.89</v>
      </c>
      <c r="L172" s="35">
        <v>0.93</v>
      </c>
      <c r="M172" s="21"/>
      <c r="N172" s="21"/>
      <c r="O172" s="21"/>
      <c r="P172" s="21"/>
      <c r="Q172" s="21"/>
      <c r="R172" s="21"/>
      <c r="S172" s="21"/>
      <c r="T172" s="20"/>
    </row>
    <row r="173" spans="1:20" x14ac:dyDescent="0.3">
      <c r="A173" s="18"/>
      <c r="B173" s="181" t="s">
        <v>256</v>
      </c>
      <c r="C173" s="202">
        <v>43101</v>
      </c>
      <c r="D173" s="203">
        <v>1.27</v>
      </c>
      <c r="E173" s="21"/>
      <c r="F173" s="21"/>
      <c r="G173" s="21"/>
      <c r="H173" s="21"/>
      <c r="I173" s="3" t="str">
        <v>MSFT</v>
      </c>
      <c r="J173" s="35">
        <v>1.27</v>
      </c>
      <c r="K173" s="35">
        <v>1.39</v>
      </c>
      <c r="L173" s="35">
        <v>1.43</v>
      </c>
      <c r="M173" s="21"/>
      <c r="N173" s="21"/>
      <c r="O173" s="21"/>
      <c r="P173" s="21"/>
      <c r="Q173" s="21"/>
      <c r="R173" s="21"/>
      <c r="S173" s="21"/>
      <c r="T173" s="20"/>
    </row>
    <row r="174" spans="1:20" x14ac:dyDescent="0.3">
      <c r="A174" s="18"/>
      <c r="B174" s="181" t="s">
        <v>256</v>
      </c>
      <c r="C174" s="202">
        <v>43160</v>
      </c>
      <c r="D174" s="203">
        <v>1.39</v>
      </c>
      <c r="E174" s="21"/>
      <c r="F174" s="21"/>
      <c r="G174" s="21"/>
      <c r="H174" s="21"/>
      <c r="I174" s="21"/>
      <c r="J174" s="21"/>
      <c r="K174" s="21"/>
      <c r="L174" s="21"/>
      <c r="M174" s="21"/>
      <c r="N174" s="21"/>
      <c r="O174" s="21"/>
      <c r="P174" s="21"/>
      <c r="Q174" s="21"/>
      <c r="R174" s="21"/>
      <c r="S174" s="21"/>
      <c r="T174" s="20"/>
    </row>
    <row r="175" spans="1:20" x14ac:dyDescent="0.3">
      <c r="A175" s="18"/>
      <c r="B175" s="181" t="s">
        <v>256</v>
      </c>
      <c r="C175" s="202">
        <v>43252</v>
      </c>
      <c r="D175" s="203">
        <v>1.43</v>
      </c>
      <c r="E175" s="21"/>
      <c r="F175" s="21"/>
      <c r="G175" s="21"/>
      <c r="H175" s="21"/>
      <c r="I175" s="21"/>
      <c r="J175" s="21"/>
      <c r="K175" s="21"/>
      <c r="L175" s="21"/>
      <c r="M175" s="21"/>
      <c r="N175" s="21"/>
      <c r="O175" s="21"/>
      <c r="P175" s="21"/>
      <c r="Q175" s="21"/>
      <c r="R175" s="21"/>
      <c r="S175" s="21"/>
      <c r="T175" s="20"/>
    </row>
    <row r="176" spans="1:20" x14ac:dyDescent="0.3">
      <c r="A176" s="18"/>
      <c r="B176" s="181" t="s">
        <v>107</v>
      </c>
      <c r="C176" s="202">
        <v>43101</v>
      </c>
      <c r="D176" s="203">
        <v>0.77</v>
      </c>
      <c r="E176" s="21"/>
      <c r="F176" s="21"/>
      <c r="G176" s="21"/>
      <c r="H176" s="21"/>
      <c r="I176" s="21"/>
      <c r="J176" s="21"/>
      <c r="K176" s="21"/>
      <c r="L176" s="21"/>
      <c r="M176" s="21"/>
      <c r="N176" s="21"/>
      <c r="O176" s="21"/>
      <c r="P176" s="21"/>
      <c r="Q176" s="21"/>
      <c r="R176" s="21"/>
      <c r="S176" s="21"/>
      <c r="T176" s="20"/>
    </row>
    <row r="177" spans="1:20" x14ac:dyDescent="0.3">
      <c r="A177" s="18"/>
      <c r="B177" s="181" t="s">
        <v>107</v>
      </c>
      <c r="C177" s="202">
        <v>43160</v>
      </c>
      <c r="D177" s="203">
        <v>0.89</v>
      </c>
      <c r="E177" s="21"/>
      <c r="F177" s="21"/>
      <c r="G177" s="21"/>
      <c r="H177" s="21"/>
      <c r="I177" s="21"/>
      <c r="J177" s="21"/>
      <c r="K177" s="21"/>
      <c r="L177" s="21"/>
      <c r="M177" s="21"/>
      <c r="N177" s="21"/>
      <c r="O177" s="21"/>
      <c r="P177" s="21"/>
      <c r="Q177" s="21"/>
      <c r="R177" s="21"/>
      <c r="S177" s="21"/>
      <c r="T177" s="20"/>
    </row>
    <row r="178" spans="1:20" x14ac:dyDescent="0.3">
      <c r="A178" s="18"/>
      <c r="B178" s="181" t="s">
        <v>107</v>
      </c>
      <c r="C178" s="202">
        <v>43252</v>
      </c>
      <c r="D178" s="203">
        <v>0.93</v>
      </c>
      <c r="E178" s="21"/>
      <c r="F178" s="21"/>
      <c r="G178" s="21"/>
      <c r="H178" s="21"/>
      <c r="I178" s="21"/>
      <c r="J178" s="21"/>
      <c r="K178" s="21"/>
      <c r="L178" s="21"/>
      <c r="M178" s="21"/>
      <c r="N178" s="21"/>
      <c r="O178" s="21"/>
      <c r="P178" s="21"/>
      <c r="Q178" s="21"/>
      <c r="R178" s="21"/>
      <c r="S178" s="21"/>
      <c r="T178" s="20"/>
    </row>
    <row r="179" spans="1:20" x14ac:dyDescent="0.3">
      <c r="A179" s="18"/>
      <c r="B179" s="21"/>
      <c r="C179" s="21"/>
      <c r="D179" s="21"/>
      <c r="E179" s="21"/>
      <c r="F179" s="21"/>
      <c r="G179" s="21"/>
      <c r="H179" s="21"/>
      <c r="I179" s="21"/>
      <c r="J179" s="21"/>
      <c r="K179" s="21"/>
      <c r="L179" s="21"/>
      <c r="M179" s="21"/>
      <c r="N179" s="21"/>
      <c r="O179" s="21"/>
      <c r="P179" s="21"/>
      <c r="Q179" s="21"/>
      <c r="R179" s="21"/>
      <c r="S179" s="21"/>
      <c r="T179" s="20"/>
    </row>
    <row r="180" spans="1:20" x14ac:dyDescent="0.3">
      <c r="A180" s="18"/>
      <c r="B180" s="21"/>
      <c r="C180" s="21"/>
      <c r="D180" s="21"/>
      <c r="E180" s="21"/>
      <c r="F180" s="21"/>
      <c r="G180" s="21"/>
      <c r="H180" s="21"/>
      <c r="I180" s="21"/>
      <c r="J180" s="21"/>
      <c r="K180" s="21"/>
      <c r="L180" s="21"/>
      <c r="M180" s="21"/>
      <c r="N180" s="21"/>
      <c r="O180" s="21"/>
      <c r="P180" s="21"/>
      <c r="Q180" s="21"/>
      <c r="R180" s="21"/>
      <c r="S180" s="21"/>
      <c r="T180" s="20"/>
    </row>
    <row r="181" spans="1:20" x14ac:dyDescent="0.3">
      <c r="A181" s="18"/>
      <c r="B181" s="21"/>
      <c r="C181" s="21"/>
      <c r="D181" s="21"/>
      <c r="E181" s="21"/>
      <c r="F181" s="21"/>
      <c r="G181" s="21"/>
      <c r="H181" s="21"/>
      <c r="I181" s="21"/>
      <c r="J181" s="21"/>
      <c r="K181" s="21"/>
      <c r="L181" s="21"/>
      <c r="M181" s="21"/>
      <c r="N181" s="21"/>
      <c r="O181" s="21"/>
      <c r="P181" s="21"/>
      <c r="Q181" s="21"/>
      <c r="R181" s="21"/>
      <c r="S181" s="21"/>
      <c r="T181" s="20"/>
    </row>
    <row r="182" spans="1:20" x14ac:dyDescent="0.3">
      <c r="A182" s="18"/>
      <c r="B182" s="21"/>
      <c r="C182" s="21"/>
      <c r="D182" s="21"/>
      <c r="E182" s="21"/>
      <c r="F182" s="21"/>
      <c r="G182" s="21"/>
      <c r="H182" s="21"/>
      <c r="I182" s="21"/>
      <c r="J182" s="21"/>
      <c r="K182" s="21"/>
      <c r="L182" s="21"/>
      <c r="M182" s="21"/>
      <c r="N182" s="21"/>
      <c r="O182" s="21"/>
      <c r="P182" s="21"/>
      <c r="Q182" s="21"/>
      <c r="R182" s="21"/>
      <c r="S182" s="21"/>
      <c r="T182" s="20"/>
    </row>
    <row r="183" spans="1:20" x14ac:dyDescent="0.3">
      <c r="A183" s="18"/>
      <c r="B183" s="3" t="s">
        <v>2</v>
      </c>
      <c r="C183" s="3" t="s">
        <v>263</v>
      </c>
      <c r="D183" s="3" t="s">
        <v>1017</v>
      </c>
      <c r="E183" s="195" t="s">
        <v>630</v>
      </c>
      <c r="F183" s="5" t="s">
        <v>1019</v>
      </c>
      <c r="G183" s="21"/>
      <c r="H183" s="21"/>
      <c r="I183" s="21" t="str">
        <f t="array" ref="I183:P190">_xll.U.TABLE_TO_GRID(B183:F219,"Time,Symbol","Firm,Date","Estimate")</f>
        <v/>
      </c>
      <c r="J183" s="21" t="str">
        <v/>
      </c>
      <c r="K183" s="3" t="str">
        <v>GS</v>
      </c>
      <c r="L183" s="3" t="str">
        <v>GS</v>
      </c>
      <c r="M183" s="3" t="str">
        <v>GS</v>
      </c>
      <c r="N183" s="3" t="str">
        <v>HSBC</v>
      </c>
      <c r="O183" s="3" t="str">
        <v>HSBC</v>
      </c>
      <c r="P183" s="3" t="str">
        <v>HSBC</v>
      </c>
      <c r="Q183" s="21"/>
      <c r="R183" s="21"/>
      <c r="S183" s="21"/>
      <c r="T183" s="20"/>
    </row>
    <row r="184" spans="1:20" x14ac:dyDescent="0.3">
      <c r="A184" s="18"/>
      <c r="B184" s="181" t="s">
        <v>106</v>
      </c>
      <c r="C184" s="181" t="s">
        <v>1187</v>
      </c>
      <c r="D184" s="181" t="s">
        <v>778</v>
      </c>
      <c r="E184" s="202">
        <v>43101</v>
      </c>
      <c r="F184" s="203">
        <v>0.25</v>
      </c>
      <c r="G184" s="21"/>
      <c r="H184" s="21"/>
      <c r="I184" s="21" t="str">
        <v/>
      </c>
      <c r="J184" s="21" t="str">
        <v/>
      </c>
      <c r="K184" s="195">
        <v>43101</v>
      </c>
      <c r="L184" s="195">
        <v>43160</v>
      </c>
      <c r="M184" s="195">
        <v>43252</v>
      </c>
      <c r="N184" s="195">
        <v>43101</v>
      </c>
      <c r="O184" s="195">
        <v>43160</v>
      </c>
      <c r="P184" s="195">
        <v>43252</v>
      </c>
      <c r="Q184" s="21"/>
      <c r="R184" s="21"/>
      <c r="S184" s="21"/>
      <c r="T184" s="20"/>
    </row>
    <row r="185" spans="1:20" x14ac:dyDescent="0.3">
      <c r="A185" s="18"/>
      <c r="B185" s="181" t="s">
        <v>106</v>
      </c>
      <c r="C185" s="181" t="s">
        <v>1187</v>
      </c>
      <c r="D185" s="181" t="s">
        <v>778</v>
      </c>
      <c r="E185" s="202">
        <v>43160</v>
      </c>
      <c r="F185" s="203">
        <v>0.37</v>
      </c>
      <c r="G185" s="21"/>
      <c r="H185" s="21"/>
      <c r="I185" s="3" t="str">
        <v>EARLY</v>
      </c>
      <c r="J185" s="3" t="str">
        <v>AAPL</v>
      </c>
      <c r="K185" s="35">
        <v>0.25</v>
      </c>
      <c r="L185" s="35">
        <v>0.37</v>
      </c>
      <c r="M185" s="35">
        <v>0.41</v>
      </c>
      <c r="N185" s="35">
        <v>0.24</v>
      </c>
      <c r="O185" s="35">
        <v>0.36</v>
      </c>
      <c r="P185" s="35">
        <v>0.42</v>
      </c>
      <c r="Q185" s="21"/>
      <c r="R185" s="21"/>
      <c r="S185" s="21"/>
      <c r="T185" s="20"/>
    </row>
    <row r="186" spans="1:20" x14ac:dyDescent="0.3">
      <c r="A186" s="18"/>
      <c r="B186" s="181" t="s">
        <v>106</v>
      </c>
      <c r="C186" s="181" t="s">
        <v>1187</v>
      </c>
      <c r="D186" s="181" t="s">
        <v>778</v>
      </c>
      <c r="E186" s="202">
        <v>43252</v>
      </c>
      <c r="F186" s="203">
        <v>0.41</v>
      </c>
      <c r="G186" s="21"/>
      <c r="H186" s="21"/>
      <c r="I186" s="3" t="str">
        <v>EARLY</v>
      </c>
      <c r="J186" s="3" t="str">
        <v>IBM</v>
      </c>
      <c r="K186" s="35">
        <v>0.75</v>
      </c>
      <c r="L186" s="35">
        <v>0.87</v>
      </c>
      <c r="M186" s="35">
        <v>0.91</v>
      </c>
      <c r="N186" s="35">
        <v>0.74</v>
      </c>
      <c r="O186" s="35">
        <v>0.86</v>
      </c>
      <c r="P186" s="35">
        <v>0.92</v>
      </c>
      <c r="Q186" s="21"/>
      <c r="R186" s="21"/>
      <c r="S186" s="21"/>
      <c r="T186" s="20"/>
    </row>
    <row r="187" spans="1:20" x14ac:dyDescent="0.3">
      <c r="A187" s="18"/>
      <c r="B187" s="181" t="s">
        <v>106</v>
      </c>
      <c r="C187" s="181" t="s">
        <v>1187</v>
      </c>
      <c r="D187" s="181" t="s">
        <v>779</v>
      </c>
      <c r="E187" s="202">
        <v>43101</v>
      </c>
      <c r="F187" s="203">
        <v>0.24</v>
      </c>
      <c r="G187" s="21"/>
      <c r="H187" s="21"/>
      <c r="I187" s="3" t="str">
        <v>EARLY</v>
      </c>
      <c r="J187" s="3" t="str">
        <v>MSFT</v>
      </c>
      <c r="K187" s="35">
        <v>1.25</v>
      </c>
      <c r="L187" s="35">
        <v>1.37</v>
      </c>
      <c r="M187" s="35">
        <v>1.41</v>
      </c>
      <c r="N187" s="35">
        <v>1.24</v>
      </c>
      <c r="O187" s="35">
        <v>1.36</v>
      </c>
      <c r="P187" s="35">
        <v>1.42</v>
      </c>
      <c r="Q187" s="21"/>
      <c r="R187" s="21"/>
      <c r="S187" s="21"/>
      <c r="T187" s="20"/>
    </row>
    <row r="188" spans="1:20" x14ac:dyDescent="0.3">
      <c r="A188" s="18"/>
      <c r="B188" s="181" t="s">
        <v>106</v>
      </c>
      <c r="C188" s="181" t="s">
        <v>1187</v>
      </c>
      <c r="D188" s="181" t="s">
        <v>779</v>
      </c>
      <c r="E188" s="202">
        <v>43160</v>
      </c>
      <c r="F188" s="203">
        <v>0.36</v>
      </c>
      <c r="G188" s="21"/>
      <c r="H188" s="21"/>
      <c r="I188" s="3" t="str">
        <v>FINAL</v>
      </c>
      <c r="J188" s="3" t="str">
        <v>AAPL</v>
      </c>
      <c r="K188" s="35">
        <v>0.27</v>
      </c>
      <c r="L188" s="35">
        <v>0.39</v>
      </c>
      <c r="M188" s="35">
        <v>0.43</v>
      </c>
      <c r="N188" s="35">
        <v>0.23</v>
      </c>
      <c r="O188" s="35">
        <v>0.28000000000000003</v>
      </c>
      <c r="P188" s="35">
        <v>0.4</v>
      </c>
      <c r="Q188" s="21"/>
      <c r="R188" s="21"/>
      <c r="S188" s="21"/>
      <c r="T188" s="20"/>
    </row>
    <row r="189" spans="1:20" x14ac:dyDescent="0.3">
      <c r="A189" s="18"/>
      <c r="B189" s="181" t="s">
        <v>106</v>
      </c>
      <c r="C189" s="181" t="s">
        <v>1187</v>
      </c>
      <c r="D189" s="181" t="s">
        <v>779</v>
      </c>
      <c r="E189" s="202">
        <v>43252</v>
      </c>
      <c r="F189" s="203">
        <v>0.42</v>
      </c>
      <c r="G189" s="21"/>
      <c r="H189" s="21"/>
      <c r="I189" s="3" t="str">
        <v>FINAL</v>
      </c>
      <c r="J189" s="3" t="str">
        <v>IBM</v>
      </c>
      <c r="K189" s="35">
        <v>0.77</v>
      </c>
      <c r="L189" s="35">
        <v>0.89</v>
      </c>
      <c r="M189" s="35">
        <v>0.93</v>
      </c>
      <c r="N189" s="35">
        <v>0.73</v>
      </c>
      <c r="O189" s="35">
        <v>0.78</v>
      </c>
      <c r="P189" s="35">
        <v>0.9</v>
      </c>
      <c r="Q189" s="21"/>
      <c r="R189" s="21"/>
      <c r="S189" s="21"/>
      <c r="T189" s="20"/>
    </row>
    <row r="190" spans="1:20" x14ac:dyDescent="0.3">
      <c r="A190" s="18"/>
      <c r="B190" s="181" t="s">
        <v>106</v>
      </c>
      <c r="C190" s="181" t="s">
        <v>1188</v>
      </c>
      <c r="D190" s="181" t="s">
        <v>778</v>
      </c>
      <c r="E190" s="202">
        <v>43101</v>
      </c>
      <c r="F190" s="203">
        <v>0.27</v>
      </c>
      <c r="G190" s="21"/>
      <c r="H190" s="21"/>
      <c r="I190" s="3" t="str">
        <v>FINAL</v>
      </c>
      <c r="J190" s="3" t="str">
        <v>MSFT</v>
      </c>
      <c r="K190" s="35">
        <v>1.27</v>
      </c>
      <c r="L190" s="35">
        <v>1.39</v>
      </c>
      <c r="M190" s="35">
        <v>1.43</v>
      </c>
      <c r="N190" s="35">
        <v>1.23</v>
      </c>
      <c r="O190" s="35">
        <v>1.28</v>
      </c>
      <c r="P190" s="35">
        <v>1.4</v>
      </c>
      <c r="Q190" s="21"/>
      <c r="R190" s="21"/>
      <c r="S190" s="21"/>
      <c r="T190" s="20"/>
    </row>
    <row r="191" spans="1:20" x14ac:dyDescent="0.3">
      <c r="A191" s="18"/>
      <c r="B191" s="181" t="s">
        <v>106</v>
      </c>
      <c r="C191" s="181" t="s">
        <v>1188</v>
      </c>
      <c r="D191" s="181" t="s">
        <v>778</v>
      </c>
      <c r="E191" s="202">
        <v>43160</v>
      </c>
      <c r="F191" s="203">
        <v>0.39</v>
      </c>
      <c r="G191" s="21"/>
      <c r="H191" s="21"/>
      <c r="I191" s="21"/>
      <c r="J191" s="21"/>
      <c r="K191" s="21"/>
      <c r="L191" s="21"/>
      <c r="M191" s="21"/>
      <c r="N191" s="21"/>
      <c r="O191" s="21"/>
      <c r="P191" s="21"/>
      <c r="Q191" s="21"/>
      <c r="R191" s="21"/>
      <c r="S191" s="21"/>
      <c r="T191" s="20"/>
    </row>
    <row r="192" spans="1:20" x14ac:dyDescent="0.3">
      <c r="A192" s="18"/>
      <c r="B192" s="181" t="s">
        <v>106</v>
      </c>
      <c r="C192" s="181" t="s">
        <v>1188</v>
      </c>
      <c r="D192" s="181" t="s">
        <v>778</v>
      </c>
      <c r="E192" s="202">
        <v>43252</v>
      </c>
      <c r="F192" s="203">
        <v>0.43</v>
      </c>
      <c r="G192" s="21"/>
      <c r="H192" s="21"/>
      <c r="I192" s="21" t="str">
        <f t="array" ref="I192:M210">_xll.U.FILL_LABELS(_xll.U.TABLE_TO_GRID(B184:F219,"2,1,4","3",5),3,,,,,,TRUE)</f>
        <v/>
      </c>
      <c r="J192" s="21" t="str">
        <v/>
      </c>
      <c r="K192" s="21" t="str">
        <v/>
      </c>
      <c r="L192" s="3" t="str">
        <v>GS</v>
      </c>
      <c r="M192" s="3" t="str">
        <v>HSBC</v>
      </c>
      <c r="N192" s="21"/>
      <c r="O192" s="21"/>
      <c r="P192" s="21"/>
      <c r="Q192" s="21"/>
      <c r="R192" s="21"/>
      <c r="S192" s="21"/>
      <c r="T192" s="20"/>
    </row>
    <row r="193" spans="1:20" x14ac:dyDescent="0.3">
      <c r="A193" s="18"/>
      <c r="B193" s="181" t="s">
        <v>106</v>
      </c>
      <c r="C193" s="181" t="s">
        <v>1188</v>
      </c>
      <c r="D193" s="181" t="s">
        <v>779</v>
      </c>
      <c r="E193" s="202">
        <v>43101</v>
      </c>
      <c r="F193" s="203">
        <v>0.23</v>
      </c>
      <c r="G193" s="21"/>
      <c r="H193" s="21"/>
      <c r="I193" s="3" t="str">
        <v>EARLY</v>
      </c>
      <c r="J193" s="3" t="str">
        <v>AAPL</v>
      </c>
      <c r="K193" s="195">
        <v>43101</v>
      </c>
      <c r="L193" s="207">
        <v>0.25</v>
      </c>
      <c r="M193" s="207">
        <v>0.24</v>
      </c>
      <c r="N193" s="21"/>
      <c r="O193" s="21"/>
      <c r="P193" s="21"/>
      <c r="Q193" s="21"/>
      <c r="R193" s="21"/>
      <c r="S193" s="21"/>
      <c r="T193" s="20"/>
    </row>
    <row r="194" spans="1:20" x14ac:dyDescent="0.3">
      <c r="A194" s="18"/>
      <c r="B194" s="181" t="s">
        <v>106</v>
      </c>
      <c r="C194" s="181" t="s">
        <v>1188</v>
      </c>
      <c r="D194" s="181" t="s">
        <v>779</v>
      </c>
      <c r="E194" s="202">
        <v>43160</v>
      </c>
      <c r="F194" s="203">
        <v>0.28000000000000003</v>
      </c>
      <c r="G194" s="21"/>
      <c r="H194" s="21"/>
      <c r="I194" s="3" t="str">
        <v/>
      </c>
      <c r="J194" s="3" t="str">
        <v/>
      </c>
      <c r="K194" s="206">
        <v>43160</v>
      </c>
      <c r="L194" s="207">
        <v>0.37</v>
      </c>
      <c r="M194" s="207">
        <v>0.36</v>
      </c>
      <c r="N194" s="21"/>
      <c r="O194" s="21"/>
      <c r="P194" s="21"/>
      <c r="Q194" s="21"/>
      <c r="R194" s="21"/>
      <c r="S194" s="21"/>
      <c r="T194" s="20"/>
    </row>
    <row r="195" spans="1:20" x14ac:dyDescent="0.3">
      <c r="A195" s="18"/>
      <c r="B195" s="181" t="s">
        <v>106</v>
      </c>
      <c r="C195" s="181" t="s">
        <v>1188</v>
      </c>
      <c r="D195" s="181" t="s">
        <v>779</v>
      </c>
      <c r="E195" s="202">
        <v>43252</v>
      </c>
      <c r="F195" s="203">
        <v>0.4</v>
      </c>
      <c r="G195" s="21"/>
      <c r="H195" s="21"/>
      <c r="I195" s="3" t="str">
        <v/>
      </c>
      <c r="J195" s="3" t="str">
        <v/>
      </c>
      <c r="K195" s="206">
        <v>43252</v>
      </c>
      <c r="L195" s="207">
        <v>0.41</v>
      </c>
      <c r="M195" s="207">
        <v>0.42</v>
      </c>
      <c r="N195" s="21"/>
      <c r="O195" s="21"/>
      <c r="P195" s="21"/>
      <c r="Q195" s="21"/>
      <c r="R195" s="21"/>
      <c r="S195" s="21"/>
      <c r="T195" s="20"/>
    </row>
    <row r="196" spans="1:20" x14ac:dyDescent="0.3">
      <c r="A196" s="18"/>
      <c r="B196" s="181" t="s">
        <v>256</v>
      </c>
      <c r="C196" s="181" t="s">
        <v>1187</v>
      </c>
      <c r="D196" s="181" t="s">
        <v>778</v>
      </c>
      <c r="E196" s="202">
        <v>43101</v>
      </c>
      <c r="F196" s="203">
        <v>1.25</v>
      </c>
      <c r="G196" s="21"/>
      <c r="H196" s="21"/>
      <c r="I196" s="3" t="str">
        <v/>
      </c>
      <c r="J196" s="3" t="str">
        <v>IBM</v>
      </c>
      <c r="K196" s="206">
        <v>43101</v>
      </c>
      <c r="L196" s="207">
        <v>0.75</v>
      </c>
      <c r="M196" s="207">
        <v>0.74</v>
      </c>
      <c r="N196" s="21"/>
      <c r="O196" s="21"/>
      <c r="P196" s="21"/>
      <c r="Q196" s="21"/>
      <c r="R196" s="21"/>
      <c r="S196" s="21"/>
      <c r="T196" s="20"/>
    </row>
    <row r="197" spans="1:20" x14ac:dyDescent="0.3">
      <c r="A197" s="18"/>
      <c r="B197" s="181" t="s">
        <v>256</v>
      </c>
      <c r="C197" s="181" t="s">
        <v>1187</v>
      </c>
      <c r="D197" s="181" t="s">
        <v>778</v>
      </c>
      <c r="E197" s="202">
        <v>43160</v>
      </c>
      <c r="F197" s="203">
        <v>1.37</v>
      </c>
      <c r="G197" s="21"/>
      <c r="H197" s="21"/>
      <c r="I197" s="3" t="str">
        <v/>
      </c>
      <c r="J197" s="3" t="str">
        <v/>
      </c>
      <c r="K197" s="195">
        <v>43160</v>
      </c>
      <c r="L197" s="207">
        <v>0.87</v>
      </c>
      <c r="M197" s="207">
        <v>0.86</v>
      </c>
      <c r="N197" s="21"/>
      <c r="O197" s="21"/>
      <c r="P197" s="21"/>
      <c r="Q197" s="21"/>
      <c r="R197" s="21"/>
      <c r="S197" s="21"/>
      <c r="T197" s="20"/>
    </row>
    <row r="198" spans="1:20" x14ac:dyDescent="0.3">
      <c r="A198" s="18"/>
      <c r="B198" s="181" t="s">
        <v>256</v>
      </c>
      <c r="C198" s="181" t="s">
        <v>1187</v>
      </c>
      <c r="D198" s="181" t="s">
        <v>778</v>
      </c>
      <c r="E198" s="202">
        <v>43252</v>
      </c>
      <c r="F198" s="203">
        <v>1.41</v>
      </c>
      <c r="G198" s="21"/>
      <c r="H198" s="21"/>
      <c r="I198" s="3" t="str">
        <v/>
      </c>
      <c r="J198" s="3" t="str">
        <v/>
      </c>
      <c r="K198" s="195">
        <v>43252</v>
      </c>
      <c r="L198" s="207">
        <v>0.91</v>
      </c>
      <c r="M198" s="207">
        <v>0.92</v>
      </c>
      <c r="N198" s="21"/>
      <c r="O198" s="21"/>
      <c r="P198" s="21"/>
      <c r="Q198" s="21"/>
      <c r="R198" s="21"/>
      <c r="S198" s="21"/>
      <c r="T198" s="20"/>
    </row>
    <row r="199" spans="1:20" x14ac:dyDescent="0.3">
      <c r="A199" s="18"/>
      <c r="B199" s="181" t="s">
        <v>256</v>
      </c>
      <c r="C199" s="181" t="s">
        <v>1187</v>
      </c>
      <c r="D199" s="181" t="s">
        <v>779</v>
      </c>
      <c r="E199" s="202">
        <v>43101</v>
      </c>
      <c r="F199" s="203">
        <v>1.24</v>
      </c>
      <c r="G199" s="21"/>
      <c r="H199" s="21"/>
      <c r="I199" s="3" t="str">
        <v/>
      </c>
      <c r="J199" s="3" t="str">
        <v>MSFT</v>
      </c>
      <c r="K199" s="195">
        <v>43101</v>
      </c>
      <c r="L199" s="207">
        <v>1.25</v>
      </c>
      <c r="M199" s="207">
        <v>1.24</v>
      </c>
      <c r="N199" s="21"/>
      <c r="O199" s="21"/>
      <c r="P199" s="21"/>
      <c r="Q199" s="21"/>
      <c r="R199" s="21"/>
      <c r="S199" s="21"/>
      <c r="T199" s="20"/>
    </row>
    <row r="200" spans="1:20" x14ac:dyDescent="0.3">
      <c r="A200" s="18"/>
      <c r="B200" s="181" t="s">
        <v>256</v>
      </c>
      <c r="C200" s="181" t="s">
        <v>1187</v>
      </c>
      <c r="D200" s="181" t="s">
        <v>779</v>
      </c>
      <c r="E200" s="202">
        <v>43160</v>
      </c>
      <c r="F200" s="203">
        <v>1.36</v>
      </c>
      <c r="G200" s="21"/>
      <c r="H200" s="21"/>
      <c r="I200" s="3" t="str">
        <v/>
      </c>
      <c r="J200" s="3" t="str">
        <v/>
      </c>
      <c r="K200" s="195">
        <v>43160</v>
      </c>
      <c r="L200" s="207">
        <v>1.37</v>
      </c>
      <c r="M200" s="207">
        <v>1.36</v>
      </c>
      <c r="N200" s="21"/>
      <c r="O200" s="21"/>
      <c r="P200" s="21"/>
      <c r="Q200" s="21"/>
      <c r="R200" s="21"/>
      <c r="S200" s="21"/>
      <c r="T200" s="20"/>
    </row>
    <row r="201" spans="1:20" x14ac:dyDescent="0.3">
      <c r="A201" s="18"/>
      <c r="B201" s="181" t="s">
        <v>256</v>
      </c>
      <c r="C201" s="181" t="s">
        <v>1187</v>
      </c>
      <c r="D201" s="181" t="s">
        <v>779</v>
      </c>
      <c r="E201" s="202">
        <v>43252</v>
      </c>
      <c r="F201" s="203">
        <v>1.42</v>
      </c>
      <c r="G201" s="21"/>
      <c r="H201" s="21"/>
      <c r="I201" s="3" t="str">
        <v/>
      </c>
      <c r="J201" s="3" t="str">
        <v/>
      </c>
      <c r="K201" s="195">
        <v>43252</v>
      </c>
      <c r="L201" s="207">
        <v>1.41</v>
      </c>
      <c r="M201" s="207">
        <v>1.42</v>
      </c>
      <c r="N201" s="21"/>
      <c r="O201" s="21"/>
      <c r="P201" s="21"/>
      <c r="Q201" s="21"/>
      <c r="R201" s="21"/>
      <c r="S201" s="21"/>
      <c r="T201" s="20"/>
    </row>
    <row r="202" spans="1:20" x14ac:dyDescent="0.3">
      <c r="A202" s="18"/>
      <c r="B202" s="181" t="s">
        <v>256</v>
      </c>
      <c r="C202" s="181" t="s">
        <v>1188</v>
      </c>
      <c r="D202" s="181" t="s">
        <v>778</v>
      </c>
      <c r="E202" s="202">
        <v>43101</v>
      </c>
      <c r="F202" s="203">
        <v>1.27</v>
      </c>
      <c r="G202" s="21"/>
      <c r="H202" s="21"/>
      <c r="I202" s="3" t="str">
        <v>FINAL</v>
      </c>
      <c r="J202" s="3" t="str">
        <v>AAPL</v>
      </c>
      <c r="K202" s="195">
        <v>43101</v>
      </c>
      <c r="L202" s="207">
        <v>0.27</v>
      </c>
      <c r="M202" s="207">
        <v>0.23</v>
      </c>
      <c r="N202" s="21"/>
      <c r="O202" s="21"/>
      <c r="P202" s="21"/>
      <c r="Q202" s="21"/>
      <c r="R202" s="21"/>
      <c r="S202" s="21"/>
      <c r="T202" s="20"/>
    </row>
    <row r="203" spans="1:20" x14ac:dyDescent="0.3">
      <c r="A203" s="18"/>
      <c r="B203" s="181" t="s">
        <v>256</v>
      </c>
      <c r="C203" s="181" t="s">
        <v>1188</v>
      </c>
      <c r="D203" s="181" t="s">
        <v>778</v>
      </c>
      <c r="E203" s="202">
        <v>43160</v>
      </c>
      <c r="F203" s="203">
        <v>1.39</v>
      </c>
      <c r="G203" s="21"/>
      <c r="H203" s="21"/>
      <c r="I203" s="3" t="str">
        <v/>
      </c>
      <c r="J203" s="3" t="str">
        <v/>
      </c>
      <c r="K203" s="195">
        <v>43160</v>
      </c>
      <c r="L203" s="207">
        <v>0.39</v>
      </c>
      <c r="M203" s="207">
        <v>0.28000000000000003</v>
      </c>
      <c r="N203" s="21"/>
      <c r="O203" s="21"/>
      <c r="P203" s="21"/>
      <c r="Q203" s="21"/>
      <c r="R203" s="21"/>
      <c r="S203" s="21"/>
      <c r="T203" s="20"/>
    </row>
    <row r="204" spans="1:20" x14ac:dyDescent="0.3">
      <c r="A204" s="18"/>
      <c r="B204" s="181" t="s">
        <v>256</v>
      </c>
      <c r="C204" s="181" t="s">
        <v>1188</v>
      </c>
      <c r="D204" s="181" t="s">
        <v>778</v>
      </c>
      <c r="E204" s="202">
        <v>43252</v>
      </c>
      <c r="F204" s="203">
        <v>1.43</v>
      </c>
      <c r="G204" s="21"/>
      <c r="H204" s="21"/>
      <c r="I204" s="3" t="str">
        <v/>
      </c>
      <c r="J204" s="3" t="str">
        <v/>
      </c>
      <c r="K204" s="195">
        <v>43252</v>
      </c>
      <c r="L204" s="207">
        <v>0.43</v>
      </c>
      <c r="M204" s="207">
        <v>0.4</v>
      </c>
      <c r="N204" s="21"/>
      <c r="O204" s="21"/>
      <c r="P204" s="21"/>
      <c r="Q204" s="21"/>
      <c r="R204" s="21"/>
      <c r="S204" s="21"/>
      <c r="T204" s="20"/>
    </row>
    <row r="205" spans="1:20" x14ac:dyDescent="0.3">
      <c r="A205" s="18"/>
      <c r="B205" s="181" t="s">
        <v>256</v>
      </c>
      <c r="C205" s="181" t="s">
        <v>1188</v>
      </c>
      <c r="D205" s="181" t="s">
        <v>779</v>
      </c>
      <c r="E205" s="202">
        <v>43101</v>
      </c>
      <c r="F205" s="203">
        <v>1.23</v>
      </c>
      <c r="G205" s="21"/>
      <c r="H205" s="21"/>
      <c r="I205" s="3" t="str">
        <v/>
      </c>
      <c r="J205" s="3" t="str">
        <v>IBM</v>
      </c>
      <c r="K205" s="195">
        <v>43101</v>
      </c>
      <c r="L205" s="207">
        <v>0.77</v>
      </c>
      <c r="M205" s="207">
        <v>0.73</v>
      </c>
      <c r="N205" s="21"/>
      <c r="O205" s="21"/>
      <c r="P205" s="21"/>
      <c r="Q205" s="21"/>
      <c r="R205" s="21"/>
      <c r="S205" s="21"/>
      <c r="T205" s="20"/>
    </row>
    <row r="206" spans="1:20" x14ac:dyDescent="0.3">
      <c r="A206" s="18"/>
      <c r="B206" s="181" t="s">
        <v>256</v>
      </c>
      <c r="C206" s="181" t="s">
        <v>1188</v>
      </c>
      <c r="D206" s="181" t="s">
        <v>779</v>
      </c>
      <c r="E206" s="202">
        <v>43160</v>
      </c>
      <c r="F206" s="203">
        <v>1.28</v>
      </c>
      <c r="G206" s="21"/>
      <c r="H206" s="21"/>
      <c r="I206" s="3" t="str">
        <v/>
      </c>
      <c r="J206" s="3" t="str">
        <v/>
      </c>
      <c r="K206" s="195">
        <v>43160</v>
      </c>
      <c r="L206" s="207">
        <v>0.89</v>
      </c>
      <c r="M206" s="207">
        <v>0.78</v>
      </c>
      <c r="N206" s="21"/>
      <c r="O206" s="21"/>
      <c r="P206" s="21"/>
      <c r="Q206" s="21"/>
      <c r="R206" s="21"/>
      <c r="S206" s="21"/>
      <c r="T206" s="20"/>
    </row>
    <row r="207" spans="1:20" x14ac:dyDescent="0.3">
      <c r="A207" s="18"/>
      <c r="B207" s="181" t="s">
        <v>256</v>
      </c>
      <c r="C207" s="181" t="s">
        <v>1188</v>
      </c>
      <c r="D207" s="181" t="s">
        <v>779</v>
      </c>
      <c r="E207" s="202">
        <v>43252</v>
      </c>
      <c r="F207" s="203">
        <v>1.4</v>
      </c>
      <c r="G207" s="21"/>
      <c r="H207" s="21"/>
      <c r="I207" s="3" t="str">
        <v/>
      </c>
      <c r="J207" s="3" t="str">
        <v/>
      </c>
      <c r="K207" s="195">
        <v>43252</v>
      </c>
      <c r="L207" s="207">
        <v>0.93</v>
      </c>
      <c r="M207" s="207">
        <v>0.9</v>
      </c>
      <c r="N207" s="21"/>
      <c r="O207" s="21"/>
      <c r="P207" s="21"/>
      <c r="Q207" s="21"/>
      <c r="R207" s="21"/>
      <c r="S207" s="21"/>
      <c r="T207" s="20"/>
    </row>
    <row r="208" spans="1:20" x14ac:dyDescent="0.3">
      <c r="A208" s="18"/>
      <c r="B208" s="181" t="s">
        <v>107</v>
      </c>
      <c r="C208" s="181" t="s">
        <v>1187</v>
      </c>
      <c r="D208" s="181" t="s">
        <v>778</v>
      </c>
      <c r="E208" s="202">
        <v>43101</v>
      </c>
      <c r="F208" s="203">
        <v>0.75</v>
      </c>
      <c r="G208" s="21"/>
      <c r="H208" s="21"/>
      <c r="I208" s="3" t="str">
        <v/>
      </c>
      <c r="J208" s="3" t="str">
        <v>MSFT</v>
      </c>
      <c r="K208" s="195">
        <v>43101</v>
      </c>
      <c r="L208" s="207">
        <v>1.27</v>
      </c>
      <c r="M208" s="207">
        <v>1.23</v>
      </c>
      <c r="N208" s="21"/>
      <c r="O208" s="21"/>
      <c r="P208" s="21"/>
      <c r="Q208" s="21"/>
      <c r="R208" s="21"/>
      <c r="S208" s="21"/>
      <c r="T208" s="20"/>
    </row>
    <row r="209" spans="1:20" x14ac:dyDescent="0.3">
      <c r="A209" s="18"/>
      <c r="B209" s="181" t="s">
        <v>107</v>
      </c>
      <c r="C209" s="181" t="s">
        <v>1187</v>
      </c>
      <c r="D209" s="181" t="s">
        <v>778</v>
      </c>
      <c r="E209" s="202">
        <v>43160</v>
      </c>
      <c r="F209" s="203">
        <v>0.87</v>
      </c>
      <c r="G209" s="21"/>
      <c r="H209" s="21"/>
      <c r="I209" s="3" t="str">
        <v/>
      </c>
      <c r="J209" s="3" t="str">
        <v/>
      </c>
      <c r="K209" s="195">
        <v>43160</v>
      </c>
      <c r="L209" s="207">
        <v>1.39</v>
      </c>
      <c r="M209" s="207">
        <v>1.28</v>
      </c>
      <c r="N209" s="21"/>
      <c r="O209" s="21"/>
      <c r="P209" s="21"/>
      <c r="Q209" s="21"/>
      <c r="R209" s="21"/>
      <c r="S209" s="21"/>
      <c r="T209" s="20"/>
    </row>
    <row r="210" spans="1:20" x14ac:dyDescent="0.3">
      <c r="A210" s="18"/>
      <c r="B210" s="181" t="s">
        <v>107</v>
      </c>
      <c r="C210" s="181" t="s">
        <v>1187</v>
      </c>
      <c r="D210" s="181" t="s">
        <v>778</v>
      </c>
      <c r="E210" s="202">
        <v>43252</v>
      </c>
      <c r="F210" s="203">
        <v>0.91</v>
      </c>
      <c r="G210" s="21"/>
      <c r="H210" s="21"/>
      <c r="I210" s="3" t="str">
        <v/>
      </c>
      <c r="J210" s="3" t="str">
        <v/>
      </c>
      <c r="K210" s="195">
        <v>43252</v>
      </c>
      <c r="L210" s="207">
        <v>1.43</v>
      </c>
      <c r="M210" s="207">
        <v>1.4</v>
      </c>
      <c r="N210" s="21"/>
      <c r="O210" s="21"/>
      <c r="P210" s="21"/>
      <c r="Q210" s="21"/>
      <c r="R210" s="21"/>
      <c r="S210" s="21"/>
      <c r="T210" s="20"/>
    </row>
    <row r="211" spans="1:20" x14ac:dyDescent="0.3">
      <c r="A211" s="18"/>
      <c r="B211" s="181" t="s">
        <v>107</v>
      </c>
      <c r="C211" s="181" t="s">
        <v>1187</v>
      </c>
      <c r="D211" s="181" t="s">
        <v>779</v>
      </c>
      <c r="E211" s="202">
        <v>43101</v>
      </c>
      <c r="F211" s="203">
        <v>0.74</v>
      </c>
      <c r="G211" s="21"/>
      <c r="H211" s="21"/>
      <c r="I211" s="21"/>
      <c r="J211" s="21"/>
      <c r="K211" s="21"/>
      <c r="L211" s="21"/>
      <c r="M211" s="21"/>
      <c r="N211" s="21"/>
      <c r="O211" s="21"/>
      <c r="P211" s="21"/>
      <c r="Q211" s="21"/>
      <c r="R211" s="21"/>
      <c r="S211" s="21"/>
      <c r="T211" s="20"/>
    </row>
    <row r="212" spans="1:20" x14ac:dyDescent="0.3">
      <c r="A212" s="18"/>
      <c r="B212" s="181" t="s">
        <v>107</v>
      </c>
      <c r="C212" s="181" t="s">
        <v>1187</v>
      </c>
      <c r="D212" s="181" t="s">
        <v>779</v>
      </c>
      <c r="E212" s="202">
        <v>43160</v>
      </c>
      <c r="F212" s="203">
        <v>0.86</v>
      </c>
      <c r="G212" s="21"/>
      <c r="H212" s="21"/>
      <c r="I212" s="21" t="str">
        <f t="array" ref="I212:M222">_xll.U.TABLE_TO_GRID(B184:F219,"*","3",5)</f>
        <v/>
      </c>
      <c r="J212" s="21" t="str">
        <v/>
      </c>
      <c r="K212" s="21" t="str">
        <v/>
      </c>
      <c r="L212" s="3" t="str">
        <v>GS</v>
      </c>
      <c r="M212" s="3" t="str">
        <v>HSBC</v>
      </c>
      <c r="N212" s="21"/>
      <c r="O212" s="21"/>
      <c r="P212" s="21"/>
      <c r="Q212" s="21"/>
      <c r="R212" s="21"/>
      <c r="S212" s="21"/>
      <c r="T212" s="20"/>
    </row>
    <row r="213" spans="1:20" x14ac:dyDescent="0.3">
      <c r="A213" s="18"/>
      <c r="B213" s="181" t="s">
        <v>107</v>
      </c>
      <c r="C213" s="181" t="s">
        <v>1187</v>
      </c>
      <c r="D213" s="181" t="s">
        <v>779</v>
      </c>
      <c r="E213" s="202">
        <v>43252</v>
      </c>
      <c r="F213" s="203">
        <v>0.92</v>
      </c>
      <c r="G213" s="21"/>
      <c r="H213" s="21"/>
      <c r="I213" s="3" t="str">
        <v>AAPL</v>
      </c>
      <c r="J213" s="3" t="str">
        <v>EARLY</v>
      </c>
      <c r="K213" s="195">
        <v>43101</v>
      </c>
      <c r="L213" s="207">
        <v>0.25</v>
      </c>
      <c r="M213" s="207">
        <v>0.24</v>
      </c>
      <c r="N213" s="21"/>
      <c r="O213" s="21"/>
      <c r="P213" s="21"/>
      <c r="Q213" s="21"/>
      <c r="R213" s="21"/>
      <c r="S213" s="21"/>
      <c r="T213" s="20"/>
    </row>
    <row r="214" spans="1:20" x14ac:dyDescent="0.3">
      <c r="A214" s="18"/>
      <c r="B214" s="181" t="s">
        <v>107</v>
      </c>
      <c r="C214" s="181" t="s">
        <v>1188</v>
      </c>
      <c r="D214" s="181" t="s">
        <v>778</v>
      </c>
      <c r="E214" s="202">
        <v>43101</v>
      </c>
      <c r="F214" s="203">
        <v>0.77</v>
      </c>
      <c r="G214" s="21"/>
      <c r="H214" s="21"/>
      <c r="I214" s="3" t="str">
        <v>AAPL</v>
      </c>
      <c r="J214" s="3" t="str">
        <v>EARLY</v>
      </c>
      <c r="K214" s="206">
        <v>43160</v>
      </c>
      <c r="L214" s="207">
        <v>0.37</v>
      </c>
      <c r="M214" s="207">
        <v>0.36</v>
      </c>
      <c r="N214" s="21"/>
      <c r="O214" s="21"/>
      <c r="P214" s="21"/>
      <c r="Q214" s="21"/>
      <c r="R214" s="21"/>
      <c r="S214" s="21"/>
      <c r="T214" s="20"/>
    </row>
    <row r="215" spans="1:20" x14ac:dyDescent="0.3">
      <c r="A215" s="18"/>
      <c r="B215" s="181" t="s">
        <v>107</v>
      </c>
      <c r="C215" s="181" t="s">
        <v>1188</v>
      </c>
      <c r="D215" s="181" t="s">
        <v>778</v>
      </c>
      <c r="E215" s="202">
        <v>43160</v>
      </c>
      <c r="F215" s="203">
        <v>0.89</v>
      </c>
      <c r="G215" s="21"/>
      <c r="H215" s="21"/>
      <c r="I215" s="3" t="str">
        <v>AAPL</v>
      </c>
      <c r="J215" s="3" t="str">
        <v>EARLY</v>
      </c>
      <c r="K215" s="206">
        <v>43252</v>
      </c>
      <c r="L215" s="207">
        <v>0.41</v>
      </c>
      <c r="M215" s="207">
        <v>0.42</v>
      </c>
      <c r="N215" s="21"/>
      <c r="O215" s="21"/>
      <c r="P215" s="21"/>
      <c r="Q215" s="21"/>
      <c r="R215" s="21"/>
      <c r="S215" s="21"/>
      <c r="T215" s="20"/>
    </row>
    <row r="216" spans="1:20" x14ac:dyDescent="0.3">
      <c r="A216" s="18"/>
      <c r="B216" s="181" t="s">
        <v>107</v>
      </c>
      <c r="C216" s="181" t="s">
        <v>1188</v>
      </c>
      <c r="D216" s="181" t="s">
        <v>778</v>
      </c>
      <c r="E216" s="202">
        <v>43252</v>
      </c>
      <c r="F216" s="203">
        <v>0.93</v>
      </c>
      <c r="G216" s="21"/>
      <c r="H216" s="21"/>
      <c r="I216" s="3" t="str">
        <v>AAPL</v>
      </c>
      <c r="J216" s="3" t="str">
        <v>FINAL</v>
      </c>
      <c r="K216" s="206">
        <v>43101</v>
      </c>
      <c r="L216" s="207">
        <v>0.27</v>
      </c>
      <c r="M216" s="207">
        <v>0.23</v>
      </c>
      <c r="N216" s="21"/>
      <c r="O216" s="21"/>
      <c r="P216" s="21"/>
      <c r="Q216" s="21"/>
      <c r="R216" s="21"/>
      <c r="S216" s="21"/>
      <c r="T216" s="20"/>
    </row>
    <row r="217" spans="1:20" x14ac:dyDescent="0.3">
      <c r="A217" s="18"/>
      <c r="B217" s="181" t="s">
        <v>107</v>
      </c>
      <c r="C217" s="181" t="s">
        <v>1188</v>
      </c>
      <c r="D217" s="181" t="s">
        <v>779</v>
      </c>
      <c r="E217" s="202">
        <v>43101</v>
      </c>
      <c r="F217" s="203">
        <v>0.73</v>
      </c>
      <c r="G217" s="21"/>
      <c r="H217" s="21"/>
      <c r="I217" s="3" t="str">
        <v>AAPL</v>
      </c>
      <c r="J217" s="3" t="str">
        <v>FINAL</v>
      </c>
      <c r="K217" s="195">
        <v>43160</v>
      </c>
      <c r="L217" s="207">
        <v>0.39</v>
      </c>
      <c r="M217" s="207">
        <v>0.28000000000000003</v>
      </c>
      <c r="N217" s="21"/>
      <c r="O217" s="21"/>
      <c r="P217" s="21"/>
      <c r="Q217" s="21"/>
      <c r="R217" s="21"/>
      <c r="S217" s="21"/>
      <c r="T217" s="20"/>
    </row>
    <row r="218" spans="1:20" x14ac:dyDescent="0.3">
      <c r="A218" s="18"/>
      <c r="B218" s="181" t="s">
        <v>107</v>
      </c>
      <c r="C218" s="181" t="s">
        <v>1188</v>
      </c>
      <c r="D218" s="181" t="s">
        <v>779</v>
      </c>
      <c r="E218" s="202">
        <v>43160</v>
      </c>
      <c r="F218" s="203">
        <v>0.78</v>
      </c>
      <c r="G218" s="21"/>
      <c r="H218" s="21"/>
      <c r="I218" s="3" t="str">
        <v>AAPL</v>
      </c>
      <c r="J218" s="3" t="str">
        <v>FINAL</v>
      </c>
      <c r="K218" s="195">
        <v>43252</v>
      </c>
      <c r="L218" s="207">
        <v>0.43</v>
      </c>
      <c r="M218" s="207">
        <v>0.4</v>
      </c>
      <c r="N218" s="21"/>
      <c r="O218" s="21"/>
      <c r="P218" s="21"/>
      <c r="Q218" s="21"/>
      <c r="R218" s="21"/>
      <c r="S218" s="21"/>
      <c r="T218" s="20"/>
    </row>
    <row r="219" spans="1:20" x14ac:dyDescent="0.3">
      <c r="A219" s="18"/>
      <c r="B219" s="181" t="s">
        <v>107</v>
      </c>
      <c r="C219" s="181" t="s">
        <v>1188</v>
      </c>
      <c r="D219" s="181" t="s">
        <v>779</v>
      </c>
      <c r="E219" s="202">
        <v>43252</v>
      </c>
      <c r="F219" s="203">
        <v>0.9</v>
      </c>
      <c r="G219" s="21"/>
      <c r="H219" s="21"/>
      <c r="I219" s="3" t="str">
        <v>IBM</v>
      </c>
      <c r="J219" s="3" t="str">
        <v>EARLY</v>
      </c>
      <c r="K219" s="195">
        <v>43101</v>
      </c>
      <c r="L219" s="207">
        <v>0.75</v>
      </c>
      <c r="M219" s="207">
        <v>0.74</v>
      </c>
      <c r="N219" s="21"/>
      <c r="O219" s="21"/>
      <c r="P219" s="21"/>
      <c r="Q219" s="21"/>
      <c r="R219" s="21"/>
      <c r="S219" s="21"/>
      <c r="T219" s="20"/>
    </row>
    <row r="220" spans="1:20" x14ac:dyDescent="0.3">
      <c r="A220" s="18"/>
      <c r="B220" s="21"/>
      <c r="C220" s="21"/>
      <c r="D220" s="21"/>
      <c r="E220" s="21"/>
      <c r="F220" s="21"/>
      <c r="G220" s="21"/>
      <c r="H220" s="21"/>
      <c r="I220" s="3" t="str">
        <v>IBM</v>
      </c>
      <c r="J220" s="3" t="str">
        <v>EARLY</v>
      </c>
      <c r="K220" s="195">
        <v>43160</v>
      </c>
      <c r="L220" s="207">
        <v>0.87</v>
      </c>
      <c r="M220" s="207">
        <v>0.86</v>
      </c>
      <c r="N220" s="21"/>
      <c r="O220" s="21"/>
      <c r="P220" s="21"/>
      <c r="Q220" s="21"/>
      <c r="R220" s="21"/>
      <c r="S220" s="21"/>
      <c r="T220" s="20"/>
    </row>
    <row r="221" spans="1:20" x14ac:dyDescent="0.3">
      <c r="A221" s="18"/>
      <c r="B221" s="21"/>
      <c r="C221" s="21"/>
      <c r="D221" s="21"/>
      <c r="E221" s="21"/>
      <c r="F221" s="21"/>
      <c r="G221" s="21"/>
      <c r="H221" s="21"/>
      <c r="I221" s="3" t="str">
        <v>IBM</v>
      </c>
      <c r="J221" s="3" t="str">
        <v>EARLY</v>
      </c>
      <c r="K221" s="195">
        <v>43252</v>
      </c>
      <c r="L221" s="207">
        <v>0.91</v>
      </c>
      <c r="M221" s="207">
        <v>0.92</v>
      </c>
      <c r="N221" s="21"/>
      <c r="O221" s="21"/>
      <c r="P221" s="21"/>
      <c r="Q221" s="21"/>
      <c r="R221" s="21"/>
      <c r="S221" s="21"/>
      <c r="T221" s="20"/>
    </row>
    <row r="222" spans="1:20" x14ac:dyDescent="0.3">
      <c r="A222" s="18"/>
      <c r="B222" s="21"/>
      <c r="C222" s="21"/>
      <c r="D222" s="21"/>
      <c r="E222" s="21"/>
      <c r="F222" s="21"/>
      <c r="G222" s="21"/>
      <c r="H222" s="21"/>
      <c r="I222" s="3" t="str">
        <v>IBM</v>
      </c>
      <c r="J222" s="3" t="str">
        <v>FINAL</v>
      </c>
      <c r="K222" s="195">
        <v>43101</v>
      </c>
      <c r="L222" s="207">
        <v>0.77</v>
      </c>
      <c r="M222" s="207">
        <v>0.73</v>
      </c>
      <c r="N222" s="21"/>
      <c r="O222" s="21"/>
      <c r="P222" s="21"/>
      <c r="Q222" s="21"/>
      <c r="R222" s="21"/>
      <c r="S222" s="21"/>
      <c r="T222" s="20"/>
    </row>
    <row r="223" spans="1:20" x14ac:dyDescent="0.3">
      <c r="A223" s="18"/>
      <c r="B223" s="21"/>
      <c r="C223" s="21"/>
      <c r="D223" s="21"/>
      <c r="E223" s="21"/>
      <c r="F223" s="21"/>
      <c r="G223" s="21"/>
      <c r="H223" s="21"/>
      <c r="I223" s="21"/>
      <c r="J223" s="21"/>
      <c r="K223" s="21"/>
      <c r="L223" s="21"/>
      <c r="M223" s="21"/>
      <c r="N223" s="21"/>
      <c r="O223" s="21"/>
      <c r="P223" s="21"/>
      <c r="Q223" s="21"/>
      <c r="R223" s="21"/>
      <c r="S223" s="21"/>
      <c r="T223" s="20"/>
    </row>
    <row r="224" spans="1:20" x14ac:dyDescent="0.3">
      <c r="A224" s="18"/>
      <c r="B224" s="21"/>
      <c r="C224" s="21"/>
      <c r="D224" s="21"/>
      <c r="E224" s="21"/>
      <c r="F224" s="21"/>
      <c r="G224" s="21"/>
      <c r="H224" s="21"/>
      <c r="I224" s="21"/>
      <c r="J224" s="21"/>
      <c r="K224" s="21"/>
      <c r="L224" s="21"/>
      <c r="M224" s="21"/>
      <c r="N224" s="21"/>
      <c r="O224" s="21"/>
      <c r="P224" s="21"/>
      <c r="Q224" s="21"/>
      <c r="R224" s="21"/>
      <c r="S224" s="21"/>
      <c r="T224" s="20"/>
    </row>
    <row r="225" spans="1:20" x14ac:dyDescent="0.3">
      <c r="A225" s="18"/>
      <c r="B225" s="21"/>
      <c r="C225" s="21"/>
      <c r="D225" s="21"/>
      <c r="E225" s="21"/>
      <c r="F225" s="21"/>
      <c r="G225" s="21"/>
      <c r="H225" s="21"/>
      <c r="I225" s="21" t="str">
        <f t="array" ref="I225:P232">_xll.U.TABLE_TO_GRID(B183:F219,"Time,Symbol","Firm,Date","Estimate",{TRUE,TRUE})</f>
        <v/>
      </c>
      <c r="J225" s="85" t="str">
        <v>Firm</v>
      </c>
      <c r="K225" s="3" t="str">
        <v>GS</v>
      </c>
      <c r="L225" s="3" t="str">
        <v>GS</v>
      </c>
      <c r="M225" s="3" t="str">
        <v>GS</v>
      </c>
      <c r="N225" s="3" t="str">
        <v>HSBC</v>
      </c>
      <c r="O225" s="3" t="str">
        <v>HSBC</v>
      </c>
      <c r="P225" s="3" t="str">
        <v>HSBC</v>
      </c>
      <c r="Q225" s="21"/>
      <c r="R225" s="21"/>
      <c r="S225" s="21"/>
      <c r="T225" s="20"/>
    </row>
    <row r="226" spans="1:20" x14ac:dyDescent="0.3">
      <c r="A226" s="18"/>
      <c r="B226" s="21"/>
      <c r="C226" s="21"/>
      <c r="D226" s="21"/>
      <c r="E226" s="21"/>
      <c r="F226" s="21"/>
      <c r="G226" s="21"/>
      <c r="H226" s="21"/>
      <c r="I226" s="85" t="str">
        <v>Time</v>
      </c>
      <c r="J226" s="85" t="str">
        <v>Symbol | Date</v>
      </c>
      <c r="K226" s="195">
        <v>43101</v>
      </c>
      <c r="L226" s="195">
        <v>43160</v>
      </c>
      <c r="M226" s="195">
        <v>43252</v>
      </c>
      <c r="N226" s="195">
        <v>43101</v>
      </c>
      <c r="O226" s="195">
        <v>43160</v>
      </c>
      <c r="P226" s="195">
        <v>43252</v>
      </c>
      <c r="Q226" s="21"/>
      <c r="R226" s="21"/>
      <c r="S226" s="21"/>
      <c r="T226" s="20"/>
    </row>
    <row r="227" spans="1:20" x14ac:dyDescent="0.3">
      <c r="A227" s="18"/>
      <c r="B227" s="21"/>
      <c r="C227" s="21"/>
      <c r="D227" s="21"/>
      <c r="E227" s="21"/>
      <c r="F227" s="21"/>
      <c r="G227" s="21"/>
      <c r="H227" s="21"/>
      <c r="I227" s="163" t="str">
        <v>EARLY</v>
      </c>
      <c r="J227" s="163" t="str">
        <v>AAPL</v>
      </c>
      <c r="K227" s="35">
        <v>0.25</v>
      </c>
      <c r="L227" s="35">
        <v>0.37</v>
      </c>
      <c r="M227" s="35">
        <v>0.41</v>
      </c>
      <c r="N227" s="35">
        <v>0.24</v>
      </c>
      <c r="O227" s="35">
        <v>0.36</v>
      </c>
      <c r="P227" s="35">
        <v>0.42</v>
      </c>
      <c r="Q227" s="21"/>
      <c r="R227" s="21"/>
      <c r="S227" s="21"/>
      <c r="T227" s="20"/>
    </row>
    <row r="228" spans="1:20" x14ac:dyDescent="0.3">
      <c r="A228" s="18"/>
      <c r="B228" s="21"/>
      <c r="C228" s="21"/>
      <c r="D228" s="21"/>
      <c r="E228" s="21"/>
      <c r="F228" s="21"/>
      <c r="G228" s="21"/>
      <c r="H228" s="21"/>
      <c r="I228" s="3" t="str">
        <v>EARLY</v>
      </c>
      <c r="J228" s="3" t="str">
        <v>IBM</v>
      </c>
      <c r="K228" s="35">
        <v>0.75</v>
      </c>
      <c r="L228" s="35">
        <v>0.87</v>
      </c>
      <c r="M228" s="35">
        <v>0.91</v>
      </c>
      <c r="N228" s="35">
        <v>0.74</v>
      </c>
      <c r="O228" s="35">
        <v>0.86</v>
      </c>
      <c r="P228" s="35">
        <v>0.92</v>
      </c>
      <c r="Q228" s="21"/>
      <c r="R228" s="21"/>
      <c r="S228" s="21"/>
      <c r="T228" s="20"/>
    </row>
    <row r="229" spans="1:20" x14ac:dyDescent="0.3">
      <c r="A229" s="18"/>
      <c r="B229" s="21"/>
      <c r="C229" s="21"/>
      <c r="D229" s="21"/>
      <c r="E229" s="21"/>
      <c r="F229" s="21"/>
      <c r="G229" s="21"/>
      <c r="H229" s="21"/>
      <c r="I229" s="3" t="str">
        <v>EARLY</v>
      </c>
      <c r="J229" s="3" t="str">
        <v>MSFT</v>
      </c>
      <c r="K229" s="35">
        <v>1.25</v>
      </c>
      <c r="L229" s="35">
        <v>1.37</v>
      </c>
      <c r="M229" s="35">
        <v>1.41</v>
      </c>
      <c r="N229" s="35">
        <v>1.24</v>
      </c>
      <c r="O229" s="35">
        <v>1.36</v>
      </c>
      <c r="P229" s="35">
        <v>1.42</v>
      </c>
      <c r="Q229" s="21"/>
      <c r="R229" s="21"/>
      <c r="S229" s="21"/>
      <c r="T229" s="20"/>
    </row>
    <row r="230" spans="1:20" x14ac:dyDescent="0.3">
      <c r="A230" s="18"/>
      <c r="B230" s="21"/>
      <c r="C230" s="21"/>
      <c r="D230" s="21"/>
      <c r="E230" s="21"/>
      <c r="F230" s="21"/>
      <c r="G230" s="21"/>
      <c r="H230" s="21"/>
      <c r="I230" s="3" t="str">
        <v>FINAL</v>
      </c>
      <c r="J230" s="3" t="str">
        <v>AAPL</v>
      </c>
      <c r="K230" s="35">
        <v>0.27</v>
      </c>
      <c r="L230" s="35">
        <v>0.39</v>
      </c>
      <c r="M230" s="35">
        <v>0.43</v>
      </c>
      <c r="N230" s="35">
        <v>0.23</v>
      </c>
      <c r="O230" s="35">
        <v>0.28000000000000003</v>
      </c>
      <c r="P230" s="35">
        <v>0.4</v>
      </c>
      <c r="Q230" s="21"/>
      <c r="R230" s="21"/>
      <c r="S230" s="21"/>
      <c r="T230" s="20"/>
    </row>
    <row r="231" spans="1:20" x14ac:dyDescent="0.3">
      <c r="A231" s="18"/>
      <c r="B231" s="21"/>
      <c r="C231" s="21"/>
      <c r="D231" s="21"/>
      <c r="E231" s="21"/>
      <c r="F231" s="21"/>
      <c r="G231" s="21"/>
      <c r="H231" s="21"/>
      <c r="I231" s="3" t="str">
        <v>FINAL</v>
      </c>
      <c r="J231" s="3" t="str">
        <v>IBM</v>
      </c>
      <c r="K231" s="35">
        <v>0.77</v>
      </c>
      <c r="L231" s="35">
        <v>0.89</v>
      </c>
      <c r="M231" s="35">
        <v>0.93</v>
      </c>
      <c r="N231" s="35">
        <v>0.73</v>
      </c>
      <c r="O231" s="35">
        <v>0.78</v>
      </c>
      <c r="P231" s="35">
        <v>0.9</v>
      </c>
      <c r="Q231" s="21"/>
      <c r="R231" s="21"/>
      <c r="S231" s="21"/>
      <c r="T231" s="20"/>
    </row>
    <row r="232" spans="1:20" x14ac:dyDescent="0.3">
      <c r="A232" s="18"/>
      <c r="B232" s="21"/>
      <c r="C232" s="21"/>
      <c r="D232" s="21"/>
      <c r="E232" s="21"/>
      <c r="F232" s="21"/>
      <c r="G232" s="21"/>
      <c r="H232" s="21"/>
      <c r="I232" s="3" t="str">
        <v>FINAL</v>
      </c>
      <c r="J232" s="3" t="str">
        <v>MSFT</v>
      </c>
      <c r="K232" s="35">
        <v>1.27</v>
      </c>
      <c r="L232" s="35">
        <v>1.39</v>
      </c>
      <c r="M232" s="35">
        <v>1.43</v>
      </c>
      <c r="N232" s="35">
        <v>1.23</v>
      </c>
      <c r="O232" s="35">
        <v>1.28</v>
      </c>
      <c r="P232" s="35">
        <v>1.4</v>
      </c>
      <c r="Q232" s="21"/>
      <c r="R232" s="21"/>
      <c r="S232" s="21"/>
      <c r="T232" s="20"/>
    </row>
    <row r="233" spans="1:20" x14ac:dyDescent="0.3">
      <c r="A233" s="18"/>
      <c r="B233" s="21"/>
      <c r="C233" s="21"/>
      <c r="D233" s="21"/>
      <c r="E233" s="21"/>
      <c r="F233" s="21"/>
      <c r="G233" s="21"/>
      <c r="H233" s="21"/>
      <c r="I233" s="21"/>
      <c r="J233" s="21"/>
      <c r="K233" s="21"/>
      <c r="L233" s="21"/>
      <c r="M233" s="21"/>
      <c r="N233" s="21"/>
      <c r="O233" s="21"/>
      <c r="P233" s="21"/>
      <c r="Q233" s="21"/>
      <c r="R233" s="21"/>
      <c r="S233" s="21"/>
      <c r="T233" s="20"/>
    </row>
    <row r="234" spans="1:20" x14ac:dyDescent="0.3">
      <c r="A234" s="18"/>
      <c r="B234" s="21"/>
      <c r="C234" s="21"/>
      <c r="D234" s="21"/>
      <c r="E234" s="21"/>
      <c r="F234" s="21"/>
      <c r="G234" s="21"/>
      <c r="H234" s="21"/>
      <c r="I234" s="21"/>
      <c r="J234" s="21"/>
      <c r="K234" s="21"/>
      <c r="L234" s="21"/>
      <c r="M234" s="21"/>
      <c r="N234" s="21"/>
      <c r="O234" s="21"/>
      <c r="P234" s="21"/>
      <c r="Q234" s="21"/>
      <c r="R234" s="21"/>
      <c r="S234" s="21"/>
      <c r="T234" s="20"/>
    </row>
    <row r="235" spans="1:20" x14ac:dyDescent="0.3">
      <c r="A235" s="18"/>
      <c r="B235" s="21"/>
      <c r="C235" s="21"/>
      <c r="D235" s="21"/>
      <c r="E235" s="21"/>
      <c r="F235" s="21"/>
      <c r="G235" s="21"/>
      <c r="H235" s="21"/>
      <c r="I235" s="21"/>
      <c r="J235" s="21"/>
      <c r="K235" s="21"/>
      <c r="L235" s="21"/>
      <c r="M235" s="21"/>
      <c r="N235" s="21"/>
      <c r="O235" s="21"/>
      <c r="P235" s="21"/>
      <c r="Q235" s="21"/>
      <c r="R235" s="21"/>
      <c r="S235" s="21"/>
      <c r="T235" s="20"/>
    </row>
    <row r="236" spans="1:20" x14ac:dyDescent="0.3">
      <c r="A236" s="18"/>
      <c r="B236" s="21"/>
      <c r="C236" s="21"/>
      <c r="D236" s="21"/>
      <c r="E236" s="21"/>
      <c r="F236" s="21"/>
      <c r="G236" s="21"/>
      <c r="H236" s="21"/>
      <c r="I236" s="21"/>
      <c r="J236" s="21"/>
      <c r="K236" s="21"/>
      <c r="L236" s="21"/>
      <c r="M236" s="21"/>
      <c r="N236" s="21"/>
      <c r="O236" s="21"/>
      <c r="P236" s="21"/>
      <c r="Q236" s="21"/>
      <c r="R236" s="21"/>
      <c r="S236" s="21"/>
      <c r="T236" s="20"/>
    </row>
    <row r="237" spans="1:20" x14ac:dyDescent="0.3">
      <c r="A237" s="18"/>
      <c r="B237" s="21"/>
      <c r="C237" s="21"/>
      <c r="D237" s="21"/>
      <c r="E237" s="21"/>
      <c r="F237" s="21"/>
      <c r="G237" s="21"/>
      <c r="H237" s="21"/>
      <c r="I237" s="21"/>
      <c r="J237" s="21"/>
      <c r="K237" s="21"/>
      <c r="L237" s="21"/>
      <c r="M237" s="21"/>
      <c r="N237" s="21"/>
      <c r="O237" s="21"/>
      <c r="P237" s="21"/>
      <c r="Q237" s="21"/>
      <c r="R237" s="21"/>
      <c r="S237" s="21"/>
      <c r="T237" s="20"/>
    </row>
    <row r="238" spans="1:20" x14ac:dyDescent="0.3">
      <c r="A238" s="18"/>
      <c r="B238" s="3" t="s">
        <v>679</v>
      </c>
      <c r="C238" s="3" t="s">
        <v>1025</v>
      </c>
      <c r="D238" s="3" t="s">
        <v>1022</v>
      </c>
      <c r="E238" s="5" t="s">
        <v>1021</v>
      </c>
      <c r="F238" s="21"/>
      <c r="G238" s="21"/>
      <c r="H238" s="21"/>
      <c r="I238" s="21" t="str">
        <f t="array" ref="I238:K241">_xll.U.TABLE_TO_GRID(B238:E250,"Name","GameTime","Pay")</f>
        <v/>
      </c>
      <c r="J238" s="3" t="str">
        <v>Day</v>
      </c>
      <c r="K238" s="3" t="str">
        <v>Night</v>
      </c>
      <c r="L238" s="21"/>
      <c r="M238" s="21"/>
      <c r="N238" s="21"/>
      <c r="O238" s="21"/>
      <c r="P238" s="21"/>
      <c r="Q238" s="21"/>
      <c r="R238" s="21"/>
      <c r="S238" s="21"/>
      <c r="T238" s="20"/>
    </row>
    <row r="239" spans="1:20" x14ac:dyDescent="0.3">
      <c r="A239" s="18"/>
      <c r="B239" s="181" t="s">
        <v>1020</v>
      </c>
      <c r="C239" s="181" t="s">
        <v>1026</v>
      </c>
      <c r="D239" s="181" t="s">
        <v>1023</v>
      </c>
      <c r="E239" s="208">
        <v>500</v>
      </c>
      <c r="F239" s="21"/>
      <c r="G239" s="21"/>
      <c r="H239" s="21"/>
      <c r="I239" s="3" t="str">
        <v>Bill</v>
      </c>
      <c r="J239" s="36">
        <v>900</v>
      </c>
      <c r="K239" s="36">
        <v>1000</v>
      </c>
      <c r="L239" s="21"/>
      <c r="M239" s="21"/>
      <c r="N239" s="21"/>
      <c r="O239" s="21"/>
      <c r="P239" s="21"/>
      <c r="Q239" s="21"/>
      <c r="R239" s="21"/>
      <c r="S239" s="21"/>
      <c r="T239" s="20"/>
    </row>
    <row r="240" spans="1:20" x14ac:dyDescent="0.3">
      <c r="A240" s="18"/>
      <c r="B240" s="181" t="s">
        <v>200</v>
      </c>
      <c r="C240" s="181" t="s">
        <v>1026</v>
      </c>
      <c r="D240" s="181" t="s">
        <v>1023</v>
      </c>
      <c r="E240" s="208">
        <v>900</v>
      </c>
      <c r="F240" s="21"/>
      <c r="G240" s="21"/>
      <c r="H240" s="21"/>
      <c r="I240" s="3" t="str">
        <v>Sally</v>
      </c>
      <c r="J240" s="36">
        <v>1750</v>
      </c>
      <c r="K240" s="36">
        <v>1700</v>
      </c>
      <c r="L240" s="21"/>
      <c r="M240" s="21"/>
      <c r="N240" s="21"/>
      <c r="O240" s="21"/>
      <c r="P240" s="21"/>
      <c r="Q240" s="21"/>
      <c r="R240" s="21"/>
      <c r="S240" s="21"/>
      <c r="T240" s="20"/>
    </row>
    <row r="241" spans="1:20" x14ac:dyDescent="0.3">
      <c r="A241" s="18"/>
      <c r="B241" s="181" t="s">
        <v>161</v>
      </c>
      <c r="C241" s="181" t="s">
        <v>1026</v>
      </c>
      <c r="D241" s="181" t="s">
        <v>1023</v>
      </c>
      <c r="E241" s="208">
        <v>600</v>
      </c>
      <c r="F241" s="21"/>
      <c r="G241" s="21"/>
      <c r="H241" s="21"/>
      <c r="I241" s="3" t="str">
        <v>Tom</v>
      </c>
      <c r="J241" s="36">
        <v>1100</v>
      </c>
      <c r="K241" s="36">
        <v>1300</v>
      </c>
      <c r="L241" s="21"/>
      <c r="M241" s="21"/>
      <c r="N241" s="21"/>
      <c r="O241" s="21"/>
      <c r="P241" s="21"/>
      <c r="Q241" s="21"/>
      <c r="R241" s="21"/>
      <c r="S241" s="21"/>
      <c r="T241" s="20"/>
    </row>
    <row r="242" spans="1:20" x14ac:dyDescent="0.3">
      <c r="A242" s="18"/>
      <c r="B242" s="181" t="s">
        <v>1020</v>
      </c>
      <c r="C242" s="181" t="s">
        <v>1027</v>
      </c>
      <c r="D242" s="181" t="s">
        <v>1023</v>
      </c>
      <c r="E242" s="208">
        <v>550</v>
      </c>
      <c r="F242" s="21"/>
      <c r="G242" s="21"/>
      <c r="H242" s="21"/>
      <c r="I242" s="21"/>
      <c r="J242" s="21"/>
      <c r="K242" s="21"/>
      <c r="L242" s="21"/>
      <c r="M242" s="21"/>
      <c r="N242" s="21"/>
      <c r="O242" s="21"/>
      <c r="P242" s="21"/>
      <c r="Q242" s="21"/>
      <c r="R242" s="21"/>
      <c r="S242" s="21"/>
      <c r="T242" s="20"/>
    </row>
    <row r="243" spans="1:20" x14ac:dyDescent="0.3">
      <c r="A243" s="18"/>
      <c r="B243" s="181" t="s">
        <v>200</v>
      </c>
      <c r="C243" s="181" t="s">
        <v>1027</v>
      </c>
      <c r="D243" s="181" t="s">
        <v>1023</v>
      </c>
      <c r="E243" s="208">
        <v>900</v>
      </c>
      <c r="F243" s="21"/>
      <c r="G243" s="21"/>
      <c r="H243" s="21"/>
      <c r="I243" s="21"/>
      <c r="J243" s="21"/>
      <c r="K243" s="21"/>
      <c r="L243" s="21"/>
      <c r="M243" s="21"/>
      <c r="N243" s="21"/>
      <c r="O243" s="21"/>
      <c r="P243" s="21"/>
      <c r="Q243" s="21"/>
      <c r="R243" s="21"/>
      <c r="S243" s="21"/>
      <c r="T243" s="20"/>
    </row>
    <row r="244" spans="1:20" x14ac:dyDescent="0.3">
      <c r="A244" s="18"/>
      <c r="B244" s="181" t="s">
        <v>161</v>
      </c>
      <c r="C244" s="181" t="s">
        <v>1027</v>
      </c>
      <c r="D244" s="181" t="s">
        <v>1023</v>
      </c>
      <c r="E244" s="208">
        <v>700</v>
      </c>
      <c r="F244" s="21"/>
      <c r="G244" s="21"/>
      <c r="H244" s="21"/>
      <c r="I244" s="21"/>
      <c r="J244" s="21"/>
      <c r="K244" s="21"/>
      <c r="L244" s="21"/>
      <c r="M244" s="21"/>
      <c r="N244" s="21"/>
      <c r="O244" s="21"/>
      <c r="P244" s="21"/>
      <c r="Q244" s="21"/>
      <c r="R244" s="21"/>
      <c r="S244" s="21"/>
      <c r="T244" s="20"/>
    </row>
    <row r="245" spans="1:20" x14ac:dyDescent="0.3">
      <c r="A245" s="18"/>
      <c r="B245" s="181" t="s">
        <v>1020</v>
      </c>
      <c r="C245" s="181" t="s">
        <v>1027</v>
      </c>
      <c r="D245" s="181" t="s">
        <v>1024</v>
      </c>
      <c r="E245" s="208">
        <v>450</v>
      </c>
      <c r="F245" s="21"/>
      <c r="G245" s="21"/>
      <c r="H245" s="21"/>
      <c r="I245" s="21"/>
      <c r="J245" s="21"/>
      <c r="K245" s="21"/>
      <c r="L245" s="21"/>
      <c r="M245" s="21"/>
      <c r="N245" s="21"/>
      <c r="O245" s="21"/>
      <c r="P245" s="21"/>
      <c r="Q245" s="21"/>
      <c r="R245" s="21"/>
      <c r="S245" s="21"/>
      <c r="T245" s="20"/>
    </row>
    <row r="246" spans="1:20" x14ac:dyDescent="0.3">
      <c r="A246" s="18"/>
      <c r="B246" s="181" t="s">
        <v>200</v>
      </c>
      <c r="C246" s="181" t="s">
        <v>1027</v>
      </c>
      <c r="D246" s="181" t="s">
        <v>1024</v>
      </c>
      <c r="E246" s="208">
        <v>800</v>
      </c>
      <c r="F246" s="21"/>
      <c r="G246" s="21"/>
      <c r="H246" s="21"/>
      <c r="I246" s="21" t="str">
        <f t="array" ref="I246:K249">_xll.U.TABLE_TO_GRID(B238:E250,"Name","GameTime","min(Pay)")</f>
        <v/>
      </c>
      <c r="J246" s="3" t="str">
        <v>Day</v>
      </c>
      <c r="K246" s="3" t="str">
        <v>Night</v>
      </c>
      <c r="L246" s="21"/>
      <c r="M246" s="21"/>
      <c r="N246" s="21"/>
      <c r="O246" s="21"/>
      <c r="P246" s="21"/>
      <c r="Q246" s="21"/>
      <c r="R246" s="21"/>
      <c r="S246" s="21"/>
      <c r="T246" s="20"/>
    </row>
    <row r="247" spans="1:20" x14ac:dyDescent="0.3">
      <c r="A247" s="18"/>
      <c r="B247" s="181" t="s">
        <v>161</v>
      </c>
      <c r="C247" s="181" t="s">
        <v>1027</v>
      </c>
      <c r="D247" s="181" t="s">
        <v>1024</v>
      </c>
      <c r="E247" s="208">
        <v>600</v>
      </c>
      <c r="F247" s="21"/>
      <c r="G247" s="21"/>
      <c r="H247" s="21"/>
      <c r="I247" s="3" t="str">
        <v>Bill</v>
      </c>
      <c r="J247" s="36">
        <v>900</v>
      </c>
      <c r="K247" s="36">
        <v>1000</v>
      </c>
      <c r="L247" s="21"/>
      <c r="M247" s="21"/>
      <c r="N247" s="21"/>
      <c r="O247" s="21"/>
      <c r="P247" s="21"/>
      <c r="Q247" s="21"/>
      <c r="R247" s="21"/>
      <c r="S247" s="21"/>
      <c r="T247" s="20"/>
    </row>
    <row r="248" spans="1:20" x14ac:dyDescent="0.3">
      <c r="A248" s="18"/>
      <c r="B248" s="181" t="s">
        <v>1020</v>
      </c>
      <c r="C248" s="181" t="s">
        <v>1026</v>
      </c>
      <c r="D248" s="181" t="s">
        <v>1024</v>
      </c>
      <c r="E248" s="208">
        <v>400</v>
      </c>
      <c r="F248" s="21"/>
      <c r="G248" s="21"/>
      <c r="H248" s="21"/>
      <c r="I248" s="3" t="str">
        <v>Sally</v>
      </c>
      <c r="J248" s="36">
        <v>1750</v>
      </c>
      <c r="K248" s="36">
        <v>1700</v>
      </c>
      <c r="L248" s="21"/>
      <c r="M248" s="21"/>
      <c r="N248" s="21"/>
      <c r="O248" s="21"/>
      <c r="P248" s="21"/>
      <c r="Q248" s="21"/>
      <c r="R248" s="21"/>
      <c r="S248" s="21"/>
      <c r="T248" s="20"/>
    </row>
    <row r="249" spans="1:20" x14ac:dyDescent="0.3">
      <c r="A249" s="18"/>
      <c r="B249" s="181" t="s">
        <v>200</v>
      </c>
      <c r="C249" s="181" t="s">
        <v>1026</v>
      </c>
      <c r="D249" s="181" t="s">
        <v>1024</v>
      </c>
      <c r="E249" s="208">
        <v>850</v>
      </c>
      <c r="F249" s="21"/>
      <c r="G249" s="21"/>
      <c r="H249" s="21"/>
      <c r="I249" s="3" t="str">
        <v>Tom</v>
      </c>
      <c r="J249" s="36">
        <v>1100</v>
      </c>
      <c r="K249" s="36">
        <v>1300</v>
      </c>
      <c r="L249" s="21"/>
      <c r="M249" s="21"/>
      <c r="N249" s="21"/>
      <c r="O249" s="21"/>
      <c r="P249" s="21"/>
      <c r="Q249" s="21"/>
      <c r="R249" s="21"/>
      <c r="S249" s="21"/>
      <c r="T249" s="20"/>
    </row>
    <row r="250" spans="1:20" x14ac:dyDescent="0.3">
      <c r="A250" s="18"/>
      <c r="B250" s="181" t="s">
        <v>161</v>
      </c>
      <c r="C250" s="181" t="s">
        <v>1026</v>
      </c>
      <c r="D250" s="181" t="s">
        <v>1024</v>
      </c>
      <c r="E250" s="208">
        <v>500</v>
      </c>
      <c r="F250" s="21"/>
      <c r="G250" s="21"/>
      <c r="H250" s="21"/>
      <c r="I250" s="21"/>
      <c r="J250" s="21"/>
      <c r="K250" s="21"/>
      <c r="L250" s="21"/>
      <c r="M250" s="21"/>
      <c r="N250" s="21"/>
      <c r="O250" s="21"/>
      <c r="P250" s="21"/>
      <c r="Q250" s="21"/>
      <c r="R250" s="21"/>
      <c r="S250" s="21"/>
      <c r="T250" s="20"/>
    </row>
    <row r="251" spans="1:20" x14ac:dyDescent="0.3">
      <c r="A251" s="18"/>
      <c r="B251" s="21"/>
      <c r="C251" s="21"/>
      <c r="D251" s="21"/>
      <c r="E251" s="21"/>
      <c r="F251" s="21"/>
      <c r="G251" s="21"/>
      <c r="H251" s="21"/>
      <c r="I251" s="21"/>
      <c r="J251" s="21"/>
      <c r="K251" s="21"/>
      <c r="L251" s="21"/>
      <c r="M251" s="21"/>
      <c r="N251" s="21"/>
      <c r="O251" s="21"/>
      <c r="P251" s="21"/>
      <c r="Q251" s="21"/>
      <c r="R251" s="21"/>
      <c r="S251" s="21"/>
      <c r="T251" s="20"/>
    </row>
    <row r="252" spans="1:20" x14ac:dyDescent="0.3">
      <c r="A252" s="18"/>
      <c r="B252" s="21"/>
      <c r="C252" s="21"/>
      <c r="D252" s="21"/>
      <c r="E252" s="21"/>
      <c r="F252" s="21"/>
      <c r="G252" s="21"/>
      <c r="H252" s="21"/>
      <c r="I252" s="21"/>
      <c r="J252" s="21"/>
      <c r="K252" s="21"/>
      <c r="L252" s="21"/>
      <c r="M252" s="21"/>
      <c r="N252" s="21"/>
      <c r="O252" s="21"/>
      <c r="P252" s="21"/>
      <c r="Q252" s="21"/>
      <c r="R252" s="21"/>
      <c r="S252" s="21"/>
      <c r="T252" s="20"/>
    </row>
    <row r="253" spans="1:20" x14ac:dyDescent="0.3">
      <c r="A253" s="18"/>
      <c r="B253" s="21"/>
      <c r="C253" s="21"/>
      <c r="D253" s="21"/>
      <c r="E253" s="21"/>
      <c r="F253" s="21"/>
      <c r="G253" s="21"/>
      <c r="H253" s="21"/>
      <c r="I253" s="21" t="str">
        <f t="array" ref="I253:K256">_xll.U.TABLE_TO_GRID(B238:E250,"Name","Entry","last(GameTime)")</f>
        <v/>
      </c>
      <c r="J253" s="3" t="str">
        <v>Starter</v>
      </c>
      <c r="K253" s="3" t="str">
        <v>Sub</v>
      </c>
      <c r="L253" s="21"/>
      <c r="M253" s="21"/>
      <c r="N253" s="21"/>
      <c r="O253" s="21"/>
      <c r="P253" s="21"/>
      <c r="Q253" s="21"/>
      <c r="R253" s="21"/>
      <c r="S253" s="21"/>
      <c r="T253" s="20"/>
    </row>
    <row r="254" spans="1:20" x14ac:dyDescent="0.3">
      <c r="A254" s="18"/>
      <c r="B254" s="21"/>
      <c r="C254" s="21"/>
      <c r="D254" s="21"/>
      <c r="E254" s="21"/>
      <c r="F254" s="21"/>
      <c r="G254" s="21"/>
      <c r="H254" s="21"/>
      <c r="I254" s="3" t="str">
        <v>Bill</v>
      </c>
      <c r="J254" s="36" t="e">
        <v>#VALUE!</v>
      </c>
      <c r="K254" s="36" t="e">
        <v>#VALUE!</v>
      </c>
      <c r="L254" s="21"/>
      <c r="M254" s="21"/>
      <c r="N254" s="21"/>
      <c r="O254" s="21"/>
      <c r="P254" s="21"/>
      <c r="Q254" s="21"/>
      <c r="R254" s="21"/>
      <c r="S254" s="21"/>
      <c r="T254" s="20"/>
    </row>
    <row r="255" spans="1:20" x14ac:dyDescent="0.3">
      <c r="A255" s="18"/>
      <c r="B255" s="21"/>
      <c r="C255" s="21"/>
      <c r="D255" s="21"/>
      <c r="E255" s="21"/>
      <c r="F255" s="21"/>
      <c r="G255" s="21"/>
      <c r="H255" s="21"/>
      <c r="I255" s="3" t="str">
        <v>Sally</v>
      </c>
      <c r="J255" s="36" t="e">
        <v>#VALUE!</v>
      </c>
      <c r="K255" s="36" t="e">
        <v>#VALUE!</v>
      </c>
      <c r="L255" s="21"/>
      <c r="M255" s="21"/>
      <c r="N255" s="21"/>
      <c r="O255" s="21"/>
      <c r="P255" s="21"/>
      <c r="Q255" s="21"/>
      <c r="R255" s="21"/>
      <c r="S255" s="21"/>
      <c r="T255" s="20"/>
    </row>
    <row r="256" spans="1:20" x14ac:dyDescent="0.3">
      <c r="A256" s="18"/>
      <c r="B256" s="21"/>
      <c r="C256" s="21"/>
      <c r="D256" s="21"/>
      <c r="E256" s="21"/>
      <c r="F256" s="21"/>
      <c r="G256" s="21"/>
      <c r="H256" s="21"/>
      <c r="I256" s="3" t="str">
        <v>Tom</v>
      </c>
      <c r="J256" s="36" t="e">
        <v>#VALUE!</v>
      </c>
      <c r="K256" s="36" t="e">
        <v>#VALUE!</v>
      </c>
      <c r="L256" s="21"/>
      <c r="M256" s="21"/>
      <c r="N256" s="21"/>
      <c r="O256" s="21"/>
      <c r="P256" s="21"/>
      <c r="Q256" s="21"/>
      <c r="R256" s="21"/>
      <c r="S256" s="21"/>
      <c r="T256" s="20"/>
    </row>
    <row r="257" spans="1:20" x14ac:dyDescent="0.3">
      <c r="A257" s="18"/>
      <c r="B257" s="21"/>
      <c r="C257" s="21"/>
      <c r="D257" s="21"/>
      <c r="E257" s="21"/>
      <c r="F257" s="21"/>
      <c r="G257" s="21"/>
      <c r="H257" s="21"/>
      <c r="I257" s="21"/>
      <c r="J257" s="21"/>
      <c r="K257" s="21"/>
      <c r="L257" s="21"/>
      <c r="M257" s="21"/>
      <c r="N257" s="21"/>
      <c r="O257" s="21"/>
      <c r="P257" s="21"/>
      <c r="Q257" s="21"/>
      <c r="R257" s="21"/>
      <c r="S257" s="21"/>
      <c r="T257" s="20"/>
    </row>
    <row r="258" spans="1:20" x14ac:dyDescent="0.3">
      <c r="A258" s="18"/>
      <c r="B258" s="21"/>
      <c r="C258" s="21"/>
      <c r="D258" s="21"/>
      <c r="E258" s="21"/>
      <c r="F258" s="21"/>
      <c r="G258" s="21"/>
      <c r="H258" s="21"/>
      <c r="I258" s="21"/>
      <c r="J258" s="21"/>
      <c r="K258" s="21"/>
      <c r="L258" s="21"/>
      <c r="M258" s="21"/>
      <c r="N258" s="21"/>
      <c r="O258" s="21"/>
      <c r="P258" s="21"/>
      <c r="Q258" s="21"/>
      <c r="R258" s="21"/>
      <c r="S258" s="21"/>
      <c r="T258" s="20"/>
    </row>
    <row r="259" spans="1:20" x14ac:dyDescent="0.3">
      <c r="A259" s="18"/>
      <c r="B259" s="21"/>
      <c r="C259" s="21"/>
      <c r="D259" s="21"/>
      <c r="E259" s="21"/>
      <c r="F259" s="21"/>
      <c r="G259" s="21"/>
      <c r="H259" s="21"/>
      <c r="I259" s="21"/>
      <c r="J259" s="21"/>
      <c r="K259" s="21"/>
      <c r="L259" s="21"/>
      <c r="M259" s="21"/>
      <c r="N259" s="21"/>
      <c r="O259" s="21"/>
      <c r="P259" s="21"/>
      <c r="Q259" s="21"/>
      <c r="R259" s="21"/>
      <c r="S259" s="21"/>
      <c r="T259" s="20"/>
    </row>
    <row r="260" spans="1:20" x14ac:dyDescent="0.3">
      <c r="A260" s="18"/>
      <c r="B260" s="21"/>
      <c r="C260" s="21"/>
      <c r="D260" s="21"/>
      <c r="E260" s="21"/>
      <c r="F260" s="21"/>
      <c r="G260" s="21"/>
      <c r="H260" s="21"/>
      <c r="I260" s="21" t="str">
        <f t="array" ref="I260:K264">_xll.U.TABLE_TO_GRID(B238:E250,"Name,total()","GameTime","Pay")</f>
        <v/>
      </c>
      <c r="J260" s="3" t="str">
        <v>Day</v>
      </c>
      <c r="K260" s="3" t="str">
        <v>Night</v>
      </c>
      <c r="L260" s="21"/>
      <c r="M260" s="21"/>
      <c r="N260" s="21"/>
      <c r="O260" s="21"/>
      <c r="P260" s="21"/>
      <c r="Q260" s="21"/>
      <c r="R260" s="21"/>
      <c r="S260" s="21"/>
      <c r="T260" s="20"/>
    </row>
    <row r="261" spans="1:20" x14ac:dyDescent="0.3">
      <c r="A261" s="18"/>
      <c r="B261" s="21"/>
      <c r="C261" s="21"/>
      <c r="D261" s="21"/>
      <c r="E261" s="21"/>
      <c r="F261" s="21"/>
      <c r="G261" s="21"/>
      <c r="H261" s="21"/>
      <c r="I261" s="3" t="str">
        <v>Bill</v>
      </c>
      <c r="J261" s="36">
        <v>900</v>
      </c>
      <c r="K261" s="36">
        <v>1000</v>
      </c>
      <c r="L261" s="21"/>
      <c r="M261" s="21"/>
      <c r="N261" s="21"/>
      <c r="O261" s="21"/>
      <c r="P261" s="21"/>
      <c r="Q261" s="21"/>
      <c r="R261" s="21"/>
      <c r="S261" s="21"/>
      <c r="T261" s="20"/>
    </row>
    <row r="262" spans="1:20" x14ac:dyDescent="0.3">
      <c r="A262" s="18"/>
      <c r="B262" s="21"/>
      <c r="C262" s="21"/>
      <c r="D262" s="21"/>
      <c r="E262" s="21"/>
      <c r="F262" s="21"/>
      <c r="G262" s="21"/>
      <c r="H262" s="21"/>
      <c r="I262" s="3" t="str">
        <v>Sally</v>
      </c>
      <c r="J262" s="36">
        <v>1750</v>
      </c>
      <c r="K262" s="36">
        <v>1700</v>
      </c>
      <c r="L262" s="21"/>
      <c r="M262" s="21"/>
      <c r="N262" s="21"/>
      <c r="O262" s="21"/>
      <c r="P262" s="21"/>
      <c r="Q262" s="21"/>
      <c r="R262" s="21"/>
      <c r="S262" s="21"/>
      <c r="T262" s="20"/>
    </row>
    <row r="263" spans="1:20" x14ac:dyDescent="0.3">
      <c r="A263" s="18"/>
      <c r="B263" s="21"/>
      <c r="C263" s="21"/>
      <c r="D263" s="21"/>
      <c r="E263" s="21"/>
      <c r="F263" s="21"/>
      <c r="G263" s="21"/>
      <c r="H263" s="21"/>
      <c r="I263" s="3" t="str">
        <v>Tom</v>
      </c>
      <c r="J263" s="36">
        <v>1100</v>
      </c>
      <c r="K263" s="36">
        <v>1300</v>
      </c>
      <c r="L263" s="21"/>
      <c r="M263" s="21"/>
      <c r="N263" s="21"/>
      <c r="O263" s="21"/>
      <c r="P263" s="21"/>
      <c r="Q263" s="21"/>
      <c r="R263" s="21"/>
      <c r="S263" s="21"/>
      <c r="T263" s="20"/>
    </row>
    <row r="264" spans="1:20" x14ac:dyDescent="0.3">
      <c r="A264" s="18"/>
      <c r="B264" s="21"/>
      <c r="C264" s="21"/>
      <c r="D264" s="21"/>
      <c r="E264" s="21"/>
      <c r="F264" s="21"/>
      <c r="G264" s="21"/>
      <c r="H264" s="21"/>
      <c r="I264" s="2" t="str">
        <v>Total</v>
      </c>
      <c r="J264" s="320">
        <v>3750</v>
      </c>
      <c r="K264" s="320">
        <v>4000</v>
      </c>
      <c r="L264" s="21"/>
      <c r="M264" s="21"/>
      <c r="N264" s="21"/>
      <c r="O264" s="21"/>
      <c r="P264" s="21"/>
      <c r="Q264" s="21"/>
      <c r="R264" s="21"/>
      <c r="S264" s="21"/>
      <c r="T264" s="20"/>
    </row>
    <row r="265" spans="1:20" x14ac:dyDescent="0.3">
      <c r="A265" s="18"/>
      <c r="B265" s="21"/>
      <c r="C265" s="21"/>
      <c r="D265" s="21"/>
      <c r="E265" s="21"/>
      <c r="F265" s="21"/>
      <c r="G265" s="21"/>
      <c r="H265" s="21"/>
      <c r="I265" s="21"/>
      <c r="J265" s="21"/>
      <c r="K265" s="21"/>
      <c r="L265" s="21"/>
      <c r="M265" s="21"/>
      <c r="N265" s="21"/>
      <c r="O265" s="21"/>
      <c r="P265" s="21"/>
      <c r="Q265" s="21"/>
      <c r="R265" s="21"/>
      <c r="S265" s="21"/>
      <c r="T265" s="20"/>
    </row>
    <row r="266" spans="1:20" x14ac:dyDescent="0.3">
      <c r="A266" s="18"/>
      <c r="B266" s="21"/>
      <c r="C266" s="21"/>
      <c r="D266" s="21"/>
      <c r="E266" s="21"/>
      <c r="F266" s="21"/>
      <c r="G266" s="21"/>
      <c r="H266" s="21"/>
      <c r="I266" s="21"/>
      <c r="J266" s="21"/>
      <c r="K266" s="21"/>
      <c r="L266" s="21"/>
      <c r="M266" s="21"/>
      <c r="N266" s="21"/>
      <c r="O266" s="21"/>
      <c r="P266" s="21"/>
      <c r="Q266" s="21"/>
      <c r="R266" s="21"/>
      <c r="S266" s="21"/>
      <c r="T266" s="20"/>
    </row>
    <row r="267" spans="1:20" x14ac:dyDescent="0.3">
      <c r="A267" s="18"/>
      <c r="B267" s="21"/>
      <c r="C267" s="21"/>
      <c r="D267" s="21"/>
      <c r="E267" s="21"/>
      <c r="F267" s="21"/>
      <c r="G267" s="21"/>
      <c r="H267" s="21"/>
      <c r="I267" s="21"/>
      <c r="J267" s="21"/>
      <c r="K267" s="21"/>
      <c r="L267" s="21"/>
      <c r="M267" s="21"/>
      <c r="N267" s="21"/>
      <c r="O267" s="21"/>
      <c r="P267" s="21"/>
      <c r="Q267" s="21"/>
      <c r="R267" s="21"/>
      <c r="S267" s="21"/>
      <c r="T267" s="20"/>
    </row>
    <row r="268" spans="1:20" x14ac:dyDescent="0.3">
      <c r="A268" s="18"/>
      <c r="B268" s="21"/>
      <c r="C268" s="3" t="s">
        <v>3788</v>
      </c>
      <c r="D268" s="21"/>
      <c r="F268" s="21"/>
      <c r="G268" s="21"/>
      <c r="H268" s="21"/>
      <c r="I268" s="21" t="str">
        <f t="array" ref="I268:M275">_xll.U.TABLE_TO_GRID(B238:E250,"total(Payroll,true),Name,avg(Avg Pay),max(Max Pay),min(Min Pay)",C269:C271,"Pay")</f>
        <v/>
      </c>
      <c r="J268" s="3" t="str">
        <v>Day</v>
      </c>
      <c r="K268" s="3" t="str">
        <v>Night</v>
      </c>
      <c r="L268" s="85" t="str">
        <v>Shift Total</v>
      </c>
      <c r="M268" s="85" t="str">
        <v>Shift Avg</v>
      </c>
      <c r="N268" s="21"/>
      <c r="O268" s="21"/>
      <c r="P268" s="21"/>
      <c r="Q268" s="21"/>
      <c r="R268" s="21"/>
      <c r="S268" s="21"/>
      <c r="T268" s="20"/>
    </row>
    <row r="269" spans="1:20" x14ac:dyDescent="0.3">
      <c r="A269" s="18"/>
      <c r="B269" s="21"/>
      <c r="C269" s="181" t="s">
        <v>1025</v>
      </c>
      <c r="D269" s="21"/>
      <c r="F269" s="21"/>
      <c r="G269" s="21"/>
      <c r="H269" s="21"/>
      <c r="I269" s="2" t="str">
        <v>Payroll</v>
      </c>
      <c r="J269" s="11">
        <v>3750</v>
      </c>
      <c r="K269" s="11">
        <v>4000</v>
      </c>
      <c r="L269" s="320">
        <v>7750</v>
      </c>
      <c r="M269" s="320">
        <v>3875</v>
      </c>
      <c r="N269" s="21"/>
      <c r="O269" s="21"/>
      <c r="P269" s="21"/>
      <c r="Q269" s="21"/>
      <c r="R269" s="21"/>
      <c r="S269" s="21"/>
      <c r="T269" s="20"/>
    </row>
    <row r="270" spans="1:20" x14ac:dyDescent="0.3">
      <c r="A270" s="18"/>
      <c r="B270" s="21"/>
      <c r="C270" s="181" t="s">
        <v>3789</v>
      </c>
      <c r="D270" s="21"/>
      <c r="F270" s="21"/>
      <c r="G270" s="21"/>
      <c r="H270" s="21"/>
      <c r="I270" s="3" t="str">
        <v>Bill</v>
      </c>
      <c r="J270" s="36">
        <v>900</v>
      </c>
      <c r="K270" s="36">
        <v>1000</v>
      </c>
      <c r="L270" s="111">
        <v>1900</v>
      </c>
      <c r="M270" s="111">
        <v>950</v>
      </c>
      <c r="N270" s="21"/>
      <c r="O270" s="21"/>
      <c r="P270" s="21"/>
      <c r="Q270" s="21"/>
      <c r="R270" s="21"/>
      <c r="S270" s="21"/>
      <c r="T270" s="20"/>
    </row>
    <row r="271" spans="1:20" x14ac:dyDescent="0.3">
      <c r="A271" s="18"/>
      <c r="B271" s="21"/>
      <c r="C271" s="181" t="s">
        <v>3790</v>
      </c>
      <c r="D271" s="21"/>
      <c r="F271" s="21"/>
      <c r="G271" s="21"/>
      <c r="H271" s="21"/>
      <c r="I271" s="3" t="str">
        <v>Sally</v>
      </c>
      <c r="J271" s="36">
        <v>1750</v>
      </c>
      <c r="K271" s="36">
        <v>1700</v>
      </c>
      <c r="L271" s="111">
        <v>3450</v>
      </c>
      <c r="M271" s="111">
        <v>1725</v>
      </c>
      <c r="N271" s="21"/>
      <c r="O271" s="21"/>
      <c r="P271" s="21"/>
      <c r="Q271" s="21"/>
      <c r="R271" s="21"/>
      <c r="S271" s="21"/>
      <c r="T271" s="20"/>
    </row>
    <row r="272" spans="1:20" x14ac:dyDescent="0.3">
      <c r="A272" s="18"/>
      <c r="B272" s="21"/>
      <c r="C272" s="21"/>
      <c r="D272" s="21"/>
      <c r="E272" s="21"/>
      <c r="F272" s="21"/>
      <c r="G272" s="21"/>
      <c r="H272" s="21"/>
      <c r="I272" s="3" t="str">
        <v>Tom</v>
      </c>
      <c r="J272" s="36">
        <v>1100</v>
      </c>
      <c r="K272" s="36">
        <v>1300</v>
      </c>
      <c r="L272" s="111">
        <v>2400</v>
      </c>
      <c r="M272" s="111">
        <v>1200</v>
      </c>
      <c r="N272" s="21"/>
      <c r="O272" s="21"/>
      <c r="P272" s="21"/>
      <c r="Q272" s="21"/>
      <c r="R272" s="21"/>
      <c r="S272" s="21"/>
      <c r="T272" s="20"/>
    </row>
    <row r="273" spans="1:20" x14ac:dyDescent="0.3">
      <c r="A273" s="18"/>
      <c r="B273" s="21"/>
      <c r="C273" s="21"/>
      <c r="D273" s="21"/>
      <c r="E273" s="21"/>
      <c r="F273" s="21"/>
      <c r="G273" s="21"/>
      <c r="H273" s="21"/>
      <c r="I273" s="470" t="str">
        <v>Avg Pay</v>
      </c>
      <c r="J273" s="471">
        <v>1250</v>
      </c>
      <c r="K273" s="471">
        <v>1333.3333333333333</v>
      </c>
      <c r="L273" s="472">
        <v>2583.333333333333</v>
      </c>
      <c r="M273" s="472">
        <v>1291.6666666666665</v>
      </c>
      <c r="N273" s="21"/>
      <c r="O273" s="21"/>
      <c r="P273" s="21"/>
      <c r="Q273" s="21"/>
      <c r="R273" s="21"/>
      <c r="S273" s="21"/>
      <c r="T273" s="20"/>
    </row>
    <row r="274" spans="1:20" x14ac:dyDescent="0.3">
      <c r="A274" s="18"/>
      <c r="B274" s="21"/>
      <c r="C274" s="21"/>
      <c r="D274" s="21"/>
      <c r="E274" s="21"/>
      <c r="F274" s="21"/>
      <c r="G274" s="21"/>
      <c r="H274" s="21"/>
      <c r="I274" s="470" t="str">
        <v>Max Pay</v>
      </c>
      <c r="J274" s="471">
        <v>1750</v>
      </c>
      <c r="K274" s="471">
        <v>1700</v>
      </c>
      <c r="L274" s="472">
        <v>3450</v>
      </c>
      <c r="M274" s="472">
        <v>1725</v>
      </c>
      <c r="N274" s="21"/>
      <c r="O274" s="21"/>
      <c r="P274" s="21"/>
      <c r="Q274" s="21"/>
      <c r="R274" s="21"/>
      <c r="S274" s="21"/>
      <c r="T274" s="20"/>
    </row>
    <row r="275" spans="1:20" x14ac:dyDescent="0.3">
      <c r="A275" s="18"/>
      <c r="B275" s="21"/>
      <c r="C275" s="21"/>
      <c r="D275" s="21"/>
      <c r="E275" s="21"/>
      <c r="F275" s="21"/>
      <c r="G275" s="21"/>
      <c r="H275" s="21"/>
      <c r="I275" s="470" t="str">
        <v>Min Pay</v>
      </c>
      <c r="J275" s="471">
        <v>900</v>
      </c>
      <c r="K275" s="471">
        <v>1000</v>
      </c>
      <c r="L275" s="472">
        <v>1900</v>
      </c>
      <c r="M275" s="472">
        <v>950</v>
      </c>
      <c r="N275" s="21"/>
      <c r="O275" s="21"/>
      <c r="P275" s="21"/>
      <c r="Q275" s="21"/>
      <c r="R275" s="21"/>
      <c r="S275" s="21"/>
      <c r="T275" s="20"/>
    </row>
    <row r="276" spans="1:20" x14ac:dyDescent="0.3">
      <c r="A276" s="18"/>
      <c r="B276" s="21"/>
      <c r="C276" s="21"/>
      <c r="D276" s="21"/>
      <c r="E276" s="21"/>
      <c r="F276" s="21"/>
      <c r="G276" s="21"/>
      <c r="H276" s="21"/>
      <c r="I276" s="21"/>
      <c r="J276" s="21"/>
      <c r="K276" s="21"/>
      <c r="L276" s="21"/>
      <c r="M276" s="21"/>
      <c r="N276" s="21"/>
      <c r="O276" s="21"/>
      <c r="P276" s="21"/>
      <c r="Q276" s="21"/>
      <c r="R276" s="21"/>
      <c r="S276" s="21"/>
      <c r="T276" s="20"/>
    </row>
    <row r="277" spans="1:20" x14ac:dyDescent="0.3">
      <c r="A277" s="18"/>
      <c r="B277" s="21"/>
      <c r="C277" s="21"/>
      <c r="D277" s="21"/>
      <c r="E277" s="21"/>
      <c r="F277" s="21"/>
      <c r="G277" s="21"/>
      <c r="H277" s="21"/>
      <c r="I277" s="21"/>
      <c r="J277" s="21"/>
      <c r="K277" s="21"/>
      <c r="L277" s="21"/>
      <c r="M277" s="21"/>
      <c r="N277" s="21"/>
      <c r="O277" s="21"/>
      <c r="P277" s="21"/>
      <c r="Q277" s="21"/>
      <c r="R277" s="21"/>
      <c r="S277" s="21"/>
      <c r="T277" s="20"/>
    </row>
    <row r="278" spans="1:20" x14ac:dyDescent="0.3">
      <c r="A278" s="18"/>
      <c r="B278" s="21"/>
      <c r="C278" s="21"/>
      <c r="D278" s="21"/>
      <c r="E278" s="21"/>
      <c r="F278" s="21"/>
      <c r="G278" s="21"/>
      <c r="H278" s="21"/>
      <c r="I278" s="21"/>
      <c r="J278" s="21"/>
      <c r="K278" s="21"/>
      <c r="L278" s="21"/>
      <c r="M278" s="21"/>
      <c r="N278" s="21"/>
      <c r="O278" s="21"/>
      <c r="P278" s="21"/>
      <c r="Q278" s="21"/>
      <c r="R278" s="21"/>
      <c r="S278" s="21"/>
      <c r="T278" s="20"/>
    </row>
    <row r="279" spans="1:20" x14ac:dyDescent="0.3">
      <c r="A279" s="18"/>
      <c r="B279" s="21"/>
      <c r="C279" s="21"/>
      <c r="D279" s="21"/>
      <c r="E279" s="21"/>
      <c r="F279" s="21"/>
      <c r="G279" s="21"/>
      <c r="H279" s="21"/>
      <c r="I279" s="21"/>
      <c r="J279" s="21"/>
      <c r="K279" s="21"/>
      <c r="L279" s="21"/>
      <c r="M279" s="21"/>
      <c r="N279" s="21"/>
      <c r="O279" s="21"/>
      <c r="P279" s="21"/>
      <c r="Q279" s="21"/>
      <c r="R279" s="21"/>
      <c r="S279" s="21"/>
      <c r="T279" s="20"/>
    </row>
    <row r="280" spans="1:20" x14ac:dyDescent="0.3">
      <c r="A280" s="18"/>
      <c r="B280" s="21"/>
      <c r="C280" s="21"/>
      <c r="D280" s="21"/>
      <c r="E280" s="21"/>
      <c r="F280" s="21"/>
      <c r="G280" s="21"/>
      <c r="H280" s="21"/>
      <c r="I280" s="21"/>
      <c r="J280" s="21"/>
      <c r="K280" s="21"/>
      <c r="L280" s="21"/>
      <c r="M280" s="21"/>
      <c r="N280" s="21"/>
      <c r="O280" s="21"/>
      <c r="P280" s="21"/>
      <c r="Q280" s="21"/>
      <c r="R280" s="21"/>
      <c r="S280" s="21"/>
      <c r="T280" s="20"/>
    </row>
    <row r="281" spans="1:20" x14ac:dyDescent="0.3">
      <c r="A281" s="18"/>
      <c r="B281" s="21"/>
      <c r="C281" s="21"/>
      <c r="D281" s="21"/>
      <c r="E281" s="21"/>
      <c r="F281" s="21"/>
      <c r="G281" s="21"/>
      <c r="H281" s="21"/>
      <c r="I281" s="21"/>
      <c r="J281" s="21"/>
      <c r="K281" s="21"/>
      <c r="L281" s="21"/>
      <c r="M281" s="21"/>
      <c r="N281" s="21"/>
      <c r="O281" s="21"/>
      <c r="P281" s="21"/>
      <c r="Q281" s="21"/>
      <c r="R281" s="21"/>
      <c r="S281" s="21"/>
      <c r="T281" s="20"/>
    </row>
    <row r="282" spans="1:20" x14ac:dyDescent="0.3">
      <c r="A282" s="18"/>
      <c r="B282" s="21"/>
      <c r="C282" s="21"/>
      <c r="D282" s="21"/>
      <c r="E282" s="21"/>
      <c r="F282" s="21"/>
      <c r="G282" s="21"/>
      <c r="H282" s="21"/>
      <c r="I282" s="21"/>
      <c r="J282" s="21"/>
      <c r="K282" s="21"/>
      <c r="L282" s="21"/>
      <c r="M282" s="21"/>
      <c r="N282" s="21"/>
      <c r="O282" s="21"/>
      <c r="P282" s="21"/>
      <c r="Q282" s="21"/>
      <c r="R282" s="21"/>
      <c r="S282" s="21"/>
      <c r="T282" s="20"/>
    </row>
    <row r="283" spans="1:20" x14ac:dyDescent="0.3">
      <c r="A283" s="18"/>
      <c r="B283" s="21"/>
      <c r="C283" s="21"/>
      <c r="D283" s="21"/>
      <c r="E283" s="21"/>
      <c r="F283" s="21"/>
      <c r="G283" s="21"/>
      <c r="H283" s="21"/>
      <c r="I283" s="21"/>
      <c r="J283" s="21"/>
      <c r="K283" s="21"/>
      <c r="L283" s="21"/>
      <c r="M283" s="21"/>
      <c r="N283" s="21"/>
      <c r="O283" s="21"/>
      <c r="P283" s="21"/>
      <c r="Q283" s="21"/>
      <c r="R283" s="21"/>
      <c r="S283" s="21"/>
      <c r="T283" s="20"/>
    </row>
    <row r="284" spans="1:20" x14ac:dyDescent="0.3">
      <c r="A284" s="18"/>
      <c r="B284" s="21"/>
      <c r="C284" s="21"/>
      <c r="D284" s="21"/>
      <c r="E284" s="21"/>
      <c r="F284" s="21"/>
      <c r="G284" s="21"/>
      <c r="H284" s="21"/>
      <c r="I284" s="21"/>
      <c r="J284" s="21"/>
      <c r="K284" s="21"/>
      <c r="L284" s="21"/>
      <c r="M284" s="21"/>
      <c r="N284" s="21"/>
      <c r="O284" s="21"/>
      <c r="P284" s="21"/>
      <c r="Q284" s="21"/>
      <c r="R284" s="21"/>
      <c r="S284" s="21"/>
      <c r="T284" s="20"/>
    </row>
    <row r="285" spans="1:20" x14ac:dyDescent="0.3">
      <c r="A285" s="18"/>
      <c r="B285" s="21"/>
      <c r="C285" s="21"/>
      <c r="D285" s="21"/>
      <c r="E285" s="21"/>
      <c r="F285" s="21"/>
      <c r="G285" s="21"/>
      <c r="H285" s="21"/>
      <c r="I285" s="21"/>
      <c r="J285" s="21"/>
      <c r="K285" s="21"/>
      <c r="L285" s="21"/>
      <c r="M285" s="21"/>
      <c r="N285" s="21"/>
      <c r="O285" s="21"/>
      <c r="P285" s="21"/>
      <c r="Q285" s="21"/>
      <c r="R285" s="21"/>
      <c r="S285" s="21"/>
      <c r="T285" s="20"/>
    </row>
    <row r="286" spans="1:20" x14ac:dyDescent="0.3">
      <c r="A286" s="18"/>
      <c r="B286" s="21"/>
      <c r="C286" s="21"/>
      <c r="D286" s="21"/>
      <c r="E286" s="21"/>
      <c r="F286" s="21"/>
      <c r="G286" s="21"/>
      <c r="H286" s="21"/>
      <c r="I286" s="21"/>
      <c r="J286" s="21"/>
      <c r="K286" s="21"/>
      <c r="L286" s="21"/>
      <c r="M286" s="21"/>
      <c r="N286" s="21"/>
      <c r="O286" s="21"/>
      <c r="P286" s="21"/>
      <c r="Q286" s="21"/>
      <c r="R286" s="21"/>
      <c r="S286" s="21"/>
      <c r="T286" s="20"/>
    </row>
    <row r="287" spans="1:20" x14ac:dyDescent="0.3">
      <c r="A287" s="18"/>
      <c r="B287" s="21"/>
      <c r="C287" s="21"/>
      <c r="D287" s="21"/>
      <c r="E287" s="21"/>
      <c r="F287" s="21"/>
      <c r="G287" s="21"/>
      <c r="H287" s="21"/>
      <c r="I287" s="21"/>
      <c r="J287" s="21"/>
      <c r="K287" s="21"/>
      <c r="L287" s="21"/>
      <c r="M287" s="21"/>
      <c r="N287" s="21"/>
      <c r="O287" s="21"/>
      <c r="P287" s="21"/>
      <c r="Q287" s="21"/>
      <c r="R287" s="21"/>
      <c r="S287" s="21"/>
      <c r="T287" s="20"/>
    </row>
    <row r="288" spans="1:20" x14ac:dyDescent="0.3">
      <c r="A288" s="18"/>
      <c r="B288" s="21"/>
      <c r="C288" s="21"/>
      <c r="D288" s="21"/>
      <c r="E288" s="21"/>
      <c r="F288" s="21"/>
      <c r="G288" s="21"/>
      <c r="H288" s="21"/>
      <c r="I288" s="21"/>
      <c r="J288" s="21"/>
      <c r="K288" s="21"/>
      <c r="L288" s="21"/>
      <c r="M288" s="21"/>
      <c r="N288" s="21"/>
      <c r="O288" s="21"/>
      <c r="P288" s="21"/>
      <c r="Q288" s="21"/>
      <c r="R288" s="21"/>
      <c r="S288" s="21"/>
      <c r="T288" s="20"/>
    </row>
    <row r="289" spans="1:20" x14ac:dyDescent="0.3">
      <c r="A289" s="490" t="s">
        <v>3419</v>
      </c>
      <c r="B289" s="491"/>
      <c r="C289" s="491"/>
      <c r="D289" s="491"/>
      <c r="E289" s="491"/>
      <c r="F289" s="491"/>
      <c r="G289" s="491"/>
      <c r="H289" s="491"/>
      <c r="I289" s="491"/>
      <c r="J289" s="491"/>
      <c r="K289" s="491"/>
      <c r="L289" s="491"/>
      <c r="M289" s="491"/>
      <c r="N289" s="491"/>
      <c r="O289" s="491"/>
      <c r="P289" s="491"/>
      <c r="Q289" s="491"/>
      <c r="R289" s="491"/>
      <c r="S289" s="21"/>
      <c r="T289" s="20"/>
    </row>
    <row r="290" spans="1:20" x14ac:dyDescent="0.3">
      <c r="A290" s="18"/>
      <c r="B290" s="21"/>
      <c r="C290" s="21"/>
      <c r="D290" s="21"/>
      <c r="E290" s="21"/>
      <c r="F290" s="21"/>
      <c r="G290" s="21"/>
      <c r="H290" s="21"/>
      <c r="I290" s="21"/>
      <c r="J290" s="21"/>
      <c r="K290" s="21"/>
      <c r="L290" s="21"/>
      <c r="M290" s="21"/>
      <c r="N290" s="21"/>
      <c r="O290" s="21"/>
      <c r="P290" s="21"/>
      <c r="Q290" s="21"/>
      <c r="R290" s="21"/>
      <c r="S290" s="21"/>
      <c r="T290" s="20"/>
    </row>
    <row r="291" spans="1:20" x14ac:dyDescent="0.3">
      <c r="A291" s="18"/>
      <c r="B291" s="3" t="s">
        <v>679</v>
      </c>
      <c r="C291" s="3" t="s">
        <v>1065</v>
      </c>
      <c r="D291" s="3" t="s">
        <v>1066</v>
      </c>
      <c r="E291" s="21"/>
      <c r="F291" s="21"/>
      <c r="G291" s="21"/>
      <c r="H291" s="21"/>
      <c r="I291" s="483" t="s">
        <v>3419</v>
      </c>
      <c r="J291" s="483"/>
      <c r="K291" s="21"/>
      <c r="L291" s="21"/>
      <c r="M291" s="21"/>
      <c r="N291" s="21"/>
      <c r="O291" s="21"/>
      <c r="P291" s="21"/>
      <c r="Q291" s="21"/>
      <c r="R291" s="21"/>
      <c r="S291" s="21"/>
      <c r="T291" s="20"/>
    </row>
    <row r="292" spans="1:20" x14ac:dyDescent="0.3">
      <c r="A292" s="18"/>
      <c r="B292" s="181" t="s">
        <v>1020</v>
      </c>
      <c r="C292" s="181">
        <v>35</v>
      </c>
      <c r="D292" s="181" t="s">
        <v>1067</v>
      </c>
      <c r="E292" s="21"/>
      <c r="F292" s="21"/>
      <c r="G292" s="21"/>
      <c r="H292" s="21"/>
      <c r="I292" s="3" t="str">
        <f t="array" ref="I292:J294">_xll.U.TRANSPOSE(B291:D293)</f>
        <v>Name</v>
      </c>
      <c r="J292" s="3" t="str">
        <v>Bill</v>
      </c>
      <c r="K292" s="21"/>
      <c r="L292" s="21"/>
      <c r="M292" s="21"/>
      <c r="N292" s="21"/>
      <c r="O292" s="21"/>
      <c r="P292" s="21"/>
      <c r="Q292" s="21"/>
      <c r="R292" s="21"/>
      <c r="S292" s="21"/>
      <c r="T292" s="20"/>
    </row>
    <row r="293" spans="1:20" x14ac:dyDescent="0.3">
      <c r="A293" s="18"/>
      <c r="B293" s="181" t="s">
        <v>200</v>
      </c>
      <c r="C293" s="181">
        <v>38</v>
      </c>
      <c r="D293" s="181" t="s">
        <v>1068</v>
      </c>
      <c r="E293" s="21"/>
      <c r="F293" s="21"/>
      <c r="G293" s="21"/>
      <c r="H293" s="21"/>
      <c r="I293" s="30" t="str">
        <v>Age</v>
      </c>
      <c r="J293" s="30">
        <v>35</v>
      </c>
      <c r="K293" s="21"/>
      <c r="L293" s="21"/>
      <c r="M293" s="21"/>
      <c r="N293" s="21"/>
      <c r="O293" s="21"/>
      <c r="P293" s="21"/>
      <c r="Q293" s="21"/>
      <c r="R293" s="21"/>
      <c r="S293" s="21"/>
      <c r="T293" s="20"/>
    </row>
    <row r="294" spans="1:20" x14ac:dyDescent="0.3">
      <c r="A294" s="18"/>
      <c r="B294" s="21"/>
      <c r="C294" s="21"/>
      <c r="D294" s="21"/>
      <c r="E294" s="21"/>
      <c r="F294" s="21"/>
      <c r="G294" s="21"/>
      <c r="H294" s="21"/>
      <c r="I294" s="30" t="str">
        <v>Sex</v>
      </c>
      <c r="J294" s="30" t="str">
        <v>M</v>
      </c>
      <c r="K294" s="21"/>
      <c r="L294" s="21"/>
      <c r="M294" s="21"/>
      <c r="N294" s="21"/>
      <c r="O294" s="21"/>
      <c r="P294" s="21"/>
      <c r="Q294" s="21"/>
      <c r="R294" s="21"/>
      <c r="S294" s="21"/>
      <c r="T294" s="20"/>
    </row>
    <row r="295" spans="1:20" x14ac:dyDescent="0.3">
      <c r="A295" s="18"/>
      <c r="B295" s="21"/>
      <c r="C295" s="21"/>
      <c r="D295" s="21"/>
      <c r="E295" s="21"/>
      <c r="F295" s="21"/>
      <c r="G295" s="21"/>
      <c r="H295" s="21"/>
      <c r="I295" s="21"/>
      <c r="J295" s="21"/>
      <c r="K295" s="21"/>
      <c r="L295" s="21"/>
      <c r="M295" s="21"/>
      <c r="N295" s="21"/>
      <c r="O295" s="21"/>
      <c r="P295" s="21"/>
      <c r="Q295" s="21"/>
      <c r="R295" s="21"/>
      <c r="S295" s="21"/>
      <c r="T295" s="20"/>
    </row>
    <row r="296" spans="1:20" x14ac:dyDescent="0.3">
      <c r="A296" s="18"/>
      <c r="B296" s="21"/>
      <c r="C296" s="21"/>
      <c r="D296" s="21"/>
      <c r="E296" s="21"/>
      <c r="F296" s="21"/>
      <c r="G296" s="21"/>
      <c r="H296" s="21"/>
      <c r="I296" s="21"/>
      <c r="J296" s="21"/>
      <c r="K296" s="21"/>
      <c r="L296" s="21"/>
      <c r="M296" s="21"/>
      <c r="N296" s="21"/>
      <c r="O296" s="21"/>
      <c r="P296" s="21"/>
      <c r="Q296" s="21"/>
      <c r="R296" s="21"/>
      <c r="S296" s="21"/>
      <c r="T296" s="20"/>
    </row>
    <row r="297" spans="1:20" x14ac:dyDescent="0.3">
      <c r="A297" s="18"/>
      <c r="B297" s="21"/>
      <c r="C297" s="21"/>
      <c r="D297" s="21"/>
      <c r="E297" s="21"/>
      <c r="F297" s="21"/>
      <c r="G297" s="21"/>
      <c r="H297" s="21"/>
      <c r="I297" s="21"/>
      <c r="J297" s="21"/>
      <c r="K297" s="21"/>
      <c r="L297" s="21"/>
      <c r="M297" s="21"/>
      <c r="N297" s="21"/>
      <c r="O297" s="21"/>
      <c r="P297" s="21"/>
      <c r="Q297" s="21"/>
      <c r="R297" s="21"/>
      <c r="S297" s="21"/>
      <c r="T297" s="20"/>
    </row>
    <row r="298" spans="1:20" x14ac:dyDescent="0.3">
      <c r="A298" s="18"/>
      <c r="B298" s="21"/>
      <c r="C298" s="21"/>
      <c r="D298" s="21"/>
      <c r="E298" s="21"/>
      <c r="F298" s="21"/>
      <c r="G298" s="21"/>
      <c r="H298" s="21"/>
      <c r="I298" s="21"/>
      <c r="J298" s="21"/>
      <c r="K298" s="21"/>
      <c r="L298" s="21"/>
      <c r="M298" s="21"/>
      <c r="N298" s="21"/>
      <c r="O298" s="21"/>
      <c r="P298" s="21"/>
      <c r="Q298" s="21"/>
      <c r="R298" s="21"/>
      <c r="S298" s="21"/>
      <c r="T298" s="20"/>
    </row>
    <row r="299" spans="1:20" x14ac:dyDescent="0.3">
      <c r="A299" s="18"/>
      <c r="B299" s="21"/>
      <c r="C299" s="21"/>
      <c r="D299" s="21"/>
      <c r="E299" s="21"/>
      <c r="F299" s="21"/>
      <c r="G299" s="21"/>
      <c r="H299" s="21"/>
      <c r="I299" s="21"/>
      <c r="J299" s="21"/>
      <c r="K299" s="21"/>
      <c r="L299" s="21"/>
      <c r="M299" s="21"/>
      <c r="N299" s="21"/>
      <c r="O299" s="21"/>
      <c r="P299" s="21"/>
      <c r="Q299" s="21"/>
      <c r="R299" s="21"/>
      <c r="S299" s="21"/>
      <c r="T299" s="20"/>
    </row>
    <row r="300" spans="1:20" x14ac:dyDescent="0.3">
      <c r="A300" s="18"/>
      <c r="B300" s="21"/>
      <c r="C300" s="21"/>
      <c r="D300" s="21"/>
      <c r="E300" s="21"/>
      <c r="F300" s="21"/>
      <c r="G300" s="21"/>
      <c r="H300" s="21"/>
      <c r="I300" s="21"/>
      <c r="J300" s="21"/>
      <c r="K300" s="21"/>
      <c r="L300" s="21"/>
      <c r="M300" s="21"/>
      <c r="N300" s="21"/>
      <c r="O300" s="21"/>
      <c r="P300" s="21"/>
      <c r="Q300" s="21"/>
      <c r="R300" s="21"/>
      <c r="S300" s="21"/>
      <c r="T300" s="20"/>
    </row>
    <row r="301" spans="1:20" x14ac:dyDescent="0.3">
      <c r="A301" s="18"/>
      <c r="B301" s="21"/>
      <c r="C301" s="21"/>
      <c r="D301" s="21"/>
      <c r="E301" s="21"/>
      <c r="F301" s="21"/>
      <c r="G301" s="21"/>
      <c r="H301" s="21"/>
      <c r="I301" s="21"/>
      <c r="J301" s="21"/>
      <c r="K301" s="21"/>
      <c r="L301" s="21"/>
      <c r="M301" s="21"/>
      <c r="N301" s="21"/>
      <c r="O301" s="21"/>
      <c r="P301" s="21"/>
      <c r="Q301" s="21"/>
      <c r="R301" s="21"/>
      <c r="S301" s="21"/>
      <c r="T301" s="20"/>
    </row>
    <row r="302" spans="1:20" ht="15" thickBot="1" x14ac:dyDescent="0.35">
      <c r="A302" s="22"/>
      <c r="B302" s="23"/>
      <c r="C302" s="23"/>
      <c r="D302" s="23"/>
      <c r="E302" s="23"/>
      <c r="F302" s="23"/>
      <c r="G302" s="23"/>
      <c r="H302" s="23"/>
      <c r="I302" s="23"/>
      <c r="J302" s="23"/>
      <c r="K302" s="23"/>
      <c r="L302" s="23"/>
      <c r="M302" s="23"/>
      <c r="N302" s="23"/>
      <c r="O302" s="23"/>
      <c r="P302" s="23"/>
      <c r="Q302" s="23"/>
      <c r="R302" s="23"/>
      <c r="S302" s="23"/>
      <c r="T302" s="24"/>
    </row>
  </sheetData>
  <mergeCells count="60">
    <mergeCell ref="A289:R289"/>
    <mergeCell ref="I291:J291"/>
    <mergeCell ref="V49:AE49"/>
    <mergeCell ref="V50:W52"/>
    <mergeCell ref="X50:AE52"/>
    <mergeCell ref="V53:W53"/>
    <mergeCell ref="X53:AD53"/>
    <mergeCell ref="V54:W56"/>
    <mergeCell ref="X54:AD56"/>
    <mergeCell ref="AE54:AE56"/>
    <mergeCell ref="D108:F108"/>
    <mergeCell ref="G108:I108"/>
    <mergeCell ref="A166:R166"/>
    <mergeCell ref="I169:L169"/>
    <mergeCell ref="V43:W45"/>
    <mergeCell ref="X43:AD45"/>
    <mergeCell ref="AE43:AE45"/>
    <mergeCell ref="V37:W39"/>
    <mergeCell ref="X37:AD39"/>
    <mergeCell ref="AE37:AE39"/>
    <mergeCell ref="V40:W42"/>
    <mergeCell ref="X40:AD42"/>
    <mergeCell ref="AE40:AE42"/>
    <mergeCell ref="K5:M5"/>
    <mergeCell ref="K18:M18"/>
    <mergeCell ref="K31:M31"/>
    <mergeCell ref="X14:AD16"/>
    <mergeCell ref="V8:W10"/>
    <mergeCell ref="X8:AD10"/>
    <mergeCell ref="V23:AE23"/>
    <mergeCell ref="V24:W26"/>
    <mergeCell ref="X24:AE26"/>
    <mergeCell ref="V27:W27"/>
    <mergeCell ref="X27:AD27"/>
    <mergeCell ref="V28:W30"/>
    <mergeCell ref="X28:AD30"/>
    <mergeCell ref="AE28:AE30"/>
    <mergeCell ref="V31:W33"/>
    <mergeCell ref="X31:AD33"/>
    <mergeCell ref="V3:AE3"/>
    <mergeCell ref="V4:W6"/>
    <mergeCell ref="X4:AE6"/>
    <mergeCell ref="V7:W7"/>
    <mergeCell ref="X7:AD7"/>
    <mergeCell ref="AE8:AE10"/>
    <mergeCell ref="V14:W16"/>
    <mergeCell ref="D74:I74"/>
    <mergeCell ref="D90:I90"/>
    <mergeCell ref="AE14:AE16"/>
    <mergeCell ref="V17:W19"/>
    <mergeCell ref="X17:AD19"/>
    <mergeCell ref="AE17:AE19"/>
    <mergeCell ref="V11:W13"/>
    <mergeCell ref="X11:AD13"/>
    <mergeCell ref="AE11:AE13"/>
    <mergeCell ref="D45:I45"/>
    <mergeCell ref="AE31:AE33"/>
    <mergeCell ref="V34:W36"/>
    <mergeCell ref="X34:AD36"/>
    <mergeCell ref="AE34:AE36"/>
  </mergeCells>
  <pageMargins left="0.7" right="0.7" top="0.75" bottom="0.75" header="0.3" footer="0.3"/>
  <pageSetup orientation="portrait" verticalDpi="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W89"/>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2.5546875" customWidth="1"/>
    <col min="3" max="3" width="33.77734375" bestFit="1" customWidth="1"/>
    <col min="4" max="4" width="12.44140625" customWidth="1"/>
    <col min="5" max="5" width="14" customWidth="1"/>
    <col min="6" max="6" width="13.77734375" bestFit="1" customWidth="1"/>
    <col min="7" max="7" width="12.5546875" bestFit="1" customWidth="1"/>
    <col min="8" max="8" width="12.21875" bestFit="1" customWidth="1"/>
    <col min="9" max="12" width="14.44140625" customWidth="1"/>
    <col min="16" max="22" width="11" customWidth="1"/>
  </cols>
  <sheetData>
    <row r="1" spans="1:23" ht="34.5" customHeight="1" thickBot="1" x14ac:dyDescent="0.35">
      <c r="A1" s="292" t="s">
        <v>1580</v>
      </c>
      <c r="B1" s="473" t="e" vm="1">
        <v>#VALUE!</v>
      </c>
      <c r="C1" s="8" t="s">
        <v>1071</v>
      </c>
      <c r="D1" s="27"/>
      <c r="E1" s="16"/>
      <c r="F1" s="16"/>
      <c r="G1" s="16"/>
      <c r="H1" s="16"/>
      <c r="I1" s="16"/>
      <c r="J1" s="16"/>
      <c r="K1" s="16"/>
      <c r="L1" s="19"/>
    </row>
    <row r="2" spans="1:23" ht="15" customHeight="1" x14ac:dyDescent="0.3">
      <c r="A2" s="18"/>
      <c r="B2" s="25"/>
      <c r="C2" s="25"/>
      <c r="D2" s="21"/>
      <c r="E2" s="21"/>
      <c r="F2" s="21"/>
      <c r="G2" s="21"/>
      <c r="H2" s="21"/>
      <c r="I2" s="21"/>
      <c r="J2" s="21"/>
      <c r="K2" s="21"/>
      <c r="L2" s="20"/>
    </row>
    <row r="3" spans="1:23" ht="15" customHeight="1" x14ac:dyDescent="0.3">
      <c r="A3" s="18"/>
      <c r="B3" s="21"/>
      <c r="C3" s="21"/>
      <c r="D3" s="26"/>
      <c r="E3" s="21"/>
      <c r="F3" s="21"/>
      <c r="G3" s="21"/>
      <c r="H3" s="21"/>
      <c r="I3" s="21"/>
      <c r="J3" s="21"/>
      <c r="K3" s="21"/>
      <c r="L3" s="20"/>
      <c r="N3" s="486" t="s">
        <v>3420</v>
      </c>
      <c r="O3" s="486"/>
      <c r="P3" s="486"/>
      <c r="Q3" s="486"/>
      <c r="R3" s="486"/>
      <c r="S3" s="486"/>
      <c r="T3" s="486"/>
      <c r="U3" s="486"/>
      <c r="V3" s="486"/>
      <c r="W3" s="486"/>
    </row>
    <row r="4" spans="1:23" ht="15" customHeight="1" x14ac:dyDescent="0.3">
      <c r="A4" s="18"/>
      <c r="B4" s="219">
        <v>-0.1</v>
      </c>
      <c r="C4" s="211">
        <v>-500</v>
      </c>
      <c r="D4" s="26"/>
      <c r="E4" s="21"/>
      <c r="F4" s="513" t="s">
        <v>3421</v>
      </c>
      <c r="G4" s="515"/>
      <c r="H4" s="21"/>
      <c r="I4" s="21"/>
      <c r="J4" s="21"/>
      <c r="K4" s="21"/>
      <c r="L4" s="20"/>
      <c r="N4" s="487" t="s">
        <v>333</v>
      </c>
      <c r="O4" s="487"/>
      <c r="P4" s="487" t="s">
        <v>1072</v>
      </c>
      <c r="Q4" s="487"/>
      <c r="R4" s="487"/>
      <c r="S4" s="487"/>
      <c r="T4" s="487"/>
      <c r="U4" s="487"/>
      <c r="V4" s="487"/>
      <c r="W4" s="487"/>
    </row>
    <row r="5" spans="1:23" ht="15" customHeight="1" x14ac:dyDescent="0.3">
      <c r="A5" s="18"/>
      <c r="B5" s="220">
        <v>0</v>
      </c>
      <c r="C5" s="211">
        <v>0</v>
      </c>
      <c r="D5" s="21"/>
      <c r="E5" s="21"/>
      <c r="F5" s="221">
        <f t="array" ref="F5:G13">_xll.U.VCOMBINATIONS(B4:B6,C4:C6)</f>
        <v>-0.1</v>
      </c>
      <c r="G5" s="212">
        <v>-500</v>
      </c>
      <c r="H5" s="21"/>
      <c r="I5" s="21"/>
      <c r="J5" s="21"/>
      <c r="K5" s="21"/>
      <c r="L5" s="20"/>
      <c r="N5" s="487"/>
      <c r="O5" s="487"/>
      <c r="P5" s="487"/>
      <c r="Q5" s="487"/>
      <c r="R5" s="487"/>
      <c r="S5" s="487"/>
      <c r="T5" s="487"/>
      <c r="U5" s="487"/>
      <c r="V5" s="487"/>
      <c r="W5" s="487"/>
    </row>
    <row r="6" spans="1:23" ht="15" customHeight="1" x14ac:dyDescent="0.3">
      <c r="A6" s="18"/>
      <c r="B6" s="219">
        <v>0.1</v>
      </c>
      <c r="C6" s="211">
        <v>500</v>
      </c>
      <c r="D6" s="21"/>
      <c r="E6" s="21"/>
      <c r="F6" s="221">
        <v>-0.1</v>
      </c>
      <c r="G6" s="212">
        <v>0</v>
      </c>
      <c r="H6" s="21"/>
      <c r="I6" s="21"/>
      <c r="J6" s="21"/>
      <c r="K6" s="21"/>
      <c r="L6" s="20"/>
      <c r="N6" s="487"/>
      <c r="O6" s="487"/>
      <c r="P6" s="487"/>
      <c r="Q6" s="487"/>
      <c r="R6" s="487"/>
      <c r="S6" s="487"/>
      <c r="T6" s="487"/>
      <c r="U6" s="487"/>
      <c r="V6" s="487"/>
      <c r="W6" s="487"/>
    </row>
    <row r="7" spans="1:23" x14ac:dyDescent="0.3">
      <c r="A7" s="18"/>
      <c r="B7" s="21"/>
      <c r="C7" s="21"/>
      <c r="D7" s="21"/>
      <c r="E7" s="21"/>
      <c r="F7" s="221">
        <v>-0.1</v>
      </c>
      <c r="G7" s="212">
        <v>500</v>
      </c>
      <c r="H7" s="21"/>
      <c r="I7" s="21"/>
      <c r="J7" s="21"/>
      <c r="K7" s="21"/>
      <c r="L7" s="20"/>
      <c r="N7" s="483" t="s">
        <v>323</v>
      </c>
      <c r="O7" s="483"/>
      <c r="P7" s="483" t="s">
        <v>1</v>
      </c>
      <c r="Q7" s="483"/>
      <c r="R7" s="483"/>
      <c r="S7" s="483"/>
      <c r="T7" s="483"/>
      <c r="U7" s="483"/>
      <c r="V7" s="483"/>
      <c r="W7" s="85" t="s">
        <v>324</v>
      </c>
    </row>
    <row r="8" spans="1:23" x14ac:dyDescent="0.3">
      <c r="A8" s="18"/>
      <c r="B8" s="21"/>
      <c r="C8" s="21"/>
      <c r="D8" s="21"/>
      <c r="E8" s="21"/>
      <c r="F8" s="222">
        <v>0</v>
      </c>
      <c r="G8" s="216">
        <v>-500</v>
      </c>
      <c r="H8" s="21"/>
      <c r="I8" s="21"/>
      <c r="J8" s="21"/>
      <c r="K8" s="21"/>
      <c r="L8" s="20"/>
      <c r="N8" s="487" t="s">
        <v>458</v>
      </c>
      <c r="O8" s="487"/>
      <c r="P8" s="487" t="s">
        <v>1074</v>
      </c>
      <c r="Q8" s="487"/>
      <c r="R8" s="487"/>
      <c r="S8" s="487"/>
      <c r="T8" s="487"/>
      <c r="U8" s="487"/>
      <c r="V8" s="487"/>
      <c r="W8" s="509" t="s">
        <v>325</v>
      </c>
    </row>
    <row r="9" spans="1:23" x14ac:dyDescent="0.3">
      <c r="A9" s="18"/>
      <c r="B9" s="21"/>
      <c r="C9" s="21"/>
      <c r="D9" s="21"/>
      <c r="E9" s="21"/>
      <c r="F9" s="222">
        <v>0</v>
      </c>
      <c r="G9" s="216">
        <v>0</v>
      </c>
      <c r="H9" s="21"/>
      <c r="I9" s="21"/>
      <c r="J9" s="21"/>
      <c r="K9" s="21"/>
      <c r="L9" s="20"/>
      <c r="N9" s="487"/>
      <c r="O9" s="487"/>
      <c r="P9" s="487"/>
      <c r="Q9" s="487"/>
      <c r="R9" s="487"/>
      <c r="S9" s="487"/>
      <c r="T9" s="487"/>
      <c r="U9" s="487"/>
      <c r="V9" s="487"/>
      <c r="W9" s="509"/>
    </row>
    <row r="10" spans="1:23" x14ac:dyDescent="0.3">
      <c r="A10" s="18"/>
      <c r="B10" s="21"/>
      <c r="C10" s="21"/>
      <c r="D10" s="21"/>
      <c r="E10" s="21"/>
      <c r="F10" s="222">
        <v>0</v>
      </c>
      <c r="G10" s="216">
        <v>500</v>
      </c>
      <c r="H10" s="21"/>
      <c r="I10" s="21"/>
      <c r="J10" s="21"/>
      <c r="K10" s="21"/>
      <c r="L10" s="20"/>
      <c r="N10" s="487"/>
      <c r="O10" s="487"/>
      <c r="P10" s="487"/>
      <c r="Q10" s="487"/>
      <c r="R10" s="487"/>
      <c r="S10" s="487"/>
      <c r="T10" s="487"/>
      <c r="U10" s="487"/>
      <c r="V10" s="487"/>
      <c r="W10" s="509"/>
    </row>
    <row r="11" spans="1:23" ht="15" customHeight="1" x14ac:dyDescent="0.3">
      <c r="A11" s="18"/>
      <c r="B11" s="21"/>
      <c r="C11" s="21"/>
      <c r="D11" s="21"/>
      <c r="E11" s="21"/>
      <c r="F11" s="221">
        <v>0.1</v>
      </c>
      <c r="G11" s="212">
        <v>-500</v>
      </c>
      <c r="H11" s="21"/>
      <c r="I11" s="21"/>
      <c r="J11" s="21"/>
      <c r="K11" s="21"/>
      <c r="L11" s="20"/>
      <c r="N11" s="487" t="s">
        <v>458</v>
      </c>
      <c r="O11" s="487"/>
      <c r="P11" s="487" t="s">
        <v>1074</v>
      </c>
      <c r="Q11" s="487"/>
      <c r="R11" s="487"/>
      <c r="S11" s="487"/>
      <c r="T11" s="487"/>
      <c r="U11" s="487"/>
      <c r="V11" s="487"/>
      <c r="W11" s="509" t="s">
        <v>325</v>
      </c>
    </row>
    <row r="12" spans="1:23" x14ac:dyDescent="0.3">
      <c r="A12" s="18"/>
      <c r="B12" s="21"/>
      <c r="C12" s="21"/>
      <c r="D12" s="21"/>
      <c r="E12" s="21"/>
      <c r="F12" s="221">
        <v>0.1</v>
      </c>
      <c r="G12" s="212">
        <v>0</v>
      </c>
      <c r="H12" s="21"/>
      <c r="I12" s="21"/>
      <c r="J12" s="21"/>
      <c r="K12" s="21"/>
      <c r="L12" s="20"/>
      <c r="N12" s="487"/>
      <c r="O12" s="487"/>
      <c r="P12" s="487"/>
      <c r="Q12" s="487"/>
      <c r="R12" s="487"/>
      <c r="S12" s="487"/>
      <c r="T12" s="487"/>
      <c r="U12" s="487"/>
      <c r="V12" s="487"/>
      <c r="W12" s="509"/>
    </row>
    <row r="13" spans="1:23" x14ac:dyDescent="0.3">
      <c r="A13" s="18"/>
      <c r="B13" s="21"/>
      <c r="C13" s="21"/>
      <c r="D13" s="21"/>
      <c r="E13" s="21"/>
      <c r="F13" s="221">
        <v>0.1</v>
      </c>
      <c r="G13" s="212">
        <v>500</v>
      </c>
      <c r="H13" s="21"/>
      <c r="I13" s="21"/>
      <c r="J13" s="21"/>
      <c r="K13" s="21"/>
      <c r="L13" s="20"/>
      <c r="N13" s="487"/>
      <c r="O13" s="487"/>
      <c r="P13" s="487"/>
      <c r="Q13" s="487"/>
      <c r="R13" s="487"/>
      <c r="S13" s="487"/>
      <c r="T13" s="487"/>
      <c r="U13" s="487"/>
      <c r="V13" s="487"/>
      <c r="W13" s="509"/>
    </row>
    <row r="14" spans="1:23" ht="15" customHeight="1" x14ac:dyDescent="0.3">
      <c r="A14" s="18"/>
      <c r="B14" s="21"/>
      <c r="C14" s="21"/>
      <c r="D14" s="21"/>
      <c r="E14" s="21"/>
      <c r="F14" s="21"/>
      <c r="G14" s="21"/>
      <c r="H14" s="21"/>
      <c r="I14" s="21"/>
      <c r="J14" s="21"/>
      <c r="K14" s="21"/>
      <c r="L14" s="20"/>
      <c r="N14" s="484" t="s">
        <v>989</v>
      </c>
      <c r="O14" s="484"/>
      <c r="P14" s="484" t="s">
        <v>1074</v>
      </c>
      <c r="Q14" s="484"/>
      <c r="R14" s="484"/>
      <c r="S14" s="484"/>
      <c r="T14" s="484"/>
      <c r="U14" s="484"/>
      <c r="V14" s="484"/>
      <c r="W14" s="485" t="s">
        <v>326</v>
      </c>
    </row>
    <row r="15" spans="1:23" x14ac:dyDescent="0.3">
      <c r="A15" s="18"/>
      <c r="B15" s="21"/>
      <c r="C15" s="21"/>
      <c r="D15" s="21"/>
      <c r="E15" s="21"/>
      <c r="F15" s="21"/>
      <c r="G15" s="21"/>
      <c r="H15" s="21"/>
      <c r="I15" s="21"/>
      <c r="J15" s="21"/>
      <c r="K15" s="21"/>
      <c r="L15" s="20"/>
      <c r="N15" s="484"/>
      <c r="O15" s="484"/>
      <c r="P15" s="484"/>
      <c r="Q15" s="484"/>
      <c r="R15" s="484"/>
      <c r="S15" s="484"/>
      <c r="T15" s="484"/>
      <c r="U15" s="484"/>
      <c r="V15" s="484"/>
      <c r="W15" s="485"/>
    </row>
    <row r="16" spans="1:23" x14ac:dyDescent="0.3">
      <c r="A16" s="18"/>
      <c r="B16" s="21"/>
      <c r="C16" s="21"/>
      <c r="D16" s="21"/>
      <c r="E16" s="21"/>
      <c r="F16" s="21"/>
      <c r="G16" s="21"/>
      <c r="H16" s="21"/>
      <c r="I16" s="21"/>
      <c r="J16" s="21"/>
      <c r="K16" s="21"/>
      <c r="L16" s="20"/>
      <c r="N16" s="484"/>
      <c r="O16" s="484"/>
      <c r="P16" s="484"/>
      <c r="Q16" s="484"/>
      <c r="R16" s="484"/>
      <c r="S16" s="484"/>
      <c r="T16" s="484"/>
      <c r="U16" s="484"/>
      <c r="V16" s="484"/>
      <c r="W16" s="485"/>
    </row>
    <row r="17" spans="1:23" ht="15" customHeight="1" x14ac:dyDescent="0.3">
      <c r="A17" s="18"/>
      <c r="B17" s="219">
        <v>-0.1</v>
      </c>
      <c r="C17" s="211">
        <v>-500</v>
      </c>
      <c r="D17" s="211" t="s">
        <v>106</v>
      </c>
      <c r="E17" s="21"/>
      <c r="F17" s="513" t="s">
        <v>3421</v>
      </c>
      <c r="G17" s="514"/>
      <c r="H17" s="515"/>
      <c r="I17" s="21"/>
      <c r="J17" s="21"/>
      <c r="K17" s="21"/>
      <c r="L17" s="20"/>
      <c r="N17" s="484" t="s">
        <v>1073</v>
      </c>
      <c r="O17" s="484"/>
      <c r="P17" s="484" t="s">
        <v>1076</v>
      </c>
      <c r="Q17" s="484"/>
      <c r="R17" s="484"/>
      <c r="S17" s="484"/>
      <c r="T17" s="484"/>
      <c r="U17" s="484"/>
      <c r="V17" s="484"/>
      <c r="W17" s="485" t="s">
        <v>326</v>
      </c>
    </row>
    <row r="18" spans="1:23" x14ac:dyDescent="0.3">
      <c r="A18" s="18"/>
      <c r="B18" s="220">
        <v>0</v>
      </c>
      <c r="C18" s="211">
        <v>0</v>
      </c>
      <c r="D18" s="211" t="s">
        <v>106</v>
      </c>
      <c r="E18" s="21"/>
      <c r="F18" s="221">
        <f t="array" ref="F18:H26">_xll.U.VCOMBINATIONS((B17:B19,C17:D19))</f>
        <v>-0.1</v>
      </c>
      <c r="G18" s="212">
        <v>-500</v>
      </c>
      <c r="H18" s="213" t="str">
        <v>AAPL</v>
      </c>
      <c r="I18" s="21"/>
      <c r="J18" s="21"/>
      <c r="K18" s="21"/>
      <c r="L18" s="20"/>
      <c r="N18" s="484"/>
      <c r="O18" s="484"/>
      <c r="P18" s="484"/>
      <c r="Q18" s="484"/>
      <c r="R18" s="484"/>
      <c r="S18" s="484"/>
      <c r="T18" s="484"/>
      <c r="U18" s="484"/>
      <c r="V18" s="484"/>
      <c r="W18" s="485"/>
    </row>
    <row r="19" spans="1:23" x14ac:dyDescent="0.3">
      <c r="A19" s="18"/>
      <c r="B19" s="219">
        <v>0.1</v>
      </c>
      <c r="C19" s="211">
        <v>500</v>
      </c>
      <c r="D19" s="211" t="s">
        <v>106</v>
      </c>
      <c r="E19" s="21"/>
      <c r="F19" s="221">
        <v>-0.1</v>
      </c>
      <c r="G19" s="212">
        <v>0</v>
      </c>
      <c r="H19" s="213" t="str">
        <v>AAPL</v>
      </c>
      <c r="I19" s="21"/>
      <c r="J19" s="21"/>
      <c r="K19" s="21"/>
      <c r="L19" s="20"/>
      <c r="N19" s="484"/>
      <c r="O19" s="484"/>
      <c r="P19" s="484"/>
      <c r="Q19" s="484"/>
      <c r="R19" s="484"/>
      <c r="S19" s="484"/>
      <c r="T19" s="484"/>
      <c r="U19" s="484"/>
      <c r="V19" s="484"/>
      <c r="W19" s="485"/>
    </row>
    <row r="20" spans="1:23" ht="15" customHeight="1" x14ac:dyDescent="0.3">
      <c r="A20" s="18"/>
      <c r="B20" s="21"/>
      <c r="C20" s="21"/>
      <c r="D20" s="21"/>
      <c r="E20" s="21"/>
      <c r="F20" s="221">
        <v>-0.1</v>
      </c>
      <c r="G20" s="212">
        <v>500</v>
      </c>
      <c r="H20" s="213" t="str">
        <v>AAPL</v>
      </c>
      <c r="I20" s="21"/>
      <c r="J20" s="21"/>
      <c r="K20" s="21"/>
      <c r="L20" s="20"/>
      <c r="N20" s="484" t="s">
        <v>1082</v>
      </c>
      <c r="O20" s="484"/>
      <c r="P20" s="484" t="s">
        <v>1077</v>
      </c>
      <c r="Q20" s="484"/>
      <c r="R20" s="484"/>
      <c r="S20" s="484"/>
      <c r="T20" s="484"/>
      <c r="U20" s="484"/>
      <c r="V20" s="484"/>
      <c r="W20" s="485" t="s">
        <v>326</v>
      </c>
    </row>
    <row r="21" spans="1:23" x14ac:dyDescent="0.3">
      <c r="A21" s="18"/>
      <c r="B21" s="21"/>
      <c r="C21" s="21"/>
      <c r="D21" s="21"/>
      <c r="E21" s="21"/>
      <c r="F21" s="222">
        <v>0</v>
      </c>
      <c r="G21" s="216">
        <v>-500</v>
      </c>
      <c r="H21" s="217" t="str">
        <v>AAPL</v>
      </c>
      <c r="I21" s="21"/>
      <c r="J21" s="21"/>
      <c r="K21" s="21"/>
      <c r="L21" s="20"/>
      <c r="N21" s="484"/>
      <c r="O21" s="484"/>
      <c r="P21" s="484"/>
      <c r="Q21" s="484"/>
      <c r="R21" s="484"/>
      <c r="S21" s="484"/>
      <c r="T21" s="484"/>
      <c r="U21" s="484"/>
      <c r="V21" s="484"/>
      <c r="W21" s="485"/>
    </row>
    <row r="22" spans="1:23" x14ac:dyDescent="0.3">
      <c r="A22" s="18"/>
      <c r="B22" s="21"/>
      <c r="C22" s="21"/>
      <c r="D22" s="21"/>
      <c r="E22" s="21"/>
      <c r="F22" s="222">
        <v>0</v>
      </c>
      <c r="G22" s="216">
        <v>0</v>
      </c>
      <c r="H22" s="217" t="str">
        <v>AAPL</v>
      </c>
      <c r="I22" s="21"/>
      <c r="J22" s="21"/>
      <c r="K22" s="21"/>
      <c r="L22" s="20"/>
      <c r="N22" s="484"/>
      <c r="O22" s="484"/>
      <c r="P22" s="484"/>
      <c r="Q22" s="484"/>
      <c r="R22" s="484"/>
      <c r="S22" s="484"/>
      <c r="T22" s="484"/>
      <c r="U22" s="484"/>
      <c r="V22" s="484"/>
      <c r="W22" s="485"/>
    </row>
    <row r="23" spans="1:23" x14ac:dyDescent="0.3">
      <c r="A23" s="18"/>
      <c r="B23" s="21"/>
      <c r="C23" s="21"/>
      <c r="D23" s="21"/>
      <c r="E23" s="21"/>
      <c r="F23" s="222">
        <v>0</v>
      </c>
      <c r="G23" s="216">
        <v>500</v>
      </c>
      <c r="H23" s="217" t="str">
        <v>AAPL</v>
      </c>
      <c r="I23" s="21"/>
      <c r="J23" s="21"/>
      <c r="K23" s="21"/>
      <c r="L23" s="20"/>
      <c r="N23" s="126" t="s">
        <v>328</v>
      </c>
    </row>
    <row r="24" spans="1:23" ht="14.25" customHeight="1" x14ac:dyDescent="0.3">
      <c r="A24" s="18"/>
      <c r="B24" s="21"/>
      <c r="C24" s="21"/>
      <c r="D24" s="21"/>
      <c r="E24" s="21"/>
      <c r="F24" s="221">
        <v>0.1</v>
      </c>
      <c r="G24" s="212">
        <v>-500</v>
      </c>
      <c r="H24" s="213" t="str">
        <v>AAPL</v>
      </c>
      <c r="I24" s="21"/>
      <c r="J24" s="21"/>
      <c r="K24" s="21"/>
      <c r="L24" s="20"/>
    </row>
    <row r="25" spans="1:23" x14ac:dyDescent="0.3">
      <c r="A25" s="18"/>
      <c r="B25" s="21"/>
      <c r="C25" s="21"/>
      <c r="D25" s="21"/>
      <c r="E25" s="21"/>
      <c r="F25" s="221">
        <v>0.1</v>
      </c>
      <c r="G25" s="212">
        <v>0</v>
      </c>
      <c r="H25" s="213" t="str">
        <v>AAPL</v>
      </c>
      <c r="I25" s="21"/>
      <c r="J25" s="21"/>
      <c r="K25" s="21"/>
      <c r="L25" s="20"/>
    </row>
    <row r="26" spans="1:23" x14ac:dyDescent="0.3">
      <c r="A26" s="18"/>
      <c r="B26" s="21"/>
      <c r="C26" s="21"/>
      <c r="D26" s="21"/>
      <c r="E26" s="21"/>
      <c r="F26" s="221">
        <v>0.1</v>
      </c>
      <c r="G26" s="212">
        <v>500</v>
      </c>
      <c r="H26" s="213" t="str">
        <v>AAPL</v>
      </c>
      <c r="I26" s="21"/>
      <c r="J26" s="21"/>
      <c r="K26" s="21"/>
      <c r="L26" s="20"/>
    </row>
    <row r="27" spans="1:23" x14ac:dyDescent="0.3">
      <c r="A27" s="18"/>
      <c r="B27" s="21"/>
      <c r="C27" s="21"/>
      <c r="D27" s="21"/>
      <c r="E27" s="21"/>
      <c r="F27" s="21"/>
      <c r="G27" s="21"/>
      <c r="H27" s="21"/>
      <c r="I27" s="21"/>
      <c r="J27" s="21"/>
      <c r="K27" s="21"/>
      <c r="L27" s="20"/>
    </row>
    <row r="28" spans="1:23" ht="14.25" customHeight="1" x14ac:dyDescent="0.3">
      <c r="A28" s="18"/>
      <c r="B28" s="21"/>
      <c r="C28" s="21"/>
      <c r="D28" s="21"/>
      <c r="E28" s="21"/>
      <c r="F28" s="21"/>
      <c r="G28" s="21"/>
      <c r="H28" s="21"/>
      <c r="I28" s="21"/>
      <c r="J28" s="21"/>
      <c r="K28" s="21"/>
      <c r="L28" s="20"/>
    </row>
    <row r="29" spans="1:23" x14ac:dyDescent="0.3">
      <c r="A29" s="18"/>
      <c r="B29" s="21"/>
      <c r="C29" s="21"/>
      <c r="D29" s="21"/>
      <c r="E29" s="21"/>
      <c r="F29" s="21"/>
      <c r="G29" s="21"/>
      <c r="H29" s="21"/>
      <c r="I29" s="21"/>
      <c r="J29" s="21"/>
      <c r="K29" s="21"/>
      <c r="L29" s="20"/>
    </row>
    <row r="30" spans="1:23" x14ac:dyDescent="0.3">
      <c r="A30" s="18"/>
      <c r="B30" s="21"/>
      <c r="C30" s="155" t="s">
        <v>1080</v>
      </c>
      <c r="D30" s="155" t="s">
        <v>1081</v>
      </c>
      <c r="E30" s="21"/>
      <c r="F30" s="513" t="s">
        <v>3421</v>
      </c>
      <c r="G30" s="514"/>
      <c r="H30" s="515"/>
      <c r="I30" s="21"/>
      <c r="J30" s="21"/>
      <c r="K30" s="21"/>
      <c r="L30" s="20"/>
    </row>
    <row r="31" spans="1:23" ht="15" customHeight="1" x14ac:dyDescent="0.3">
      <c r="A31" s="18"/>
      <c r="B31" s="9" t="s">
        <v>1078</v>
      </c>
      <c r="C31" s="155" t="s">
        <v>2</v>
      </c>
      <c r="D31" s="155" t="s">
        <v>1079</v>
      </c>
      <c r="E31" s="21"/>
      <c r="F31" s="3" t="str">
        <f t="array" ref="F31:H41">_xll.U.VCOMBINATIONS(B31:B34,C30:D34,,,{1,2})</f>
        <v/>
      </c>
      <c r="G31" s="223" t="str">
        <v>Ticker</v>
      </c>
      <c r="H31" s="9" t="str">
        <v>Pin Risk</v>
      </c>
      <c r="I31" s="21"/>
      <c r="J31" s="21"/>
      <c r="K31" s="21"/>
      <c r="L31" s="20"/>
    </row>
    <row r="32" spans="1:23" x14ac:dyDescent="0.3">
      <c r="A32" s="18"/>
      <c r="B32" s="219">
        <v>-0.1</v>
      </c>
      <c r="C32" s="211" t="s">
        <v>106</v>
      </c>
      <c r="D32" s="211">
        <v>-500</v>
      </c>
      <c r="E32" s="21"/>
      <c r="F32" s="9" t="str">
        <v>Spot Move</v>
      </c>
      <c r="G32" s="223" t="str">
        <v>Symbol</v>
      </c>
      <c r="H32" s="224" t="str">
        <v>Pos Change</v>
      </c>
      <c r="I32" s="21"/>
      <c r="J32" s="21"/>
      <c r="K32" s="21"/>
      <c r="L32" s="20"/>
    </row>
    <row r="33" spans="1:12" x14ac:dyDescent="0.3">
      <c r="A33" s="18"/>
      <c r="B33" s="220">
        <v>0</v>
      </c>
      <c r="C33" s="211" t="s">
        <v>106</v>
      </c>
      <c r="D33" s="211">
        <v>0</v>
      </c>
      <c r="E33" s="21"/>
      <c r="F33" s="221">
        <v>-0.1</v>
      </c>
      <c r="G33" s="212" t="str">
        <v>AAPL</v>
      </c>
      <c r="H33" s="213">
        <v>-500</v>
      </c>
      <c r="I33" s="21"/>
      <c r="J33" s="21"/>
      <c r="K33" s="21"/>
      <c r="L33" s="20"/>
    </row>
    <row r="34" spans="1:12" ht="15" customHeight="1" x14ac:dyDescent="0.3">
      <c r="A34" s="18"/>
      <c r="B34" s="219">
        <v>0.1</v>
      </c>
      <c r="C34" s="211" t="s">
        <v>106</v>
      </c>
      <c r="D34" s="211">
        <v>500</v>
      </c>
      <c r="E34" s="21"/>
      <c r="F34" s="221">
        <v>-0.1</v>
      </c>
      <c r="G34" s="212" t="str">
        <v>AAPL</v>
      </c>
      <c r="H34" s="213">
        <v>0</v>
      </c>
      <c r="I34" s="21"/>
      <c r="J34" s="21"/>
      <c r="K34" s="21"/>
      <c r="L34" s="20"/>
    </row>
    <row r="35" spans="1:12" x14ac:dyDescent="0.3">
      <c r="A35" s="18"/>
      <c r="B35" s="21"/>
      <c r="C35" s="21"/>
      <c r="D35" s="21"/>
      <c r="E35" s="21"/>
      <c r="F35" s="221">
        <v>-0.1</v>
      </c>
      <c r="G35" s="212" t="str">
        <v>AAPL</v>
      </c>
      <c r="H35" s="213">
        <v>500</v>
      </c>
      <c r="I35" s="21"/>
      <c r="J35" s="21"/>
      <c r="K35" s="21"/>
      <c r="L35" s="20"/>
    </row>
    <row r="36" spans="1:12" x14ac:dyDescent="0.3">
      <c r="A36" s="18"/>
      <c r="B36" s="21"/>
      <c r="C36" s="21"/>
      <c r="D36" s="21"/>
      <c r="E36" s="21"/>
      <c r="F36" s="222">
        <v>0</v>
      </c>
      <c r="G36" s="216" t="str">
        <v>AAPL</v>
      </c>
      <c r="H36" s="217">
        <v>-500</v>
      </c>
      <c r="I36" s="21"/>
      <c r="J36" s="21"/>
      <c r="K36" s="21"/>
      <c r="L36" s="20"/>
    </row>
    <row r="37" spans="1:12" ht="14.25" customHeight="1" x14ac:dyDescent="0.3">
      <c r="A37" s="18"/>
      <c r="B37" s="21"/>
      <c r="C37" s="21"/>
      <c r="D37" s="21"/>
      <c r="E37" s="21"/>
      <c r="F37" s="222">
        <v>0</v>
      </c>
      <c r="G37" s="216" t="str">
        <v>AAPL</v>
      </c>
      <c r="H37" s="217">
        <v>0</v>
      </c>
      <c r="I37" s="21"/>
      <c r="J37" s="21"/>
      <c r="K37" s="21"/>
      <c r="L37" s="20"/>
    </row>
    <row r="38" spans="1:12" x14ac:dyDescent="0.3">
      <c r="A38" s="18"/>
      <c r="B38" s="21"/>
      <c r="C38" s="21"/>
      <c r="D38" s="21"/>
      <c r="E38" s="21"/>
      <c r="F38" s="222">
        <v>0</v>
      </c>
      <c r="G38" s="216" t="str">
        <v>AAPL</v>
      </c>
      <c r="H38" s="217">
        <v>500</v>
      </c>
      <c r="I38" s="21"/>
      <c r="J38" s="21"/>
      <c r="K38" s="21"/>
      <c r="L38" s="20"/>
    </row>
    <row r="39" spans="1:12" x14ac:dyDescent="0.3">
      <c r="A39" s="18"/>
      <c r="B39" s="21"/>
      <c r="C39" s="21"/>
      <c r="D39" s="21"/>
      <c r="E39" s="21"/>
      <c r="F39" s="221">
        <v>0.1</v>
      </c>
      <c r="G39" s="212" t="str">
        <v>AAPL</v>
      </c>
      <c r="H39" s="213">
        <v>-500</v>
      </c>
      <c r="I39" s="21"/>
      <c r="J39" s="21"/>
      <c r="K39" s="21"/>
      <c r="L39" s="20"/>
    </row>
    <row r="40" spans="1:12" ht="14.25" customHeight="1" x14ac:dyDescent="0.3">
      <c r="A40" s="18"/>
      <c r="B40" s="21"/>
      <c r="C40" s="21"/>
      <c r="D40" s="21"/>
      <c r="E40" s="21"/>
      <c r="F40" s="221">
        <v>0.1</v>
      </c>
      <c r="G40" s="212" t="str">
        <v>AAPL</v>
      </c>
      <c r="H40" s="213">
        <v>0</v>
      </c>
      <c r="I40" s="21"/>
      <c r="J40" s="21"/>
      <c r="K40" s="21"/>
      <c r="L40" s="20"/>
    </row>
    <row r="41" spans="1:12" x14ac:dyDescent="0.3">
      <c r="A41" s="18"/>
      <c r="B41" s="21"/>
      <c r="C41" s="21"/>
      <c r="D41" s="21"/>
      <c r="E41" s="21"/>
      <c r="F41" s="221">
        <v>0.1</v>
      </c>
      <c r="G41" s="212" t="str">
        <v>AAPL</v>
      </c>
      <c r="H41" s="213">
        <v>500</v>
      </c>
      <c r="I41" s="21"/>
      <c r="J41" s="21"/>
      <c r="K41" s="21"/>
      <c r="L41" s="20"/>
    </row>
    <row r="42" spans="1:12" x14ac:dyDescent="0.3">
      <c r="A42" s="18"/>
      <c r="B42" s="21"/>
      <c r="C42" s="21"/>
      <c r="D42" s="21"/>
      <c r="E42" s="21"/>
      <c r="F42" s="21"/>
      <c r="G42" s="21"/>
      <c r="H42" s="21"/>
      <c r="J42" s="21"/>
      <c r="K42" s="21"/>
      <c r="L42" s="20"/>
    </row>
    <row r="43" spans="1:12" x14ac:dyDescent="0.3">
      <c r="A43" s="18"/>
      <c r="B43" s="21"/>
      <c r="C43" s="21"/>
      <c r="D43" s="155" t="s">
        <v>1075</v>
      </c>
      <c r="E43" s="21"/>
      <c r="F43" s="513" t="s">
        <v>3421</v>
      </c>
      <c r="G43" s="514"/>
      <c r="H43" s="515"/>
      <c r="I43" s="21"/>
      <c r="J43" s="21"/>
      <c r="K43" s="21"/>
      <c r="L43" s="20"/>
    </row>
    <row r="44" spans="1:12" x14ac:dyDescent="0.3">
      <c r="A44" s="18"/>
      <c r="B44" s="21"/>
      <c r="C44" s="21"/>
      <c r="D44" s="44">
        <v>-1</v>
      </c>
      <c r="E44" s="21"/>
      <c r="F44" s="9" t="str">
        <f t="array" ref="F44:H54">_xll.U.VCOMBINATIONS(B31:B34,C30:D34,,,D44:D45)</f>
        <v>Spot Move</v>
      </c>
      <c r="G44" s="223" t="str">
        <v>Ticker</v>
      </c>
      <c r="H44" s="9" t="str">
        <v>Pin Risk</v>
      </c>
      <c r="I44" s="21"/>
      <c r="J44" s="21"/>
      <c r="K44" s="21"/>
      <c r="L44" s="20"/>
    </row>
    <row r="45" spans="1:12" x14ac:dyDescent="0.3">
      <c r="A45" s="18"/>
      <c r="B45" s="21"/>
      <c r="C45" s="21"/>
      <c r="D45" s="44">
        <v>2</v>
      </c>
      <c r="E45" s="21"/>
      <c r="F45" s="9" t="str">
        <v/>
      </c>
      <c r="G45" s="223" t="str">
        <v>Symbol</v>
      </c>
      <c r="H45" s="224" t="str">
        <v>Pos Change</v>
      </c>
      <c r="I45" s="21"/>
      <c r="J45" s="21"/>
      <c r="K45" s="21"/>
      <c r="L45" s="20"/>
    </row>
    <row r="46" spans="1:12" x14ac:dyDescent="0.3">
      <c r="A46" s="18"/>
      <c r="B46" s="21"/>
      <c r="C46" s="21"/>
      <c r="D46" s="21"/>
      <c r="E46" s="21"/>
      <c r="F46" s="221">
        <v>-0.1</v>
      </c>
      <c r="G46" s="212" t="str">
        <v>AAPL</v>
      </c>
      <c r="H46" s="213">
        <v>-500</v>
      </c>
      <c r="I46" s="21"/>
      <c r="J46" s="21"/>
      <c r="K46" s="21"/>
      <c r="L46" s="20"/>
    </row>
    <row r="47" spans="1:12" x14ac:dyDescent="0.3">
      <c r="A47" s="18"/>
      <c r="B47" s="21"/>
      <c r="C47" s="21"/>
      <c r="D47" s="21"/>
      <c r="E47" s="21"/>
      <c r="F47" s="221">
        <v>-0.1</v>
      </c>
      <c r="G47" s="212" t="str">
        <v>AAPL</v>
      </c>
      <c r="H47" s="213">
        <v>0</v>
      </c>
      <c r="I47" s="21"/>
      <c r="J47" s="21"/>
      <c r="K47" s="21"/>
      <c r="L47" s="20"/>
    </row>
    <row r="48" spans="1:12" x14ac:dyDescent="0.3">
      <c r="A48" s="18"/>
      <c r="B48" s="21"/>
      <c r="C48" s="21"/>
      <c r="D48" s="21"/>
      <c r="E48" s="21"/>
      <c r="F48" s="221">
        <v>-0.1</v>
      </c>
      <c r="G48" s="212" t="str">
        <v>AAPL</v>
      </c>
      <c r="H48" s="213">
        <v>500</v>
      </c>
      <c r="I48" s="21"/>
      <c r="J48" s="21"/>
      <c r="K48" s="21"/>
      <c r="L48" s="20"/>
    </row>
    <row r="49" spans="1:12" x14ac:dyDescent="0.3">
      <c r="A49" s="18"/>
      <c r="B49" s="21"/>
      <c r="C49" s="21"/>
      <c r="D49" s="21"/>
      <c r="E49" s="21"/>
      <c r="F49" s="222">
        <v>0</v>
      </c>
      <c r="G49" s="216" t="str">
        <v>AAPL</v>
      </c>
      <c r="H49" s="217">
        <v>-500</v>
      </c>
      <c r="I49" s="21"/>
      <c r="J49" s="21"/>
      <c r="K49" s="21"/>
      <c r="L49" s="20"/>
    </row>
    <row r="50" spans="1:12" x14ac:dyDescent="0.3">
      <c r="A50" s="18"/>
      <c r="B50" s="21"/>
      <c r="C50" s="21"/>
      <c r="D50" s="21"/>
      <c r="E50" s="21"/>
      <c r="F50" s="222">
        <v>0</v>
      </c>
      <c r="G50" s="216" t="str">
        <v>AAPL</v>
      </c>
      <c r="H50" s="217">
        <v>0</v>
      </c>
      <c r="I50" s="21"/>
      <c r="J50" s="21"/>
      <c r="K50" s="21"/>
      <c r="L50" s="20"/>
    </row>
    <row r="51" spans="1:12" x14ac:dyDescent="0.3">
      <c r="A51" s="18"/>
      <c r="B51" s="21"/>
      <c r="C51" s="21"/>
      <c r="D51" s="21"/>
      <c r="E51" s="21"/>
      <c r="F51" s="222">
        <v>0</v>
      </c>
      <c r="G51" s="216" t="str">
        <v>AAPL</v>
      </c>
      <c r="H51" s="217">
        <v>500</v>
      </c>
      <c r="I51" s="21"/>
      <c r="J51" s="21"/>
      <c r="K51" s="21"/>
      <c r="L51" s="20"/>
    </row>
    <row r="52" spans="1:12" x14ac:dyDescent="0.3">
      <c r="A52" s="18"/>
      <c r="B52" s="21"/>
      <c r="C52" s="21"/>
      <c r="D52" s="21"/>
      <c r="E52" s="21"/>
      <c r="F52" s="221">
        <v>0.1</v>
      </c>
      <c r="G52" s="212" t="str">
        <v>AAPL</v>
      </c>
      <c r="H52" s="213">
        <v>-500</v>
      </c>
      <c r="I52" s="21"/>
      <c r="J52" s="21"/>
      <c r="K52" s="21"/>
      <c r="L52" s="20"/>
    </row>
    <row r="53" spans="1:12" x14ac:dyDescent="0.3">
      <c r="A53" s="18"/>
      <c r="B53" s="21"/>
      <c r="C53" s="21"/>
      <c r="D53" s="21"/>
      <c r="E53" s="21"/>
      <c r="F53" s="221">
        <v>0.1</v>
      </c>
      <c r="G53" s="212" t="str">
        <v>AAPL</v>
      </c>
      <c r="H53" s="213">
        <v>0</v>
      </c>
      <c r="I53" s="21"/>
      <c r="J53" s="21"/>
      <c r="K53" s="21"/>
      <c r="L53" s="20"/>
    </row>
    <row r="54" spans="1:12" x14ac:dyDescent="0.3">
      <c r="A54" s="18"/>
      <c r="B54" s="21"/>
      <c r="C54" s="21"/>
      <c r="D54" s="21"/>
      <c r="E54" s="21"/>
      <c r="F54" s="221">
        <v>0.1</v>
      </c>
      <c r="G54" s="212" t="str">
        <v>AAPL</v>
      </c>
      <c r="H54" s="213">
        <v>500</v>
      </c>
      <c r="I54" s="21"/>
      <c r="J54" s="21"/>
      <c r="K54" s="21"/>
      <c r="L54" s="20"/>
    </row>
    <row r="55" spans="1:12" x14ac:dyDescent="0.3">
      <c r="A55" s="18"/>
      <c r="B55" s="21"/>
      <c r="C55" s="21"/>
      <c r="D55" s="21"/>
      <c r="E55" s="21"/>
      <c r="F55" s="21"/>
      <c r="G55" s="21"/>
      <c r="H55" s="21"/>
      <c r="I55" s="21"/>
      <c r="J55" s="21"/>
      <c r="K55" s="21"/>
      <c r="L55" s="20"/>
    </row>
    <row r="56" spans="1:12" x14ac:dyDescent="0.3">
      <c r="A56" s="18"/>
      <c r="B56" s="21"/>
      <c r="C56" s="21"/>
      <c r="D56" s="21"/>
      <c r="E56" s="21"/>
      <c r="F56" s="21"/>
      <c r="G56" s="21"/>
      <c r="H56" s="21"/>
      <c r="I56" s="21"/>
      <c r="J56" s="21"/>
      <c r="K56" s="21"/>
      <c r="L56" s="20"/>
    </row>
    <row r="57" spans="1:12" x14ac:dyDescent="0.3">
      <c r="A57" s="18"/>
      <c r="B57" s="21"/>
      <c r="C57" s="21"/>
      <c r="D57" s="21"/>
      <c r="E57" s="21"/>
      <c r="F57" s="21"/>
      <c r="G57" s="21"/>
      <c r="H57" s="21"/>
      <c r="I57" s="21"/>
      <c r="J57" s="21"/>
      <c r="K57" s="21"/>
      <c r="L57" s="20"/>
    </row>
    <row r="58" spans="1:12" x14ac:dyDescent="0.3">
      <c r="A58" s="18"/>
      <c r="B58" s="9" t="s">
        <v>1078</v>
      </c>
      <c r="C58" s="155" t="s">
        <v>2</v>
      </c>
      <c r="D58" s="21"/>
      <c r="E58" s="21"/>
      <c r="F58" s="9" t="str">
        <f t="array" ref="F58:G66">_xll.U.VCOMBINATIONS(B58:B62,C58:C62,,{2,4},1)</f>
        <v>Spot Move</v>
      </c>
      <c r="G58" s="9" t="str">
        <v>Symbol</v>
      </c>
      <c r="H58" s="21"/>
      <c r="I58" s="21"/>
      <c r="J58" s="21"/>
      <c r="K58" s="21"/>
      <c r="L58" s="20"/>
    </row>
    <row r="59" spans="1:12" x14ac:dyDescent="0.3">
      <c r="A59" s="18"/>
      <c r="B59" s="219">
        <v>-0.1</v>
      </c>
      <c r="C59" s="211" t="s">
        <v>106</v>
      </c>
      <c r="D59" s="21"/>
      <c r="E59" s="21"/>
      <c r="F59" s="227">
        <v>-0.1</v>
      </c>
      <c r="G59" s="215" t="str">
        <v>AAPL</v>
      </c>
      <c r="H59" s="21"/>
      <c r="I59" s="21"/>
      <c r="J59" s="21"/>
      <c r="K59" s="21"/>
      <c r="L59" s="20"/>
    </row>
    <row r="60" spans="1:12" x14ac:dyDescent="0.3">
      <c r="A60" s="18"/>
      <c r="B60" s="229" t="s">
        <v>1084</v>
      </c>
      <c r="C60" s="211" t="s">
        <v>183</v>
      </c>
      <c r="D60" s="21"/>
      <c r="E60" s="21"/>
      <c r="F60" s="227" t="str">
        <v>(Down 1 SD)</v>
      </c>
      <c r="G60" s="215" t="str">
        <v>FB</v>
      </c>
      <c r="H60" s="21"/>
      <c r="I60" s="21"/>
      <c r="J60" s="21"/>
      <c r="K60" s="21"/>
      <c r="L60" s="20"/>
    </row>
    <row r="61" spans="1:12" x14ac:dyDescent="0.3">
      <c r="A61" s="18"/>
      <c r="B61" s="220">
        <v>0.1</v>
      </c>
      <c r="C61" s="211" t="s">
        <v>256</v>
      </c>
      <c r="D61" s="21"/>
      <c r="E61" s="21"/>
      <c r="F61" s="227" t="str">
        <v/>
      </c>
      <c r="G61" s="215" t="str">
        <v>MSFT</v>
      </c>
      <c r="H61" s="21"/>
      <c r="I61" s="21"/>
      <c r="J61" s="21"/>
      <c r="K61" s="21"/>
      <c r="L61" s="20"/>
    </row>
    <row r="62" spans="1:12" x14ac:dyDescent="0.3">
      <c r="A62" s="18"/>
      <c r="B62" s="226" t="s">
        <v>1085</v>
      </c>
      <c r="C62" s="211" t="s">
        <v>1083</v>
      </c>
      <c r="D62" s="21"/>
      <c r="E62" s="21"/>
      <c r="F62" s="230" t="str">
        <v/>
      </c>
      <c r="G62" s="215" t="str">
        <v>NFLX</v>
      </c>
      <c r="H62" s="21"/>
      <c r="I62" s="21"/>
      <c r="J62" s="21"/>
      <c r="K62" s="21"/>
      <c r="L62" s="20"/>
    </row>
    <row r="63" spans="1:12" x14ac:dyDescent="0.3">
      <c r="A63" s="18"/>
      <c r="B63" s="21"/>
      <c r="C63" s="21"/>
      <c r="D63" s="21"/>
      <c r="E63" s="21"/>
      <c r="F63" s="228">
        <v>0.1</v>
      </c>
      <c r="G63" s="218" t="str">
        <v>AAPL</v>
      </c>
      <c r="H63" s="21"/>
      <c r="I63" s="21"/>
      <c r="J63" s="21"/>
      <c r="K63" s="21"/>
      <c r="L63" s="20"/>
    </row>
    <row r="64" spans="1:12" x14ac:dyDescent="0.3">
      <c r="A64" s="18"/>
      <c r="B64" s="21"/>
      <c r="C64" s="21"/>
      <c r="D64" s="21"/>
      <c r="E64" s="21"/>
      <c r="F64" s="228" t="str">
        <v>(Up 1 SD)</v>
      </c>
      <c r="G64" s="218" t="str">
        <v>FB</v>
      </c>
      <c r="H64" s="21"/>
      <c r="I64" s="21"/>
      <c r="J64" s="21"/>
      <c r="K64" s="21"/>
      <c r="L64" s="20"/>
    </row>
    <row r="65" spans="1:12" x14ac:dyDescent="0.3">
      <c r="A65" s="18"/>
      <c r="B65" s="21"/>
      <c r="C65" s="21"/>
      <c r="D65" s="21"/>
      <c r="E65" s="21"/>
      <c r="F65" s="228" t="str">
        <v/>
      </c>
      <c r="G65" s="218" t="str">
        <v>MSFT</v>
      </c>
      <c r="H65" s="21"/>
      <c r="I65" s="21"/>
      <c r="J65" s="21"/>
      <c r="K65" s="21"/>
      <c r="L65" s="20"/>
    </row>
    <row r="66" spans="1:12" x14ac:dyDescent="0.3">
      <c r="A66" s="18"/>
      <c r="B66" s="21"/>
      <c r="C66" s="21"/>
      <c r="D66" s="21"/>
      <c r="E66" s="21"/>
      <c r="F66" s="228" t="str">
        <v/>
      </c>
      <c r="G66" s="218" t="str">
        <v>NFLX</v>
      </c>
      <c r="H66" s="21"/>
      <c r="I66" s="21"/>
      <c r="J66" s="21"/>
      <c r="K66" s="21"/>
      <c r="L66" s="20"/>
    </row>
    <row r="67" spans="1:12" x14ac:dyDescent="0.3">
      <c r="A67" s="18"/>
      <c r="B67" s="21"/>
      <c r="C67" s="21"/>
      <c r="D67" s="21"/>
      <c r="E67" s="21"/>
      <c r="F67" s="21"/>
      <c r="G67" s="21"/>
      <c r="H67" s="21"/>
      <c r="I67" s="21"/>
      <c r="J67" s="21"/>
      <c r="K67" s="21"/>
      <c r="L67" s="20"/>
    </row>
    <row r="68" spans="1:12" x14ac:dyDescent="0.3">
      <c r="A68" s="18"/>
      <c r="B68" s="21"/>
      <c r="C68" s="21"/>
      <c r="D68" s="21"/>
      <c r="E68" s="21"/>
      <c r="F68" s="21"/>
      <c r="G68" s="21"/>
      <c r="H68" s="21"/>
      <c r="I68" s="21"/>
      <c r="J68" s="21"/>
      <c r="K68" s="21"/>
      <c r="L68" s="20"/>
    </row>
    <row r="69" spans="1:12" x14ac:dyDescent="0.3">
      <c r="A69" s="18"/>
      <c r="B69" s="21"/>
      <c r="C69" s="21"/>
      <c r="D69" s="21"/>
      <c r="E69" s="21"/>
      <c r="F69" s="21"/>
      <c r="G69" s="21"/>
      <c r="H69" s="21"/>
      <c r="I69" s="21"/>
      <c r="J69" s="21"/>
      <c r="K69" s="21"/>
      <c r="L69" s="20"/>
    </row>
    <row r="70" spans="1:12" x14ac:dyDescent="0.3">
      <c r="A70" s="490" t="s">
        <v>3422</v>
      </c>
      <c r="B70" s="491"/>
      <c r="C70" s="491"/>
      <c r="D70" s="491"/>
      <c r="E70" s="491"/>
      <c r="F70" s="491"/>
      <c r="G70" s="491"/>
      <c r="H70" s="491"/>
      <c r="I70" s="491"/>
      <c r="J70" s="491"/>
      <c r="K70" s="491"/>
      <c r="L70" s="20"/>
    </row>
    <row r="71" spans="1:12" x14ac:dyDescent="0.3">
      <c r="A71" s="18"/>
      <c r="B71" s="21"/>
      <c r="C71" s="21"/>
      <c r="D71" s="21"/>
      <c r="E71" s="21"/>
      <c r="F71" s="21"/>
      <c r="G71" s="21"/>
      <c r="H71" s="21"/>
      <c r="I71" s="21"/>
      <c r="J71" s="21"/>
      <c r="K71" s="21"/>
      <c r="L71" s="20"/>
    </row>
    <row r="72" spans="1:12" x14ac:dyDescent="0.3">
      <c r="A72" s="18"/>
      <c r="B72" s="21"/>
      <c r="C72" s="21"/>
      <c r="D72" s="21"/>
      <c r="E72" s="21"/>
      <c r="F72" s="21"/>
      <c r="G72" s="21"/>
      <c r="H72" s="21"/>
      <c r="I72" s="21"/>
      <c r="J72" s="21"/>
      <c r="K72" s="21"/>
      <c r="L72" s="20"/>
    </row>
    <row r="73" spans="1:12" x14ac:dyDescent="0.3">
      <c r="A73" s="18"/>
      <c r="B73" s="9" t="s">
        <v>1078</v>
      </c>
      <c r="C73" s="225">
        <f t="array" ref="C73:E74">TRANSPOSE(B4:C6)</f>
        <v>-0.1</v>
      </c>
      <c r="D73" s="220">
        <v>0</v>
      </c>
      <c r="E73" s="225">
        <v>0.1</v>
      </c>
      <c r="F73" s="21"/>
      <c r="G73" s="21"/>
      <c r="H73" s="21"/>
      <c r="I73" s="21"/>
      <c r="J73" s="21"/>
      <c r="K73" s="21"/>
      <c r="L73" s="20"/>
    </row>
    <row r="74" spans="1:12" x14ac:dyDescent="0.3">
      <c r="A74" s="18"/>
      <c r="B74" s="9" t="s">
        <v>1079</v>
      </c>
      <c r="C74" s="211">
        <v>-500</v>
      </c>
      <c r="D74" s="211">
        <v>0</v>
      </c>
      <c r="E74" s="211">
        <v>500</v>
      </c>
      <c r="F74" s="21"/>
      <c r="G74" s="21"/>
      <c r="H74" s="21"/>
      <c r="I74" s="21"/>
      <c r="J74" s="21"/>
      <c r="K74" s="21"/>
      <c r="L74" s="20"/>
    </row>
    <row r="75" spans="1:12" x14ac:dyDescent="0.3">
      <c r="A75" s="18"/>
      <c r="B75" s="21"/>
      <c r="C75" s="21"/>
      <c r="D75" s="21"/>
      <c r="E75" s="21"/>
      <c r="F75" s="21"/>
      <c r="G75" s="21"/>
      <c r="H75" s="21"/>
      <c r="I75" s="21"/>
      <c r="J75" s="21"/>
      <c r="K75" s="21"/>
      <c r="L75" s="20"/>
    </row>
    <row r="76" spans="1:12" x14ac:dyDescent="0.3">
      <c r="A76" s="18"/>
      <c r="B76" s="21"/>
      <c r="C76" s="21"/>
      <c r="D76" s="21"/>
      <c r="E76" s="21"/>
      <c r="F76" s="21"/>
      <c r="G76" s="21"/>
      <c r="H76" s="21"/>
      <c r="I76" s="21"/>
      <c r="J76" s="21"/>
      <c r="K76" s="21"/>
      <c r="L76" s="20"/>
    </row>
    <row r="77" spans="1:12" x14ac:dyDescent="0.3">
      <c r="A77" s="18"/>
      <c r="B77" s="483" t="s">
        <v>3422</v>
      </c>
      <c r="C77" s="483"/>
      <c r="D77" s="483"/>
      <c r="E77" s="483"/>
      <c r="F77" s="483"/>
      <c r="G77" s="483"/>
      <c r="H77" s="483"/>
      <c r="I77" s="483"/>
      <c r="J77" s="483"/>
      <c r="K77" s="21"/>
      <c r="L77" s="20"/>
    </row>
    <row r="78" spans="1:12" x14ac:dyDescent="0.3">
      <c r="A78" s="18"/>
      <c r="B78" s="221">
        <f t="array" ref="B78:J79">_xll.U.HCOMBINATIONS(C73:E73,C74:E74)</f>
        <v>-0.1</v>
      </c>
      <c r="C78" s="221">
        <v>-0.1</v>
      </c>
      <c r="D78" s="221">
        <v>-0.1</v>
      </c>
      <c r="E78" s="222">
        <v>0</v>
      </c>
      <c r="F78" s="222">
        <v>0</v>
      </c>
      <c r="G78" s="222">
        <v>0</v>
      </c>
      <c r="H78" s="221">
        <v>0.1</v>
      </c>
      <c r="I78" s="221">
        <v>0.1</v>
      </c>
      <c r="J78" s="221">
        <v>0.1</v>
      </c>
      <c r="K78" s="21"/>
      <c r="L78" s="20"/>
    </row>
    <row r="79" spans="1:12" x14ac:dyDescent="0.3">
      <c r="A79" s="18"/>
      <c r="B79" s="37">
        <v>-500</v>
      </c>
      <c r="C79" s="37">
        <v>0</v>
      </c>
      <c r="D79" s="37">
        <v>500</v>
      </c>
      <c r="E79" s="216">
        <v>-500</v>
      </c>
      <c r="F79" s="216">
        <v>0</v>
      </c>
      <c r="G79" s="216">
        <v>500</v>
      </c>
      <c r="H79" s="37">
        <v>-500</v>
      </c>
      <c r="I79" s="37">
        <v>0</v>
      </c>
      <c r="J79" s="37">
        <v>500</v>
      </c>
      <c r="K79" s="21"/>
      <c r="L79" s="20"/>
    </row>
    <row r="80" spans="1:12" x14ac:dyDescent="0.3">
      <c r="A80" s="18"/>
      <c r="B80" s="21"/>
      <c r="C80" s="21"/>
      <c r="D80" s="21"/>
      <c r="E80" s="21"/>
      <c r="F80" s="21"/>
      <c r="G80" s="21"/>
      <c r="H80" s="21"/>
      <c r="I80" s="21"/>
      <c r="J80" s="21"/>
      <c r="K80" s="21"/>
      <c r="L80" s="20"/>
    </row>
    <row r="81" spans="1:12" x14ac:dyDescent="0.3">
      <c r="A81" s="18"/>
      <c r="B81" s="21"/>
      <c r="C81" s="21"/>
      <c r="D81" s="21"/>
      <c r="E81" s="21"/>
      <c r="F81" s="21"/>
      <c r="G81" s="21"/>
      <c r="H81" s="21"/>
      <c r="I81" s="21"/>
      <c r="J81" s="21"/>
      <c r="K81" s="21"/>
      <c r="L81" s="20"/>
    </row>
    <row r="82" spans="1:12" x14ac:dyDescent="0.3">
      <c r="A82" s="18"/>
      <c r="B82" s="21"/>
      <c r="C82" s="21"/>
      <c r="D82" s="21"/>
      <c r="E82" s="21"/>
      <c r="F82" s="21"/>
      <c r="G82" s="21"/>
      <c r="H82" s="21"/>
      <c r="I82" s="21"/>
      <c r="J82" s="21"/>
      <c r="K82" s="21"/>
      <c r="L82" s="20"/>
    </row>
    <row r="83" spans="1:12" x14ac:dyDescent="0.3">
      <c r="A83" s="18"/>
      <c r="B83" s="21"/>
      <c r="C83" s="21"/>
      <c r="D83" s="21"/>
      <c r="E83" s="21"/>
      <c r="F83" s="21"/>
      <c r="G83" s="21"/>
      <c r="H83" s="21"/>
      <c r="I83" s="21"/>
      <c r="J83" s="21"/>
      <c r="K83" s="21"/>
      <c r="L83" s="20"/>
    </row>
    <row r="84" spans="1:12" x14ac:dyDescent="0.3">
      <c r="A84" s="18"/>
      <c r="B84" s="21"/>
      <c r="C84" s="21"/>
      <c r="D84" s="21"/>
      <c r="E84" s="21"/>
      <c r="F84" s="21"/>
      <c r="G84" s="21"/>
      <c r="H84" s="21"/>
      <c r="I84" s="21"/>
      <c r="J84" s="21"/>
      <c r="K84" s="21"/>
      <c r="L84" s="20"/>
    </row>
    <row r="85" spans="1:12" x14ac:dyDescent="0.3">
      <c r="A85" s="18"/>
      <c r="B85" s="21"/>
      <c r="C85" s="21"/>
      <c r="D85" s="21"/>
      <c r="E85" s="21"/>
      <c r="F85" s="21"/>
      <c r="G85" s="21"/>
      <c r="H85" s="21"/>
      <c r="I85" s="21"/>
      <c r="J85" s="21"/>
      <c r="K85" s="21"/>
      <c r="L85" s="20"/>
    </row>
    <row r="86" spans="1:12" x14ac:dyDescent="0.3">
      <c r="A86" s="18"/>
      <c r="B86" s="21"/>
      <c r="C86" s="21"/>
      <c r="D86" s="21"/>
      <c r="E86" s="21"/>
      <c r="F86" s="21"/>
      <c r="G86" s="21"/>
      <c r="H86" s="21"/>
      <c r="I86" s="21"/>
      <c r="J86" s="21"/>
      <c r="K86" s="21"/>
      <c r="L86" s="20"/>
    </row>
    <row r="87" spans="1:12" x14ac:dyDescent="0.3">
      <c r="A87" s="18"/>
      <c r="B87" s="21"/>
      <c r="C87" s="21"/>
      <c r="D87" s="21"/>
      <c r="E87" s="21"/>
      <c r="F87" s="21"/>
      <c r="G87" s="21"/>
      <c r="H87" s="21"/>
      <c r="I87" s="21"/>
      <c r="J87" s="21"/>
      <c r="K87" s="21"/>
      <c r="L87" s="20"/>
    </row>
    <row r="88" spans="1:12" x14ac:dyDescent="0.3">
      <c r="A88" s="18"/>
      <c r="B88" s="21"/>
      <c r="C88" s="21"/>
      <c r="D88" s="21"/>
      <c r="E88" s="21"/>
      <c r="F88" s="21"/>
      <c r="G88" s="21"/>
      <c r="H88" s="21"/>
      <c r="I88" s="21"/>
      <c r="J88" s="21"/>
      <c r="K88" s="21"/>
      <c r="L88" s="20"/>
    </row>
    <row r="89" spans="1:12" ht="15" thickBot="1" x14ac:dyDescent="0.35">
      <c r="A89" s="22"/>
      <c r="B89" s="23"/>
      <c r="C89" s="23"/>
      <c r="D89" s="23"/>
      <c r="E89" s="23"/>
      <c r="F89" s="23"/>
      <c r="G89" s="23"/>
      <c r="H89" s="23"/>
      <c r="I89" s="23"/>
      <c r="J89" s="23"/>
      <c r="K89" s="23"/>
      <c r="L89" s="24"/>
    </row>
  </sheetData>
  <mergeCells count="26">
    <mergeCell ref="W14:W16"/>
    <mergeCell ref="N20:O22"/>
    <mergeCell ref="P20:V22"/>
    <mergeCell ref="W20:W22"/>
    <mergeCell ref="N8:O10"/>
    <mergeCell ref="P8:V10"/>
    <mergeCell ref="W8:W10"/>
    <mergeCell ref="N11:O13"/>
    <mergeCell ref="P11:V13"/>
    <mergeCell ref="W11:W13"/>
    <mergeCell ref="N3:W3"/>
    <mergeCell ref="N4:O6"/>
    <mergeCell ref="P4:W6"/>
    <mergeCell ref="N7:O7"/>
    <mergeCell ref="P7:V7"/>
    <mergeCell ref="F4:G4"/>
    <mergeCell ref="N14:O16"/>
    <mergeCell ref="P14:V16"/>
    <mergeCell ref="F30:H30"/>
    <mergeCell ref="F17:H17"/>
    <mergeCell ref="B77:J77"/>
    <mergeCell ref="A70:K70"/>
    <mergeCell ref="N17:O19"/>
    <mergeCell ref="P17:V19"/>
    <mergeCell ref="W17:W19"/>
    <mergeCell ref="F43:H43"/>
  </mergeCells>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525"/>
  <sheetViews>
    <sheetView zoomScaleNormal="100" workbookViewId="0">
      <pane ySplit="1" topLeftCell="A2" activePane="bottomLeft" state="frozen"/>
      <selection pane="bottomLeft"/>
    </sheetView>
  </sheetViews>
  <sheetFormatPr defaultRowHeight="14.4" x14ac:dyDescent="0.3"/>
  <cols>
    <col min="2" max="2" width="28.21875" customWidth="1"/>
    <col min="3" max="3" width="14.77734375" bestFit="1" customWidth="1"/>
    <col min="5" max="5" width="17.77734375" customWidth="1"/>
    <col min="6" max="6" width="16.77734375" customWidth="1"/>
    <col min="8" max="8" width="10.21875" customWidth="1"/>
    <col min="10" max="10" width="11.77734375" bestFit="1" customWidth="1"/>
    <col min="11" max="13" width="17.44140625" customWidth="1"/>
    <col min="14" max="15" width="26" customWidth="1"/>
    <col min="17" max="18" width="12.21875" customWidth="1"/>
    <col min="19" max="25" width="12.44140625" customWidth="1"/>
  </cols>
  <sheetData>
    <row r="1" spans="1:26" ht="34.5" customHeight="1" thickBot="1" x14ac:dyDescent="0.35">
      <c r="A1" s="292" t="s">
        <v>1580</v>
      </c>
      <c r="B1" s="473" t="e" vm="1">
        <v>#VALUE!</v>
      </c>
      <c r="C1" s="510" t="s">
        <v>1593</v>
      </c>
      <c r="D1" s="511"/>
      <c r="E1" s="293"/>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1594</v>
      </c>
      <c r="B3" s="491"/>
      <c r="C3" s="491"/>
      <c r="D3" s="491"/>
      <c r="E3" s="491"/>
      <c r="F3" s="491"/>
      <c r="G3" s="491"/>
      <c r="H3" s="491"/>
      <c r="I3" s="491"/>
      <c r="J3" s="491"/>
      <c r="K3" s="491"/>
      <c r="L3" s="491"/>
      <c r="M3" s="491"/>
      <c r="N3" s="21"/>
      <c r="O3" s="20"/>
      <c r="Q3" s="486" t="s">
        <v>3328</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410</v>
      </c>
      <c r="T4" s="487"/>
      <c r="U4" s="487"/>
      <c r="V4" s="487"/>
      <c r="W4" s="487"/>
      <c r="X4" s="487"/>
      <c r="Y4" s="487"/>
      <c r="Z4" s="487"/>
    </row>
    <row r="5" spans="1:26" ht="15" customHeight="1" x14ac:dyDescent="0.3">
      <c r="A5" s="18"/>
      <c r="B5" s="21"/>
      <c r="C5" s="21"/>
      <c r="D5" s="26"/>
      <c r="E5" s="21"/>
      <c r="F5" s="21"/>
      <c r="G5" s="21"/>
      <c r="H5" s="21"/>
      <c r="I5" s="21"/>
      <c r="J5" s="21"/>
      <c r="K5" s="21"/>
      <c r="L5" s="21"/>
      <c r="M5" s="21"/>
      <c r="N5" s="21"/>
      <c r="O5" s="20"/>
      <c r="Q5" s="487"/>
      <c r="R5" s="487"/>
      <c r="S5" s="487"/>
      <c r="T5" s="487"/>
      <c r="U5" s="487"/>
      <c r="V5" s="487"/>
      <c r="W5" s="487"/>
      <c r="X5" s="487"/>
      <c r="Y5" s="487"/>
      <c r="Z5" s="487"/>
    </row>
    <row r="6" spans="1:26" x14ac:dyDescent="0.3">
      <c r="A6" s="18"/>
      <c r="B6" s="492" t="s">
        <v>10</v>
      </c>
      <c r="C6" s="493"/>
      <c r="D6" s="21"/>
      <c r="E6" s="492" t="s">
        <v>3328</v>
      </c>
      <c r="F6" s="493"/>
      <c r="G6" s="21"/>
      <c r="H6" s="21"/>
      <c r="I6" s="21"/>
      <c r="J6" s="21"/>
      <c r="K6" s="21"/>
      <c r="L6" s="21"/>
      <c r="M6" s="21"/>
      <c r="N6" s="21"/>
      <c r="O6" s="20"/>
      <c r="Q6" s="487"/>
      <c r="R6" s="487"/>
      <c r="S6" s="487"/>
      <c r="T6" s="487"/>
      <c r="U6" s="487"/>
      <c r="V6" s="487"/>
      <c r="W6" s="487"/>
      <c r="X6" s="487"/>
      <c r="Y6" s="487"/>
      <c r="Z6" s="487"/>
    </row>
    <row r="7" spans="1:26" x14ac:dyDescent="0.3">
      <c r="A7" s="18"/>
      <c r="B7" s="3" t="s">
        <v>2</v>
      </c>
      <c r="C7" s="9" t="s">
        <v>8</v>
      </c>
      <c r="D7" s="21"/>
      <c r="E7" s="5" t="s">
        <v>11</v>
      </c>
      <c r="F7" s="42" t="s">
        <v>5</v>
      </c>
      <c r="G7" s="21"/>
      <c r="H7" s="21"/>
      <c r="I7" s="21"/>
      <c r="J7" s="21"/>
      <c r="K7" s="21"/>
      <c r="L7" s="21"/>
      <c r="M7" s="21"/>
      <c r="N7" s="21"/>
      <c r="O7" s="20"/>
      <c r="Q7" s="483" t="s">
        <v>323</v>
      </c>
      <c r="R7" s="483"/>
      <c r="S7" s="483" t="s">
        <v>1</v>
      </c>
      <c r="T7" s="483"/>
      <c r="U7" s="483"/>
      <c r="V7" s="483"/>
      <c r="W7" s="483"/>
      <c r="X7" s="483"/>
      <c r="Y7" s="483"/>
      <c r="Z7" s="85" t="s">
        <v>324</v>
      </c>
    </row>
    <row r="8" spans="1:26" ht="15" customHeight="1" x14ac:dyDescent="0.3">
      <c r="A8" s="18"/>
      <c r="B8" s="39" t="s">
        <v>3</v>
      </c>
      <c r="C8" s="40">
        <v>2500</v>
      </c>
      <c r="D8" s="21"/>
      <c r="E8" s="5" t="s">
        <v>12</v>
      </c>
      <c r="F8" s="42" t="s">
        <v>6</v>
      </c>
      <c r="G8" s="21"/>
      <c r="H8" s="21"/>
      <c r="I8" s="21"/>
      <c r="J8" s="21"/>
      <c r="K8" s="21"/>
      <c r="L8" s="21"/>
      <c r="M8" s="21"/>
      <c r="N8" s="21"/>
      <c r="O8" s="20"/>
      <c r="Q8" s="487" t="s">
        <v>318</v>
      </c>
      <c r="R8" s="487"/>
      <c r="S8" s="487" t="s">
        <v>402</v>
      </c>
      <c r="T8" s="487"/>
      <c r="U8" s="487"/>
      <c r="V8" s="487"/>
      <c r="W8" s="487"/>
      <c r="X8" s="487"/>
      <c r="Y8" s="487"/>
      <c r="Z8" s="509" t="s">
        <v>325</v>
      </c>
    </row>
    <row r="9" spans="1:26" x14ac:dyDescent="0.3">
      <c r="A9" s="18"/>
      <c r="B9" s="39" t="s">
        <v>4</v>
      </c>
      <c r="C9" s="40">
        <v>-360</v>
      </c>
      <c r="D9" s="21"/>
      <c r="E9" s="7" t="s">
        <v>9</v>
      </c>
      <c r="F9" s="6" cm="1">
        <f t="array" ref="F9">_xll.U.PUBLISH(F7,F8,B7:C9)</f>
        <v>46072.45305679398</v>
      </c>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1"/>
      <c r="C11" s="21"/>
      <c r="D11" s="21"/>
      <c r="E11" s="21"/>
      <c r="F11" s="21"/>
      <c r="G11" s="21"/>
      <c r="H11" s="21"/>
      <c r="I11" s="21"/>
      <c r="J11" s="21"/>
      <c r="K11" s="21"/>
      <c r="L11" s="21"/>
      <c r="M11" s="21"/>
      <c r="N11" s="21"/>
      <c r="O11" s="20"/>
      <c r="Q11" s="487" t="s">
        <v>319</v>
      </c>
      <c r="R11" s="487"/>
      <c r="S11" s="487" t="s">
        <v>403</v>
      </c>
      <c r="T11" s="487"/>
      <c r="U11" s="487"/>
      <c r="V11" s="487"/>
      <c r="W11" s="487"/>
      <c r="X11" s="487"/>
      <c r="Y11" s="487"/>
      <c r="Z11" s="509" t="s">
        <v>325</v>
      </c>
    </row>
    <row r="12" spans="1:26" x14ac:dyDescent="0.3">
      <c r="A12" s="18"/>
      <c r="B12" s="21"/>
      <c r="C12" s="21"/>
      <c r="D12" s="21"/>
      <c r="E12" s="21"/>
      <c r="F12" s="21"/>
      <c r="G12" s="21"/>
      <c r="H12" s="21"/>
      <c r="I12" s="21"/>
      <c r="J12" s="21"/>
      <c r="K12" s="21"/>
      <c r="L12" s="21"/>
      <c r="M12" s="21"/>
      <c r="N12" s="21"/>
      <c r="O12" s="20"/>
      <c r="Q12" s="487"/>
      <c r="R12" s="487"/>
      <c r="S12" s="487"/>
      <c r="T12" s="487"/>
      <c r="U12" s="487"/>
      <c r="V12" s="487"/>
      <c r="W12" s="487"/>
      <c r="X12" s="487"/>
      <c r="Y12" s="487"/>
      <c r="Z12" s="509"/>
    </row>
    <row r="13" spans="1:26" x14ac:dyDescent="0.3">
      <c r="A13" s="490" t="s">
        <v>41</v>
      </c>
      <c r="B13" s="491"/>
      <c r="C13" s="491"/>
      <c r="D13" s="491"/>
      <c r="E13" s="491"/>
      <c r="F13" s="491"/>
      <c r="G13" s="491"/>
      <c r="H13" s="491"/>
      <c r="I13" s="491"/>
      <c r="J13" s="491"/>
      <c r="K13" s="491"/>
      <c r="L13" s="491"/>
      <c r="M13" s="491"/>
      <c r="N13" s="21"/>
      <c r="O13" s="20"/>
      <c r="Q13" s="487"/>
      <c r="R13" s="487"/>
      <c r="S13" s="487"/>
      <c r="T13" s="487"/>
      <c r="U13" s="487"/>
      <c r="V13" s="487"/>
      <c r="W13" s="487"/>
      <c r="X13" s="487"/>
      <c r="Y13" s="487"/>
      <c r="Z13" s="509"/>
    </row>
    <row r="14" spans="1:26" ht="15" customHeight="1" x14ac:dyDescent="0.3">
      <c r="A14" s="18"/>
      <c r="B14" s="21"/>
      <c r="C14" s="21"/>
      <c r="D14" s="21"/>
      <c r="E14" s="21"/>
      <c r="F14" s="21"/>
      <c r="G14" s="21"/>
      <c r="H14" s="21"/>
      <c r="I14" s="21"/>
      <c r="J14" s="21"/>
      <c r="K14" s="21"/>
      <c r="L14" s="21"/>
      <c r="M14" s="21"/>
      <c r="N14" s="21"/>
      <c r="O14" s="20"/>
      <c r="Q14" s="487" t="s">
        <v>320</v>
      </c>
      <c r="R14" s="487"/>
      <c r="S14" s="487" t="s">
        <v>327</v>
      </c>
      <c r="T14" s="487"/>
      <c r="U14" s="487"/>
      <c r="V14" s="487"/>
      <c r="W14" s="487"/>
      <c r="X14" s="487"/>
      <c r="Y14" s="487"/>
      <c r="Z14" s="509" t="s">
        <v>325</v>
      </c>
    </row>
    <row r="15" spans="1:26" x14ac:dyDescent="0.3">
      <c r="A15" s="18"/>
      <c r="B15" s="21"/>
      <c r="C15" s="21"/>
      <c r="D15" s="21"/>
      <c r="E15" s="21"/>
      <c r="F15" s="21"/>
      <c r="G15" s="21"/>
      <c r="H15" s="21"/>
      <c r="I15" s="21"/>
      <c r="J15" s="21"/>
      <c r="K15" s="21"/>
      <c r="L15" s="21"/>
      <c r="M15" s="21"/>
      <c r="N15" s="21"/>
      <c r="O15" s="20"/>
      <c r="Q15" s="487"/>
      <c r="R15" s="487"/>
      <c r="S15" s="487"/>
      <c r="T15" s="487"/>
      <c r="U15" s="487"/>
      <c r="V15" s="487"/>
      <c r="W15" s="487"/>
      <c r="X15" s="487"/>
      <c r="Y15" s="487"/>
      <c r="Z15" s="509"/>
    </row>
    <row r="16" spans="1:26" x14ac:dyDescent="0.3">
      <c r="A16" s="18"/>
      <c r="B16" s="21"/>
      <c r="C16" s="21"/>
      <c r="D16" s="21"/>
      <c r="E16" s="21"/>
      <c r="F16" s="21"/>
      <c r="G16" s="21"/>
      <c r="H16" s="21"/>
      <c r="I16" s="21"/>
      <c r="J16" s="21"/>
      <c r="K16" s="21"/>
      <c r="L16" s="21"/>
      <c r="M16" s="21"/>
      <c r="N16" s="21"/>
      <c r="O16" s="20"/>
      <c r="Q16" s="487"/>
      <c r="R16" s="487"/>
      <c r="S16" s="487"/>
      <c r="T16" s="487"/>
      <c r="U16" s="487"/>
      <c r="V16" s="487"/>
      <c r="W16" s="487"/>
      <c r="X16" s="487"/>
      <c r="Y16" s="487"/>
      <c r="Z16" s="509"/>
    </row>
    <row r="17" spans="1:26" ht="15" customHeight="1" x14ac:dyDescent="0.3">
      <c r="A17" s="18"/>
      <c r="B17" s="492" t="s">
        <v>10</v>
      </c>
      <c r="C17" s="493"/>
      <c r="D17" s="21"/>
      <c r="E17" s="492" t="s">
        <v>3329</v>
      </c>
      <c r="F17" s="493"/>
      <c r="G17" s="21"/>
      <c r="H17" s="21"/>
      <c r="I17" s="21"/>
      <c r="J17" s="21"/>
      <c r="K17" s="21"/>
      <c r="L17" s="21"/>
      <c r="M17" s="21"/>
      <c r="N17" s="21"/>
      <c r="O17" s="20"/>
      <c r="Q17" s="484" t="s">
        <v>321</v>
      </c>
      <c r="R17" s="484"/>
      <c r="S17" s="484" t="s">
        <v>3826</v>
      </c>
      <c r="T17" s="484"/>
      <c r="U17" s="484"/>
      <c r="V17" s="484"/>
      <c r="W17" s="484"/>
      <c r="X17" s="484"/>
      <c r="Y17" s="484"/>
      <c r="Z17" s="485" t="s">
        <v>326</v>
      </c>
    </row>
    <row r="18" spans="1:26" x14ac:dyDescent="0.3">
      <c r="A18" s="18"/>
      <c r="B18" s="3" t="s">
        <v>2</v>
      </c>
      <c r="C18" s="9" t="s">
        <v>8</v>
      </c>
      <c r="D18" s="21"/>
      <c r="E18" s="5" t="s">
        <v>11</v>
      </c>
      <c r="F18" s="42" t="s">
        <v>5</v>
      </c>
      <c r="G18" s="21"/>
      <c r="H18" s="21"/>
      <c r="I18" s="21"/>
      <c r="J18" s="21"/>
      <c r="K18" s="21"/>
      <c r="L18" s="21"/>
      <c r="M18" s="21"/>
      <c r="N18" s="21"/>
      <c r="O18" s="20"/>
      <c r="Q18" s="484"/>
      <c r="R18" s="484"/>
      <c r="S18" s="484"/>
      <c r="T18" s="484"/>
      <c r="U18" s="484"/>
      <c r="V18" s="484"/>
      <c r="W18" s="484"/>
      <c r="X18" s="484"/>
      <c r="Y18" s="484"/>
      <c r="Z18" s="485"/>
    </row>
    <row r="19" spans="1:26" x14ac:dyDescent="0.3">
      <c r="A19" s="18"/>
      <c r="B19" s="39" t="s">
        <v>3</v>
      </c>
      <c r="C19" s="40">
        <v>2500</v>
      </c>
      <c r="D19" s="21"/>
      <c r="E19" s="5" t="s">
        <v>12</v>
      </c>
      <c r="F19" s="42" t="s">
        <v>13</v>
      </c>
      <c r="G19" s="21"/>
      <c r="H19" s="21"/>
      <c r="I19" s="21"/>
      <c r="J19" s="21"/>
      <c r="K19" s="21"/>
      <c r="L19" s="21"/>
      <c r="M19" s="21"/>
      <c r="N19" s="21"/>
      <c r="O19" s="20"/>
      <c r="Q19" s="484"/>
      <c r="R19" s="484"/>
      <c r="S19" s="484"/>
      <c r="T19" s="484"/>
      <c r="U19" s="484"/>
      <c r="V19" s="484"/>
      <c r="W19" s="484"/>
      <c r="X19" s="484"/>
      <c r="Y19" s="484"/>
      <c r="Z19" s="485"/>
    </row>
    <row r="20" spans="1:26" x14ac:dyDescent="0.3">
      <c r="A20" s="18"/>
      <c r="B20" s="39" t="s">
        <v>4</v>
      </c>
      <c r="C20" s="40">
        <v>-360</v>
      </c>
      <c r="D20" s="21"/>
      <c r="E20" s="7" t="s">
        <v>9</v>
      </c>
      <c r="F20" s="6" cm="1">
        <f t="array" ref="F20">_xll.U.PUBLISH(F18,F19,(B18:C20,B23:C25))</f>
        <v>46072.453053796293</v>
      </c>
      <c r="G20" s="21"/>
      <c r="H20" s="21"/>
      <c r="I20" s="21"/>
      <c r="J20" s="21"/>
      <c r="K20" s="21"/>
      <c r="L20" s="21"/>
      <c r="M20" s="21"/>
      <c r="N20" s="21"/>
      <c r="O20" s="20"/>
      <c r="Q20" s="496" t="s">
        <v>2299</v>
      </c>
      <c r="R20" s="497"/>
      <c r="S20" s="496" t="s">
        <v>3088</v>
      </c>
      <c r="T20" s="502"/>
      <c r="U20" s="502"/>
      <c r="V20" s="502"/>
      <c r="W20" s="502"/>
      <c r="X20" s="502"/>
      <c r="Y20" s="497"/>
      <c r="Z20" s="505" t="s">
        <v>326</v>
      </c>
    </row>
    <row r="21" spans="1:26" x14ac:dyDescent="0.3">
      <c r="A21" s="18"/>
      <c r="B21" s="21"/>
      <c r="C21" s="21"/>
      <c r="D21" s="21"/>
      <c r="E21" s="21"/>
      <c r="F21" s="21"/>
      <c r="G21" s="21"/>
      <c r="H21" s="21"/>
      <c r="I21" s="21"/>
      <c r="J21" s="21"/>
      <c r="K21" s="21"/>
      <c r="L21" s="21"/>
      <c r="M21" s="21"/>
      <c r="N21" s="21"/>
      <c r="O21" s="20"/>
      <c r="Q21" s="498"/>
      <c r="R21" s="499"/>
      <c r="S21" s="498"/>
      <c r="T21" s="503"/>
      <c r="U21" s="503"/>
      <c r="V21" s="503"/>
      <c r="W21" s="503"/>
      <c r="X21" s="503"/>
      <c r="Y21" s="499"/>
      <c r="Z21" s="506"/>
    </row>
    <row r="22" spans="1:26" x14ac:dyDescent="0.3">
      <c r="A22" s="18"/>
      <c r="B22" s="492" t="s">
        <v>14</v>
      </c>
      <c r="C22" s="493"/>
      <c r="D22" s="21"/>
      <c r="E22" s="21"/>
      <c r="F22" s="21"/>
      <c r="G22" s="21"/>
      <c r="H22" s="21"/>
      <c r="I22" s="21"/>
      <c r="J22" s="21"/>
      <c r="K22" s="21"/>
      <c r="L22" s="21"/>
      <c r="M22" s="21"/>
      <c r="N22" s="21"/>
      <c r="O22" s="20"/>
      <c r="Q22" s="500"/>
      <c r="R22" s="501"/>
      <c r="S22" s="500"/>
      <c r="T22" s="504"/>
      <c r="U22" s="504"/>
      <c r="V22" s="504"/>
      <c r="W22" s="504"/>
      <c r="X22" s="504"/>
      <c r="Y22" s="501"/>
      <c r="Z22" s="507"/>
    </row>
    <row r="23" spans="1:26" x14ac:dyDescent="0.3">
      <c r="A23" s="18"/>
      <c r="B23" s="3" t="s">
        <v>2</v>
      </c>
      <c r="C23" s="9" t="s">
        <v>7</v>
      </c>
      <c r="D23" s="21"/>
      <c r="E23" s="21"/>
      <c r="F23" s="21"/>
      <c r="G23" s="21"/>
      <c r="H23" s="21"/>
      <c r="I23" s="21"/>
      <c r="J23" s="21"/>
      <c r="K23" s="21"/>
      <c r="L23" s="21"/>
      <c r="M23" s="21"/>
      <c r="N23" s="21"/>
      <c r="O23" s="20"/>
      <c r="Q23" s="484" t="s">
        <v>322</v>
      </c>
      <c r="R23" s="484"/>
      <c r="S23" s="484" t="s">
        <v>992</v>
      </c>
      <c r="T23" s="484"/>
      <c r="U23" s="484"/>
      <c r="V23" s="484"/>
      <c r="W23" s="484"/>
      <c r="X23" s="484"/>
      <c r="Y23" s="484"/>
      <c r="Z23" s="485" t="s">
        <v>326</v>
      </c>
    </row>
    <row r="24" spans="1:26" x14ac:dyDescent="0.3">
      <c r="A24" s="18"/>
      <c r="B24" s="39" t="s">
        <v>3</v>
      </c>
      <c r="C24" s="41">
        <v>123.4</v>
      </c>
      <c r="D24" s="21"/>
      <c r="E24" s="21"/>
      <c r="F24" s="21"/>
      <c r="G24" s="21"/>
      <c r="H24" s="21"/>
      <c r="I24" s="21"/>
      <c r="J24" s="21"/>
      <c r="K24" s="21"/>
      <c r="L24" s="21"/>
      <c r="M24" s="21"/>
      <c r="N24" s="21"/>
      <c r="O24" s="20"/>
      <c r="Q24" s="484"/>
      <c r="R24" s="484"/>
      <c r="S24" s="484"/>
      <c r="T24" s="484"/>
      <c r="U24" s="484"/>
      <c r="V24" s="484"/>
      <c r="W24" s="484"/>
      <c r="X24" s="484"/>
      <c r="Y24" s="484"/>
      <c r="Z24" s="485"/>
    </row>
    <row r="25" spans="1:26" x14ac:dyDescent="0.3">
      <c r="A25" s="18"/>
      <c r="B25" s="39" t="s">
        <v>4</v>
      </c>
      <c r="C25" s="41">
        <v>67.89</v>
      </c>
      <c r="D25" s="21"/>
      <c r="E25" s="21"/>
      <c r="F25" s="21"/>
      <c r="G25" s="21"/>
      <c r="H25" s="21"/>
      <c r="I25" s="21"/>
      <c r="J25" s="21"/>
      <c r="K25" s="21"/>
      <c r="L25" s="21"/>
      <c r="M25" s="21"/>
      <c r="N25" s="21"/>
      <c r="O25" s="20"/>
      <c r="Q25" s="484"/>
      <c r="R25" s="484"/>
      <c r="S25" s="484"/>
      <c r="T25" s="484"/>
      <c r="U25" s="484"/>
      <c r="V25" s="484"/>
      <c r="W25" s="484"/>
      <c r="X25" s="484"/>
      <c r="Y25" s="484"/>
      <c r="Z25" s="485"/>
    </row>
    <row r="26" spans="1:26" x14ac:dyDescent="0.3">
      <c r="A26" s="18"/>
      <c r="B26" s="21"/>
      <c r="C26" s="21"/>
      <c r="D26" s="21"/>
      <c r="E26" s="21"/>
      <c r="F26" s="21"/>
      <c r="G26" s="21"/>
      <c r="H26" s="21"/>
      <c r="I26" s="21"/>
      <c r="J26" s="21"/>
      <c r="K26" s="21"/>
      <c r="L26" s="21"/>
      <c r="M26" s="21"/>
      <c r="N26" s="21"/>
      <c r="O26" s="20"/>
      <c r="Q26" s="126" t="s">
        <v>328</v>
      </c>
    </row>
    <row r="27" spans="1:26" x14ac:dyDescent="0.3">
      <c r="A27" s="18"/>
      <c r="B27" s="21"/>
      <c r="C27" s="21"/>
      <c r="D27" s="21"/>
      <c r="E27" s="21"/>
      <c r="F27" s="21"/>
      <c r="G27" s="21"/>
      <c r="H27" s="21"/>
      <c r="I27" s="21"/>
      <c r="J27" s="21"/>
      <c r="K27" s="21"/>
      <c r="L27" s="21"/>
      <c r="M27" s="21"/>
      <c r="N27" s="21"/>
      <c r="O27" s="20"/>
    </row>
    <row r="28" spans="1:26" x14ac:dyDescent="0.3">
      <c r="A28" s="18"/>
      <c r="B28" s="21"/>
      <c r="C28" s="21"/>
      <c r="D28" s="21"/>
      <c r="E28" s="21"/>
      <c r="F28" s="21"/>
      <c r="G28" s="21"/>
      <c r="H28" s="21"/>
      <c r="I28" s="21"/>
      <c r="J28" s="21"/>
      <c r="K28" s="21"/>
      <c r="L28" s="21"/>
      <c r="M28" s="21"/>
      <c r="N28" s="21"/>
      <c r="O28" s="20"/>
    </row>
    <row r="29" spans="1:26" x14ac:dyDescent="0.3">
      <c r="A29" s="18"/>
      <c r="B29" s="21"/>
      <c r="C29" s="21"/>
      <c r="D29" s="21"/>
      <c r="E29" s="21"/>
      <c r="F29" s="21"/>
      <c r="G29" s="21"/>
      <c r="H29" s="21"/>
      <c r="I29" s="21"/>
      <c r="J29" s="21"/>
      <c r="K29" s="21"/>
      <c r="L29" s="21"/>
      <c r="M29" s="21"/>
      <c r="N29" s="21"/>
      <c r="O29" s="20"/>
      <c r="Q29" s="486" t="s">
        <v>3330</v>
      </c>
      <c r="R29" s="486"/>
      <c r="S29" s="486"/>
      <c r="T29" s="486"/>
      <c r="U29" s="486"/>
      <c r="V29" s="486"/>
      <c r="W29" s="486"/>
      <c r="X29" s="486"/>
      <c r="Y29" s="486"/>
      <c r="Z29" s="486"/>
    </row>
    <row r="30" spans="1:26" x14ac:dyDescent="0.3">
      <c r="A30" s="18"/>
      <c r="B30" s="21"/>
      <c r="C30" s="21"/>
      <c r="D30" s="21"/>
      <c r="E30" s="21"/>
      <c r="F30" s="21"/>
      <c r="G30" s="21"/>
      <c r="H30" s="21"/>
      <c r="I30" s="21"/>
      <c r="J30" s="21"/>
      <c r="K30" s="21"/>
      <c r="L30" s="21"/>
      <c r="M30" s="21"/>
      <c r="N30" s="21"/>
      <c r="O30" s="20"/>
      <c r="Q30" s="487" t="s">
        <v>333</v>
      </c>
      <c r="R30" s="487"/>
      <c r="S30" s="487" t="s">
        <v>419</v>
      </c>
      <c r="T30" s="487"/>
      <c r="U30" s="487"/>
      <c r="V30" s="487"/>
      <c r="W30" s="487"/>
      <c r="X30" s="487"/>
      <c r="Y30" s="487"/>
      <c r="Z30" s="487"/>
    </row>
    <row r="31" spans="1:26" x14ac:dyDescent="0.3">
      <c r="A31" s="18"/>
      <c r="B31" s="21"/>
      <c r="C31" s="21"/>
      <c r="D31" s="21"/>
      <c r="E31" s="21"/>
      <c r="F31" s="21"/>
      <c r="G31" s="21"/>
      <c r="H31" s="21"/>
      <c r="I31" s="21"/>
      <c r="J31" s="21"/>
      <c r="K31" s="21"/>
      <c r="L31" s="21"/>
      <c r="M31" s="21"/>
      <c r="N31" s="21"/>
      <c r="O31" s="20"/>
      <c r="Q31" s="487"/>
      <c r="R31" s="487"/>
      <c r="S31" s="487"/>
      <c r="T31" s="487"/>
      <c r="U31" s="487"/>
      <c r="V31" s="487"/>
      <c r="W31" s="487"/>
      <c r="X31" s="487"/>
      <c r="Y31" s="487"/>
      <c r="Z31" s="487"/>
    </row>
    <row r="32" spans="1:26" x14ac:dyDescent="0.3">
      <c r="A32" s="18"/>
      <c r="B32" s="3" t="s">
        <v>296</v>
      </c>
      <c r="C32" s="21"/>
      <c r="D32" s="21"/>
      <c r="E32" s="492" t="s">
        <v>3329</v>
      </c>
      <c r="F32" s="493"/>
      <c r="G32" s="21"/>
      <c r="H32" s="21"/>
      <c r="I32" s="21"/>
      <c r="J32" s="21"/>
      <c r="K32" s="21"/>
      <c r="L32" s="21"/>
      <c r="M32" s="21"/>
      <c r="N32" s="21"/>
      <c r="O32" s="20"/>
      <c r="Q32" s="487"/>
      <c r="R32" s="487"/>
      <c r="S32" s="487"/>
      <c r="T32" s="487"/>
      <c r="U32" s="487"/>
      <c r="V32" s="487"/>
      <c r="W32" s="487"/>
      <c r="X32" s="487"/>
      <c r="Y32" s="487"/>
      <c r="Z32" s="487"/>
    </row>
    <row r="33" spans="1:26" x14ac:dyDescent="0.3">
      <c r="A33" s="18"/>
      <c r="B33" s="42" t="s">
        <v>300</v>
      </c>
      <c r="C33" s="21"/>
      <c r="D33" s="21"/>
      <c r="E33" s="5" t="s">
        <v>11</v>
      </c>
      <c r="F33" s="42" t="s">
        <v>5</v>
      </c>
      <c r="G33" s="21"/>
      <c r="H33" s="21"/>
      <c r="I33" s="21"/>
      <c r="J33" s="21"/>
      <c r="K33" s="21"/>
      <c r="L33" s="21"/>
      <c r="M33" s="21"/>
      <c r="N33" s="21"/>
      <c r="O33" s="20"/>
      <c r="Q33" s="483" t="s">
        <v>323</v>
      </c>
      <c r="R33" s="483"/>
      <c r="S33" s="483" t="s">
        <v>1</v>
      </c>
      <c r="T33" s="483"/>
      <c r="U33" s="483"/>
      <c r="V33" s="483"/>
      <c r="W33" s="483"/>
      <c r="X33" s="483"/>
      <c r="Y33" s="483"/>
      <c r="Z33" s="85" t="s">
        <v>324</v>
      </c>
    </row>
    <row r="34" spans="1:26" ht="15" customHeight="1" x14ac:dyDescent="0.3">
      <c r="A34" s="18"/>
      <c r="B34" s="42" t="s">
        <v>297</v>
      </c>
      <c r="C34" s="21"/>
      <c r="D34" s="21"/>
      <c r="E34" s="5" t="s">
        <v>12</v>
      </c>
      <c r="F34" s="42" t="s">
        <v>298</v>
      </c>
      <c r="G34" s="21"/>
      <c r="H34" s="21"/>
      <c r="I34" s="21"/>
      <c r="J34" s="21"/>
      <c r="K34" s="21"/>
      <c r="L34" s="21"/>
      <c r="M34" s="21"/>
      <c r="N34" s="21"/>
      <c r="O34" s="20"/>
      <c r="Q34" s="487" t="s">
        <v>420</v>
      </c>
      <c r="R34" s="487"/>
      <c r="S34" s="487" t="s">
        <v>421</v>
      </c>
      <c r="T34" s="487"/>
      <c r="U34" s="487"/>
      <c r="V34" s="487"/>
      <c r="W34" s="487"/>
      <c r="X34" s="487"/>
      <c r="Y34" s="487"/>
      <c r="Z34" s="509" t="s">
        <v>325</v>
      </c>
    </row>
    <row r="35" spans="1:26" x14ac:dyDescent="0.3">
      <c r="A35" s="18"/>
      <c r="B35" s="21"/>
      <c r="C35" s="21"/>
      <c r="D35" s="21"/>
      <c r="E35" s="7" t="s">
        <v>9</v>
      </c>
      <c r="F35" s="6" cm="1">
        <f t="array" ref="F35">_xll.U.PUBLISH(F33,F34,B37,_xll.U.PAGE_NAMES(B33:B34))</f>
        <v>46145.893248402775</v>
      </c>
      <c r="G35" s="21"/>
      <c r="H35" s="21"/>
      <c r="I35" s="21"/>
      <c r="J35" s="21"/>
      <c r="K35" s="21"/>
      <c r="L35" s="21"/>
      <c r="M35" s="21"/>
      <c r="N35" s="21"/>
      <c r="O35" s="20"/>
      <c r="Q35" s="487"/>
      <c r="R35" s="487"/>
      <c r="S35" s="487"/>
      <c r="T35" s="487"/>
      <c r="U35" s="487"/>
      <c r="V35" s="487"/>
      <c r="W35" s="487"/>
      <c r="X35" s="487"/>
      <c r="Y35" s="487"/>
      <c r="Z35" s="509"/>
    </row>
    <row r="36" spans="1:26" x14ac:dyDescent="0.3">
      <c r="A36" s="18"/>
      <c r="B36" s="3" t="s">
        <v>1802</v>
      </c>
      <c r="C36" s="21"/>
      <c r="D36" s="21"/>
      <c r="E36" s="21"/>
      <c r="F36" s="21"/>
      <c r="G36" s="21"/>
      <c r="H36" s="21"/>
      <c r="I36" s="21"/>
      <c r="J36" s="21"/>
      <c r="K36" s="21"/>
      <c r="L36" s="21"/>
      <c r="M36" s="21"/>
      <c r="N36" s="21"/>
      <c r="O36" s="20"/>
      <c r="Q36" s="487"/>
      <c r="R36" s="487"/>
      <c r="S36" s="487"/>
      <c r="T36" s="487"/>
      <c r="U36" s="487"/>
      <c r="V36" s="487"/>
      <c r="W36" s="487"/>
      <c r="X36" s="487"/>
      <c r="Y36" s="487"/>
      <c r="Z36" s="509"/>
    </row>
    <row r="37" spans="1:26" ht="15" customHeight="1" x14ac:dyDescent="0.3">
      <c r="A37" s="18"/>
      <c r="B37" s="93" t="str" cm="1">
        <f t="array" ref="B37">_xll.U.RANGE_REF(B18:C20,B23:C25)</f>
        <v>[REF]{{34856#2238120306000!R18C2:R20C3}},[REF]{{34856#2238120306000!R23C2:R25C3}}</v>
      </c>
      <c r="C37" s="21"/>
      <c r="D37" s="21"/>
      <c r="E37" s="21"/>
      <c r="F37" s="21"/>
      <c r="G37" s="21"/>
      <c r="H37" s="21"/>
      <c r="I37" s="21"/>
      <c r="J37" s="21"/>
      <c r="K37" s="21"/>
      <c r="L37" s="21"/>
      <c r="M37" s="21"/>
      <c r="N37" s="21"/>
      <c r="O37" s="20"/>
      <c r="Q37" s="484" t="s">
        <v>321</v>
      </c>
      <c r="R37" s="484"/>
      <c r="S37" s="484" t="s">
        <v>3078</v>
      </c>
      <c r="T37" s="484"/>
      <c r="U37" s="484"/>
      <c r="V37" s="484"/>
      <c r="W37" s="484"/>
      <c r="X37" s="484"/>
      <c r="Y37" s="484"/>
      <c r="Z37" s="485" t="s">
        <v>326</v>
      </c>
    </row>
    <row r="38" spans="1:26" x14ac:dyDescent="0.3">
      <c r="A38" s="18"/>
      <c r="B38" s="21"/>
      <c r="C38" s="21"/>
      <c r="D38" s="21"/>
      <c r="E38" s="21"/>
      <c r="F38" s="21"/>
      <c r="G38" s="21"/>
      <c r="H38" s="21"/>
      <c r="I38" s="21"/>
      <c r="J38" s="21"/>
      <c r="K38" s="21"/>
      <c r="L38" s="21"/>
      <c r="M38" s="21"/>
      <c r="N38" s="21"/>
      <c r="O38" s="20"/>
      <c r="Q38" s="484"/>
      <c r="R38" s="484"/>
      <c r="S38" s="484"/>
      <c r="T38" s="484"/>
      <c r="U38" s="484"/>
      <c r="V38" s="484"/>
      <c r="W38" s="484"/>
      <c r="X38" s="484"/>
      <c r="Y38" s="484"/>
      <c r="Z38" s="485"/>
    </row>
    <row r="39" spans="1:26" x14ac:dyDescent="0.3">
      <c r="A39" s="18"/>
      <c r="B39" s="30" t="str">
        <f t="array" ref="B39:C40">_xll.U.PAGE_NAMES(B33:B34)</f>
        <v>U.PAGE_1_NAME</v>
      </c>
      <c r="C39" s="30" t="str">
        <v>RiskMetrics</v>
      </c>
      <c r="D39" s="21"/>
      <c r="E39" s="21"/>
      <c r="F39" s="21"/>
      <c r="G39" s="21"/>
      <c r="H39" s="21"/>
      <c r="I39" s="21"/>
      <c r="J39" s="21"/>
      <c r="K39" s="21"/>
      <c r="L39" s="21"/>
      <c r="M39" s="21"/>
      <c r="N39" s="21"/>
      <c r="O39" s="20"/>
      <c r="Q39" s="484"/>
      <c r="R39" s="484"/>
      <c r="S39" s="484"/>
      <c r="T39" s="484"/>
      <c r="U39" s="484"/>
      <c r="V39" s="484"/>
      <c r="W39" s="484"/>
      <c r="X39" s="484"/>
      <c r="Y39" s="484"/>
      <c r="Z39" s="485"/>
    </row>
    <row r="40" spans="1:26" x14ac:dyDescent="0.3">
      <c r="A40" s="18"/>
      <c r="B40" s="30" t="str">
        <v>U.PAGE_2_NAME</v>
      </c>
      <c r="C40" s="30" t="str">
        <v>MarketPrices</v>
      </c>
      <c r="D40" s="21"/>
      <c r="E40" s="21"/>
      <c r="F40" s="21"/>
      <c r="G40" s="21"/>
      <c r="H40" s="21"/>
      <c r="I40" s="21"/>
      <c r="J40" s="21"/>
      <c r="K40" s="21"/>
      <c r="L40" s="21"/>
      <c r="M40" s="21"/>
      <c r="N40" s="21"/>
      <c r="O40" s="20"/>
      <c r="Q40" s="126" t="s">
        <v>328</v>
      </c>
    </row>
    <row r="41" spans="1:26" x14ac:dyDescent="0.3">
      <c r="A41" s="18"/>
      <c r="B41" s="21"/>
      <c r="C41" s="21"/>
      <c r="D41" s="21"/>
      <c r="E41" s="21"/>
      <c r="F41" s="21"/>
      <c r="G41" s="21"/>
      <c r="H41" s="21"/>
      <c r="I41" s="21"/>
      <c r="J41" s="21"/>
      <c r="K41" s="21"/>
      <c r="L41" s="21"/>
      <c r="M41" s="21"/>
      <c r="N41" s="21"/>
      <c r="O41" s="20"/>
    </row>
    <row r="42" spans="1:26" x14ac:dyDescent="0.3">
      <c r="A42" s="18"/>
      <c r="B42" s="21"/>
      <c r="C42" s="21"/>
      <c r="D42" s="21"/>
      <c r="E42" s="21"/>
      <c r="F42" s="21"/>
      <c r="G42" s="21"/>
      <c r="H42" s="21"/>
      <c r="I42" s="21"/>
      <c r="J42" s="21"/>
      <c r="K42" s="21"/>
      <c r="L42" s="21"/>
      <c r="M42" s="21"/>
      <c r="N42" s="21"/>
      <c r="O42" s="20"/>
    </row>
    <row r="43" spans="1:26" x14ac:dyDescent="0.3">
      <c r="A43" s="18"/>
      <c r="B43" s="21"/>
      <c r="C43" s="21"/>
      <c r="D43" s="21"/>
      <c r="E43" s="21"/>
      <c r="F43" s="21"/>
      <c r="G43" s="21"/>
      <c r="H43" s="21"/>
      <c r="I43" s="21"/>
      <c r="J43" s="21"/>
      <c r="K43" s="21"/>
      <c r="L43" s="21"/>
      <c r="M43" s="21"/>
      <c r="N43" s="21"/>
      <c r="O43" s="20"/>
      <c r="Q43" s="486" t="s">
        <v>3331</v>
      </c>
      <c r="R43" s="486"/>
      <c r="S43" s="486"/>
      <c r="T43" s="486"/>
      <c r="U43" s="486"/>
      <c r="V43" s="486"/>
      <c r="W43" s="486"/>
      <c r="X43" s="486"/>
      <c r="Y43" s="486"/>
      <c r="Z43" s="486"/>
    </row>
    <row r="44" spans="1:26" x14ac:dyDescent="0.3">
      <c r="A44" s="18"/>
      <c r="B44" s="21"/>
      <c r="C44" s="21"/>
      <c r="D44" s="21"/>
      <c r="E44" s="21"/>
      <c r="F44" s="21"/>
      <c r="G44" s="21"/>
      <c r="H44" s="21"/>
      <c r="I44" s="21"/>
      <c r="J44" s="21"/>
      <c r="K44" s="21"/>
      <c r="L44" s="21"/>
      <c r="M44" s="21"/>
      <c r="N44" s="21"/>
      <c r="O44" s="20"/>
      <c r="Q44" s="487" t="s">
        <v>333</v>
      </c>
      <c r="R44" s="487"/>
      <c r="S44" s="487" t="s">
        <v>3827</v>
      </c>
      <c r="T44" s="487"/>
      <c r="U44" s="487"/>
      <c r="V44" s="487"/>
      <c r="W44" s="487"/>
      <c r="X44" s="487"/>
      <c r="Y44" s="487"/>
      <c r="Z44" s="487"/>
    </row>
    <row r="45" spans="1:26" ht="15" customHeight="1" x14ac:dyDescent="0.3">
      <c r="A45" s="18"/>
      <c r="B45" s="21"/>
      <c r="C45" s="21"/>
      <c r="D45" s="21"/>
      <c r="E45" s="21"/>
      <c r="F45" s="21"/>
      <c r="G45" s="21"/>
      <c r="H45" s="21"/>
      <c r="I45" s="21"/>
      <c r="J45" s="21"/>
      <c r="K45" s="21"/>
      <c r="L45" s="21"/>
      <c r="M45" s="21"/>
      <c r="N45" s="21"/>
      <c r="O45" s="20"/>
      <c r="Q45" s="487"/>
      <c r="R45" s="487"/>
      <c r="S45" s="487"/>
      <c r="T45" s="487"/>
      <c r="U45" s="487"/>
      <c r="V45" s="487"/>
      <c r="W45" s="487"/>
      <c r="X45" s="487"/>
      <c r="Y45" s="487"/>
      <c r="Z45" s="487"/>
    </row>
    <row r="46" spans="1:26" x14ac:dyDescent="0.3">
      <c r="A46" s="18"/>
      <c r="B46" s="21"/>
      <c r="C46" s="21"/>
      <c r="D46" s="21"/>
      <c r="E46" s="21"/>
      <c r="F46" s="21"/>
      <c r="G46" s="21"/>
      <c r="H46" s="21"/>
      <c r="I46" s="21"/>
      <c r="J46" s="21"/>
      <c r="K46" s="21"/>
      <c r="L46" s="21"/>
      <c r="M46" s="21"/>
      <c r="N46" s="21"/>
      <c r="O46" s="20"/>
      <c r="Q46" s="487"/>
      <c r="R46" s="487"/>
      <c r="S46" s="487"/>
      <c r="T46" s="487"/>
      <c r="U46" s="487"/>
      <c r="V46" s="487"/>
      <c r="W46" s="487"/>
      <c r="X46" s="487"/>
      <c r="Y46" s="487"/>
      <c r="Z46" s="487"/>
    </row>
    <row r="47" spans="1:26" x14ac:dyDescent="0.3">
      <c r="A47" s="18"/>
      <c r="B47" s="21"/>
      <c r="C47" s="21"/>
      <c r="D47" s="21"/>
      <c r="E47" s="21"/>
      <c r="F47" s="21"/>
      <c r="G47" s="21"/>
      <c r="H47" s="21"/>
      <c r="I47" s="21"/>
      <c r="J47" s="21"/>
      <c r="K47" s="21"/>
      <c r="L47" s="21"/>
      <c r="M47" s="21"/>
      <c r="N47" s="21"/>
      <c r="O47" s="20"/>
      <c r="Q47" s="483" t="s">
        <v>323</v>
      </c>
      <c r="R47" s="483"/>
      <c r="S47" s="483" t="s">
        <v>1</v>
      </c>
      <c r="T47" s="483"/>
      <c r="U47" s="483"/>
      <c r="V47" s="483"/>
      <c r="W47" s="483"/>
      <c r="X47" s="483"/>
      <c r="Y47" s="483"/>
      <c r="Z47" s="85" t="s">
        <v>324</v>
      </c>
    </row>
    <row r="48" spans="1:26" x14ac:dyDescent="0.3">
      <c r="A48" s="490" t="s">
        <v>42</v>
      </c>
      <c r="B48" s="491"/>
      <c r="C48" s="491"/>
      <c r="D48" s="491"/>
      <c r="E48" s="491"/>
      <c r="F48" s="491"/>
      <c r="G48" s="491"/>
      <c r="H48" s="491"/>
      <c r="I48" s="491"/>
      <c r="J48" s="491"/>
      <c r="K48" s="491"/>
      <c r="L48" s="491"/>
      <c r="M48" s="491"/>
      <c r="N48" s="21"/>
      <c r="O48" s="20"/>
      <c r="Q48" s="484" t="s">
        <v>815</v>
      </c>
      <c r="R48" s="484"/>
      <c r="S48" s="484" t="s">
        <v>2834</v>
      </c>
      <c r="T48" s="484"/>
      <c r="U48" s="484"/>
      <c r="V48" s="484"/>
      <c r="W48" s="484"/>
      <c r="X48" s="484"/>
      <c r="Y48" s="484"/>
      <c r="Z48" s="485" t="s">
        <v>326</v>
      </c>
    </row>
    <row r="49" spans="1:26" x14ac:dyDescent="0.3">
      <c r="A49" s="18"/>
      <c r="B49" s="21"/>
      <c r="C49" s="21"/>
      <c r="D49" s="21"/>
      <c r="E49" s="21"/>
      <c r="F49" s="21"/>
      <c r="G49" s="21"/>
      <c r="H49" s="21"/>
      <c r="I49" s="21"/>
      <c r="J49" s="21"/>
      <c r="K49" s="21"/>
      <c r="L49" s="21"/>
      <c r="M49" s="21"/>
      <c r="N49" s="21"/>
      <c r="O49" s="20"/>
      <c r="Q49" s="484"/>
      <c r="R49" s="484"/>
      <c r="S49" s="484"/>
      <c r="T49" s="484"/>
      <c r="U49" s="484"/>
      <c r="V49" s="484"/>
      <c r="W49" s="484"/>
      <c r="X49" s="484"/>
      <c r="Y49" s="484"/>
      <c r="Z49" s="485"/>
    </row>
    <row r="50" spans="1:26" x14ac:dyDescent="0.3">
      <c r="A50" s="18"/>
      <c r="B50" s="21"/>
      <c r="C50" s="21"/>
      <c r="D50" s="21"/>
      <c r="E50" s="21"/>
      <c r="F50" s="21"/>
      <c r="G50" s="21"/>
      <c r="H50" s="21"/>
      <c r="I50" s="21"/>
      <c r="J50" s="21"/>
      <c r="K50" s="21"/>
      <c r="L50" s="21"/>
      <c r="M50" s="21"/>
      <c r="N50" s="21"/>
      <c r="O50" s="20"/>
      <c r="Q50" s="484"/>
      <c r="R50" s="484"/>
      <c r="S50" s="484"/>
      <c r="T50" s="484"/>
      <c r="U50" s="484"/>
      <c r="V50" s="484"/>
      <c r="W50" s="484"/>
      <c r="X50" s="484"/>
      <c r="Y50" s="484"/>
      <c r="Z50" s="485"/>
    </row>
    <row r="51" spans="1:26" x14ac:dyDescent="0.3">
      <c r="A51" s="18"/>
      <c r="B51" s="492" t="s">
        <v>10</v>
      </c>
      <c r="C51" s="493"/>
      <c r="D51" s="21"/>
      <c r="E51" s="492" t="s">
        <v>3332</v>
      </c>
      <c r="F51" s="493"/>
      <c r="G51" s="21"/>
      <c r="H51" s="21"/>
      <c r="I51" s="21"/>
      <c r="J51" s="21"/>
      <c r="K51" s="21"/>
      <c r="L51" s="21"/>
      <c r="M51" s="21"/>
      <c r="N51" s="21"/>
      <c r="O51" s="20"/>
      <c r="Q51" s="484" t="s">
        <v>321</v>
      </c>
      <c r="R51" s="484"/>
      <c r="S51" s="484" t="s">
        <v>3079</v>
      </c>
      <c r="T51" s="484"/>
      <c r="U51" s="484"/>
      <c r="V51" s="484"/>
      <c r="W51" s="484"/>
      <c r="X51" s="484"/>
      <c r="Y51" s="484"/>
      <c r="Z51" s="485" t="s">
        <v>326</v>
      </c>
    </row>
    <row r="52" spans="1:26" x14ac:dyDescent="0.3">
      <c r="A52" s="18"/>
      <c r="B52" s="3" t="s">
        <v>2</v>
      </c>
      <c r="C52" s="9" t="s">
        <v>8</v>
      </c>
      <c r="D52" s="21"/>
      <c r="E52" s="5" t="s">
        <v>11</v>
      </c>
      <c r="F52" s="42" t="s">
        <v>21</v>
      </c>
      <c r="G52" s="21"/>
      <c r="H52" s="21"/>
      <c r="I52" s="21"/>
      <c r="J52" s="21"/>
      <c r="K52" s="21"/>
      <c r="L52" s="21"/>
      <c r="M52" s="21"/>
      <c r="N52" s="21"/>
      <c r="O52" s="20"/>
      <c r="Q52" s="484"/>
      <c r="R52" s="484"/>
      <c r="S52" s="484"/>
      <c r="T52" s="484"/>
      <c r="U52" s="484"/>
      <c r="V52" s="484"/>
      <c r="W52" s="484"/>
      <c r="X52" s="484"/>
      <c r="Y52" s="484"/>
      <c r="Z52" s="485"/>
    </row>
    <row r="53" spans="1:26" x14ac:dyDescent="0.3">
      <c r="A53" s="18"/>
      <c r="B53" s="39" t="s">
        <v>3</v>
      </c>
      <c r="C53" s="40">
        <v>2500</v>
      </c>
      <c r="D53" s="21"/>
      <c r="E53" s="5" t="s">
        <v>12</v>
      </c>
      <c r="F53" s="42" t="s">
        <v>6</v>
      </c>
      <c r="G53" s="21"/>
      <c r="H53" s="21"/>
      <c r="I53" s="21"/>
      <c r="J53" s="21"/>
      <c r="K53" s="21"/>
      <c r="L53" s="21"/>
      <c r="M53" s="21"/>
      <c r="N53" s="21"/>
      <c r="O53" s="20"/>
      <c r="Q53" s="484"/>
      <c r="R53" s="484"/>
      <c r="S53" s="484"/>
      <c r="T53" s="484"/>
      <c r="U53" s="484"/>
      <c r="V53" s="484"/>
      <c r="W53" s="484"/>
      <c r="X53" s="484"/>
      <c r="Y53" s="484"/>
      <c r="Z53" s="485"/>
    </row>
    <row r="54" spans="1:26" x14ac:dyDescent="0.3">
      <c r="A54" s="18"/>
      <c r="B54" s="39" t="s">
        <v>4</v>
      </c>
      <c r="C54" s="40">
        <v>-360</v>
      </c>
      <c r="D54" s="21"/>
      <c r="E54" s="7" t="s">
        <v>9</v>
      </c>
      <c r="F54" s="6" cm="1">
        <f t="array" ref="F54">_xll.U.PUBLISH(F52,F53,B52:C54,B58:C60)</f>
        <v>46072.453056770835</v>
      </c>
      <c r="G54" s="21"/>
      <c r="H54" s="21"/>
      <c r="I54" s="21"/>
      <c r="J54" s="21"/>
      <c r="K54" s="21"/>
      <c r="L54" s="21"/>
      <c r="M54" s="21"/>
      <c r="N54" s="21"/>
      <c r="O54" s="20"/>
      <c r="Q54" s="126" t="s">
        <v>328</v>
      </c>
    </row>
    <row r="55" spans="1:26" x14ac:dyDescent="0.3">
      <c r="A55" s="18"/>
      <c r="B55" s="21"/>
      <c r="C55" s="21"/>
      <c r="D55" s="21"/>
      <c r="E55" s="21"/>
      <c r="F55" s="21"/>
      <c r="G55" s="21"/>
      <c r="H55" s="21"/>
      <c r="I55" s="21"/>
      <c r="J55" s="21"/>
      <c r="K55" s="21"/>
      <c r="L55" s="21"/>
      <c r="M55" s="21"/>
      <c r="N55" s="21"/>
      <c r="O55" s="20"/>
      <c r="Q55" s="126"/>
    </row>
    <row r="56" spans="1:26" x14ac:dyDescent="0.3">
      <c r="A56" s="18"/>
      <c r="B56" s="492" t="s">
        <v>15</v>
      </c>
      <c r="C56" s="493"/>
      <c r="D56" s="21"/>
      <c r="E56" s="21"/>
      <c r="F56" s="21"/>
      <c r="G56" s="21"/>
      <c r="H56" s="21"/>
      <c r="I56" s="21"/>
      <c r="J56" s="21"/>
      <c r="K56" s="21"/>
      <c r="L56" s="21"/>
      <c r="M56" s="21"/>
      <c r="N56" s="21"/>
      <c r="O56" s="20"/>
      <c r="Q56" s="126"/>
    </row>
    <row r="57" spans="1:26" x14ac:dyDescent="0.3">
      <c r="A57" s="18"/>
      <c r="B57" s="3" t="s">
        <v>16</v>
      </c>
      <c r="C57" s="9" t="s">
        <v>17</v>
      </c>
      <c r="D57" s="21"/>
      <c r="E57" s="21"/>
      <c r="F57" s="21"/>
      <c r="G57" s="21"/>
      <c r="H57" s="21"/>
      <c r="I57" s="21"/>
      <c r="J57" s="21"/>
      <c r="K57" s="21"/>
      <c r="L57" s="21"/>
      <c r="M57" s="21"/>
      <c r="N57" s="21"/>
      <c r="O57" s="20"/>
      <c r="Q57" s="486" t="s">
        <v>3333</v>
      </c>
      <c r="R57" s="486"/>
      <c r="S57" s="486"/>
      <c r="T57" s="486"/>
      <c r="U57" s="486"/>
      <c r="V57" s="486"/>
      <c r="W57" s="486"/>
      <c r="X57" s="486"/>
      <c r="Y57" s="486"/>
      <c r="Z57" s="486"/>
    </row>
    <row r="58" spans="1:26" x14ac:dyDescent="0.3">
      <c r="A58" s="18"/>
      <c r="B58" s="39" t="s">
        <v>18</v>
      </c>
      <c r="C58" s="44" t="b">
        <v>0</v>
      </c>
      <c r="D58" s="21"/>
      <c r="E58" s="21"/>
      <c r="F58" s="21"/>
      <c r="G58" s="21"/>
      <c r="H58" s="21"/>
      <c r="I58" s="21"/>
      <c r="J58" s="21"/>
      <c r="K58" s="21"/>
      <c r="L58" s="21"/>
      <c r="M58" s="21"/>
      <c r="N58" s="21"/>
      <c r="O58" s="20"/>
      <c r="Q58" s="487" t="s">
        <v>333</v>
      </c>
      <c r="R58" s="487"/>
      <c r="S58" s="487" t="s">
        <v>424</v>
      </c>
      <c r="T58" s="487"/>
      <c r="U58" s="487"/>
      <c r="V58" s="487"/>
      <c r="W58" s="487"/>
      <c r="X58" s="487"/>
      <c r="Y58" s="487"/>
      <c r="Z58" s="487"/>
    </row>
    <row r="59" spans="1:26" ht="15" customHeight="1" x14ac:dyDescent="0.3">
      <c r="A59" s="18"/>
      <c r="B59" s="39" t="s">
        <v>22</v>
      </c>
      <c r="C59" s="44" t="b">
        <v>1</v>
      </c>
      <c r="D59" s="21"/>
      <c r="E59" s="21"/>
      <c r="F59" s="21"/>
      <c r="G59" s="21"/>
      <c r="H59" s="21"/>
      <c r="I59" s="21"/>
      <c r="J59" s="21"/>
      <c r="K59" s="21"/>
      <c r="L59" s="21"/>
      <c r="M59" s="21"/>
      <c r="N59" s="21"/>
      <c r="O59" s="20"/>
      <c r="Q59" s="487"/>
      <c r="R59" s="487"/>
      <c r="S59" s="487"/>
      <c r="T59" s="487"/>
      <c r="U59" s="487"/>
      <c r="V59" s="487"/>
      <c r="W59" s="487"/>
      <c r="X59" s="487"/>
      <c r="Y59" s="487"/>
      <c r="Z59" s="487"/>
    </row>
    <row r="60" spans="1:26" x14ac:dyDescent="0.3">
      <c r="A60" s="18"/>
      <c r="B60" s="39" t="s">
        <v>19</v>
      </c>
      <c r="C60" s="44" t="s">
        <v>20</v>
      </c>
      <c r="D60" s="21"/>
      <c r="E60" s="21"/>
      <c r="F60" s="21"/>
      <c r="G60" s="21"/>
      <c r="H60" s="21"/>
      <c r="I60" s="21"/>
      <c r="J60" s="21"/>
      <c r="K60" s="21"/>
      <c r="L60" s="21"/>
      <c r="M60" s="21"/>
      <c r="N60" s="21"/>
      <c r="O60" s="20"/>
      <c r="Q60" s="487"/>
      <c r="R60" s="487"/>
      <c r="S60" s="487"/>
      <c r="T60" s="487"/>
      <c r="U60" s="487"/>
      <c r="V60" s="487"/>
      <c r="W60" s="487"/>
      <c r="X60" s="487"/>
      <c r="Y60" s="487"/>
      <c r="Z60" s="487"/>
    </row>
    <row r="61" spans="1:26" x14ac:dyDescent="0.3">
      <c r="A61" s="18"/>
      <c r="B61" s="21"/>
      <c r="C61" s="21"/>
      <c r="D61" s="21"/>
      <c r="E61" s="21"/>
      <c r="F61" s="21"/>
      <c r="G61" s="21"/>
      <c r="H61" s="21"/>
      <c r="I61" s="21"/>
      <c r="J61" s="21"/>
      <c r="K61" s="21"/>
      <c r="L61" s="21"/>
      <c r="M61" s="21"/>
      <c r="N61" s="21"/>
      <c r="O61" s="20"/>
      <c r="Q61" s="483" t="s">
        <v>323</v>
      </c>
      <c r="R61" s="483"/>
      <c r="S61" s="483" t="s">
        <v>1</v>
      </c>
      <c r="T61" s="483"/>
      <c r="U61" s="483"/>
      <c r="V61" s="483"/>
      <c r="W61" s="483"/>
      <c r="X61" s="483"/>
      <c r="Y61" s="483"/>
      <c r="Z61" s="85" t="s">
        <v>324</v>
      </c>
    </row>
    <row r="62" spans="1:26" ht="15" customHeight="1" x14ac:dyDescent="0.3">
      <c r="A62" s="490" t="s">
        <v>622</v>
      </c>
      <c r="B62" s="491"/>
      <c r="C62" s="491"/>
      <c r="D62" s="491"/>
      <c r="E62" s="491"/>
      <c r="F62" s="491"/>
      <c r="G62" s="491"/>
      <c r="H62" s="491"/>
      <c r="I62" s="491"/>
      <c r="J62" s="491"/>
      <c r="K62" s="491"/>
      <c r="L62" s="491"/>
      <c r="M62" s="491"/>
      <c r="N62" s="21"/>
      <c r="O62" s="20"/>
      <c r="Q62" s="484" t="s">
        <v>423</v>
      </c>
      <c r="R62" s="484"/>
      <c r="S62" s="484" t="s">
        <v>422</v>
      </c>
      <c r="T62" s="484"/>
      <c r="U62" s="484"/>
      <c r="V62" s="484"/>
      <c r="W62" s="484"/>
      <c r="X62" s="484"/>
      <c r="Y62" s="484"/>
      <c r="Z62" s="485" t="s">
        <v>326</v>
      </c>
    </row>
    <row r="63" spans="1:26" x14ac:dyDescent="0.3">
      <c r="A63" s="18"/>
      <c r="B63" s="21"/>
      <c r="C63" s="21"/>
      <c r="D63" s="21"/>
      <c r="E63" s="21"/>
      <c r="F63" s="21"/>
      <c r="G63" s="21"/>
      <c r="H63" s="21"/>
      <c r="I63" s="21"/>
      <c r="J63" s="21"/>
      <c r="K63" s="21"/>
      <c r="L63" s="21"/>
      <c r="M63" s="21"/>
      <c r="N63" s="21"/>
      <c r="O63" s="20"/>
      <c r="Q63" s="484"/>
      <c r="R63" s="484"/>
      <c r="S63" s="484"/>
      <c r="T63" s="484"/>
      <c r="U63" s="484"/>
      <c r="V63" s="484"/>
      <c r="W63" s="484"/>
      <c r="X63" s="484"/>
      <c r="Y63" s="484"/>
      <c r="Z63" s="485"/>
    </row>
    <row r="64" spans="1:26" x14ac:dyDescent="0.3">
      <c r="A64" s="18"/>
      <c r="B64" s="21"/>
      <c r="C64" s="21"/>
      <c r="D64" s="21"/>
      <c r="E64" s="21"/>
      <c r="F64" s="21"/>
      <c r="G64" s="21"/>
      <c r="H64" s="21"/>
      <c r="I64" s="21"/>
      <c r="J64" s="21"/>
      <c r="K64" s="21"/>
      <c r="L64" s="21"/>
      <c r="M64" s="21"/>
      <c r="N64" s="21"/>
      <c r="O64" s="20"/>
      <c r="Q64" s="484"/>
      <c r="R64" s="484"/>
      <c r="S64" s="484"/>
      <c r="T64" s="484"/>
      <c r="U64" s="484"/>
      <c r="V64" s="484"/>
      <c r="W64" s="484"/>
      <c r="X64" s="484"/>
      <c r="Y64" s="484"/>
      <c r="Z64" s="485"/>
    </row>
    <row r="65" spans="1:26" ht="15" customHeight="1" x14ac:dyDescent="0.3">
      <c r="A65" s="18"/>
      <c r="B65" s="21"/>
      <c r="C65" s="21"/>
      <c r="D65" s="21"/>
      <c r="E65" s="492" t="s">
        <v>3331</v>
      </c>
      <c r="F65" s="493"/>
      <c r="G65" s="21"/>
      <c r="H65" s="21"/>
      <c r="I65" s="21"/>
      <c r="J65" s="21"/>
      <c r="K65" s="21"/>
      <c r="L65" s="21"/>
      <c r="M65" s="21"/>
      <c r="N65" s="21"/>
      <c r="O65" s="20"/>
      <c r="Q65" s="484" t="s">
        <v>321</v>
      </c>
      <c r="R65" s="484"/>
      <c r="S65" s="484" t="s">
        <v>3080</v>
      </c>
      <c r="T65" s="484"/>
      <c r="U65" s="484"/>
      <c r="V65" s="484"/>
      <c r="W65" s="484"/>
      <c r="X65" s="484"/>
      <c r="Y65" s="484"/>
      <c r="Z65" s="485" t="s">
        <v>326</v>
      </c>
    </row>
    <row r="66" spans="1:26" x14ac:dyDescent="0.3">
      <c r="A66" s="18"/>
      <c r="B66" s="21"/>
      <c r="C66" s="21"/>
      <c r="D66" s="21"/>
      <c r="E66" s="5" t="s">
        <v>11</v>
      </c>
      <c r="F66" s="42" t="s">
        <v>5</v>
      </c>
      <c r="G66" s="21"/>
      <c r="H66" s="21"/>
      <c r="I66" s="21"/>
      <c r="J66" s="21"/>
      <c r="K66" s="21"/>
      <c r="L66" s="21"/>
      <c r="M66" s="21"/>
      <c r="N66" s="21"/>
      <c r="O66" s="20"/>
      <c r="Q66" s="484"/>
      <c r="R66" s="484"/>
      <c r="S66" s="484"/>
      <c r="T66" s="484"/>
      <c r="U66" s="484"/>
      <c r="V66" s="484"/>
      <c r="W66" s="484"/>
      <c r="X66" s="484"/>
      <c r="Y66" s="484"/>
      <c r="Z66" s="485"/>
    </row>
    <row r="67" spans="1:26" x14ac:dyDescent="0.3">
      <c r="A67" s="18"/>
      <c r="B67" s="21"/>
      <c r="C67" s="21"/>
      <c r="D67" s="21"/>
      <c r="E67" s="5" t="s">
        <v>12</v>
      </c>
      <c r="F67" s="42" t="s">
        <v>621</v>
      </c>
      <c r="G67" s="21"/>
      <c r="H67" s="21"/>
      <c r="I67" s="21"/>
      <c r="J67" s="21"/>
      <c r="K67" s="21"/>
      <c r="L67" s="21"/>
      <c r="M67" s="21"/>
      <c r="N67" s="21"/>
      <c r="O67" s="20"/>
      <c r="Q67" s="484"/>
      <c r="R67" s="484"/>
      <c r="S67" s="484"/>
      <c r="T67" s="484"/>
      <c r="U67" s="484"/>
      <c r="V67" s="484"/>
      <c r="W67" s="484"/>
      <c r="X67" s="484"/>
      <c r="Y67" s="484"/>
      <c r="Z67" s="485"/>
    </row>
    <row r="68" spans="1:26" x14ac:dyDescent="0.3">
      <c r="A68" s="18"/>
      <c r="B68" s="21"/>
      <c r="C68" s="21"/>
      <c r="D68" s="21"/>
      <c r="E68" s="7" t="s">
        <v>9</v>
      </c>
      <c r="F68" s="294" t="s">
        <v>3334</v>
      </c>
      <c r="G68" s="21"/>
      <c r="H68" s="21"/>
      <c r="I68" s="21"/>
      <c r="J68" s="21"/>
      <c r="K68" s="21"/>
      <c r="L68" s="21"/>
      <c r="M68" s="21"/>
      <c r="N68" s="21"/>
      <c r="O68" s="20"/>
      <c r="Q68" s="126" t="s">
        <v>328</v>
      </c>
    </row>
    <row r="69" spans="1:26" x14ac:dyDescent="0.3">
      <c r="A69" s="18"/>
      <c r="B69" s="21"/>
      <c r="C69" s="21"/>
      <c r="D69" s="21"/>
      <c r="E69" s="21"/>
      <c r="F69" s="21"/>
      <c r="G69" s="21"/>
      <c r="H69" s="21"/>
      <c r="I69" s="21"/>
      <c r="J69" s="21"/>
      <c r="K69" s="21"/>
      <c r="L69" s="21"/>
      <c r="M69" s="21"/>
      <c r="N69" s="21"/>
      <c r="O69" s="20"/>
    </row>
    <row r="70" spans="1:26" x14ac:dyDescent="0.3">
      <c r="A70" s="18"/>
      <c r="B70" s="21"/>
      <c r="C70" s="21"/>
      <c r="D70" s="21"/>
      <c r="E70" s="21"/>
      <c r="F70" s="21"/>
      <c r="G70" s="21"/>
      <c r="H70" s="21"/>
      <c r="I70" s="21"/>
      <c r="J70" s="21"/>
      <c r="K70" s="21"/>
      <c r="L70" s="21"/>
      <c r="M70" s="21"/>
      <c r="N70" s="21"/>
      <c r="O70" s="20"/>
    </row>
    <row r="71" spans="1:26" x14ac:dyDescent="0.3">
      <c r="A71" s="18"/>
      <c r="B71" s="21"/>
      <c r="C71" s="21"/>
      <c r="D71" s="21"/>
      <c r="E71" s="21"/>
      <c r="F71" s="21"/>
      <c r="G71" s="21"/>
      <c r="H71" s="21"/>
      <c r="I71" s="21"/>
      <c r="J71" s="21"/>
      <c r="K71" s="21"/>
      <c r="L71" s="21"/>
      <c r="M71" s="21"/>
      <c r="N71" s="21"/>
      <c r="O71" s="20"/>
      <c r="Q71" s="486" t="s">
        <v>3335</v>
      </c>
      <c r="R71" s="486"/>
      <c r="S71" s="486"/>
      <c r="T71" s="486"/>
      <c r="U71" s="486"/>
      <c r="V71" s="486"/>
      <c r="W71" s="486"/>
      <c r="X71" s="486"/>
      <c r="Y71" s="486"/>
      <c r="Z71" s="486"/>
    </row>
    <row r="72" spans="1:26" x14ac:dyDescent="0.3">
      <c r="A72" s="18"/>
      <c r="B72" s="21"/>
      <c r="C72" s="21"/>
      <c r="D72" s="21"/>
      <c r="E72" s="21"/>
      <c r="F72" s="21"/>
      <c r="G72" s="21"/>
      <c r="H72" s="21"/>
      <c r="I72" s="21"/>
      <c r="J72" s="21"/>
      <c r="K72" s="21"/>
      <c r="L72" s="21"/>
      <c r="M72" s="21"/>
      <c r="N72" s="21"/>
      <c r="O72" s="20"/>
      <c r="Q72" s="487" t="s">
        <v>333</v>
      </c>
      <c r="R72" s="487"/>
      <c r="S72" s="487" t="s">
        <v>3828</v>
      </c>
      <c r="T72" s="487"/>
      <c r="U72" s="487"/>
      <c r="V72" s="487"/>
      <c r="W72" s="487"/>
      <c r="X72" s="487"/>
      <c r="Y72" s="487"/>
      <c r="Z72" s="487"/>
    </row>
    <row r="73" spans="1:26" ht="14.25" customHeight="1" x14ac:dyDescent="0.3">
      <c r="A73" s="18"/>
      <c r="B73" s="21"/>
      <c r="C73" s="21"/>
      <c r="D73" s="21"/>
      <c r="E73" s="21"/>
      <c r="F73" s="21"/>
      <c r="G73" s="21"/>
      <c r="H73" s="21"/>
      <c r="I73" s="21"/>
      <c r="J73" s="21"/>
      <c r="K73" s="21"/>
      <c r="L73" s="21"/>
      <c r="M73" s="21"/>
      <c r="N73" s="21"/>
      <c r="O73" s="20"/>
      <c r="Q73" s="487"/>
      <c r="R73" s="487"/>
      <c r="S73" s="487"/>
      <c r="T73" s="487"/>
      <c r="U73" s="487"/>
      <c r="V73" s="487"/>
      <c r="W73" s="487"/>
      <c r="X73" s="487"/>
      <c r="Y73" s="487"/>
      <c r="Z73" s="487"/>
    </row>
    <row r="74" spans="1:26" x14ac:dyDescent="0.3">
      <c r="A74" s="18"/>
      <c r="B74" s="21"/>
      <c r="C74" s="21"/>
      <c r="D74" s="21"/>
      <c r="E74" s="21"/>
      <c r="F74" s="21"/>
      <c r="G74" s="21"/>
      <c r="H74" s="21"/>
      <c r="I74" s="21"/>
      <c r="J74" s="21"/>
      <c r="K74" s="21"/>
      <c r="L74" s="21"/>
      <c r="M74" s="21"/>
      <c r="N74" s="21"/>
      <c r="O74" s="20"/>
      <c r="Q74" s="487"/>
      <c r="R74" s="487"/>
      <c r="S74" s="487"/>
      <c r="T74" s="487"/>
      <c r="U74" s="487"/>
      <c r="V74" s="487"/>
      <c r="W74" s="487"/>
      <c r="X74" s="487"/>
      <c r="Y74" s="487"/>
      <c r="Z74" s="487"/>
    </row>
    <row r="75" spans="1:26" x14ac:dyDescent="0.3">
      <c r="A75" s="18"/>
      <c r="B75" s="21"/>
      <c r="C75" s="21"/>
      <c r="D75" s="21"/>
      <c r="E75" s="21"/>
      <c r="F75" s="21"/>
      <c r="G75" s="21"/>
      <c r="H75" s="21"/>
      <c r="I75" s="21"/>
      <c r="J75" s="21"/>
      <c r="K75" s="21"/>
      <c r="L75" s="21"/>
      <c r="M75" s="21"/>
      <c r="N75" s="21"/>
      <c r="O75" s="20"/>
      <c r="Q75" s="483" t="s">
        <v>323</v>
      </c>
      <c r="R75" s="483"/>
      <c r="S75" s="483" t="s">
        <v>1</v>
      </c>
      <c r="T75" s="483"/>
      <c r="U75" s="483"/>
      <c r="V75" s="483"/>
      <c r="W75" s="483"/>
      <c r="X75" s="483"/>
      <c r="Y75" s="483"/>
      <c r="Z75" s="85" t="s">
        <v>324</v>
      </c>
    </row>
    <row r="76" spans="1:26" ht="14.25" customHeight="1" x14ac:dyDescent="0.3">
      <c r="A76" s="18"/>
      <c r="B76" s="21"/>
      <c r="C76" s="21"/>
      <c r="D76" s="21"/>
      <c r="E76" s="21"/>
      <c r="F76" s="21"/>
      <c r="G76" s="21"/>
      <c r="H76" s="21"/>
      <c r="I76" s="21"/>
      <c r="J76" s="21"/>
      <c r="K76" s="21"/>
      <c r="L76" s="21"/>
      <c r="M76" s="21"/>
      <c r="N76" s="21"/>
      <c r="O76" s="20"/>
      <c r="Q76" s="487" t="s">
        <v>318</v>
      </c>
      <c r="R76" s="487"/>
      <c r="S76" s="487" t="s">
        <v>971</v>
      </c>
      <c r="T76" s="487"/>
      <c r="U76" s="487"/>
      <c r="V76" s="487"/>
      <c r="W76" s="487"/>
      <c r="X76" s="487"/>
      <c r="Y76" s="487"/>
      <c r="Z76" s="509" t="s">
        <v>326</v>
      </c>
    </row>
    <row r="77" spans="1:26" x14ac:dyDescent="0.3">
      <c r="A77" s="18"/>
      <c r="B77" s="21"/>
      <c r="C77" s="21"/>
      <c r="D77" s="21"/>
      <c r="E77" s="21"/>
      <c r="F77" s="21"/>
      <c r="G77" s="21"/>
      <c r="H77" s="21"/>
      <c r="I77" s="21"/>
      <c r="J77" s="21"/>
      <c r="K77" s="21"/>
      <c r="L77" s="21"/>
      <c r="M77" s="21"/>
      <c r="N77" s="21"/>
      <c r="O77" s="20"/>
      <c r="Q77" s="487"/>
      <c r="R77" s="487"/>
      <c r="S77" s="487"/>
      <c r="T77" s="487"/>
      <c r="U77" s="487"/>
      <c r="V77" s="487"/>
      <c r="W77" s="487"/>
      <c r="X77" s="487"/>
      <c r="Y77" s="487"/>
      <c r="Z77" s="509"/>
    </row>
    <row r="78" spans="1:26" x14ac:dyDescent="0.3">
      <c r="A78" s="18"/>
      <c r="B78" s="21"/>
      <c r="C78" s="21"/>
      <c r="D78" s="21"/>
      <c r="E78" s="21"/>
      <c r="F78" s="21"/>
      <c r="G78" s="21"/>
      <c r="H78" s="21"/>
      <c r="I78" s="21"/>
      <c r="J78" s="21"/>
      <c r="K78" s="21"/>
      <c r="L78" s="21"/>
      <c r="M78" s="21"/>
      <c r="N78" s="21"/>
      <c r="O78" s="20"/>
      <c r="Q78" s="487"/>
      <c r="R78" s="487"/>
      <c r="S78" s="487"/>
      <c r="T78" s="487"/>
      <c r="U78" s="487"/>
      <c r="V78" s="487"/>
      <c r="W78" s="487"/>
      <c r="X78" s="487"/>
      <c r="Y78" s="487"/>
      <c r="Z78" s="509"/>
    </row>
    <row r="79" spans="1:26" ht="15" customHeight="1" x14ac:dyDescent="0.3">
      <c r="A79" s="18"/>
      <c r="B79" s="21"/>
      <c r="C79" s="21"/>
      <c r="D79" s="21"/>
      <c r="E79" s="21"/>
      <c r="F79" s="21"/>
      <c r="G79" s="21"/>
      <c r="H79" s="21"/>
      <c r="I79" s="21"/>
      <c r="J79" s="21"/>
      <c r="K79" s="21"/>
      <c r="L79" s="21"/>
      <c r="M79" s="21"/>
      <c r="N79" s="21"/>
      <c r="O79" s="20"/>
      <c r="Q79" s="487" t="s">
        <v>319</v>
      </c>
      <c r="R79" s="487"/>
      <c r="S79" s="487" t="s">
        <v>403</v>
      </c>
      <c r="T79" s="487"/>
      <c r="U79" s="487"/>
      <c r="V79" s="487"/>
      <c r="W79" s="487"/>
      <c r="X79" s="487"/>
      <c r="Y79" s="487"/>
      <c r="Z79" s="509" t="s">
        <v>326</v>
      </c>
    </row>
    <row r="80" spans="1:26" x14ac:dyDescent="0.3">
      <c r="A80" s="18"/>
      <c r="B80" s="21"/>
      <c r="C80" s="21"/>
      <c r="D80" s="21"/>
      <c r="E80" s="21"/>
      <c r="F80" s="21"/>
      <c r="G80" s="21"/>
      <c r="H80" s="21"/>
      <c r="I80" s="21"/>
      <c r="J80" s="21"/>
      <c r="K80" s="21"/>
      <c r="L80" s="21"/>
      <c r="M80" s="21"/>
      <c r="N80" s="21"/>
      <c r="O80" s="20"/>
      <c r="Q80" s="487"/>
      <c r="R80" s="487"/>
      <c r="S80" s="487"/>
      <c r="T80" s="487"/>
      <c r="U80" s="487"/>
      <c r="V80" s="487"/>
      <c r="W80" s="487"/>
      <c r="X80" s="487"/>
      <c r="Y80" s="487"/>
      <c r="Z80" s="509"/>
    </row>
    <row r="81" spans="1:26" x14ac:dyDescent="0.3">
      <c r="A81" s="18"/>
      <c r="B81" s="21"/>
      <c r="C81" s="21"/>
      <c r="D81" s="21"/>
      <c r="E81" s="21"/>
      <c r="F81" s="21"/>
      <c r="G81" s="21"/>
      <c r="H81" s="21"/>
      <c r="I81" s="21"/>
      <c r="J81" s="21"/>
      <c r="K81" s="21"/>
      <c r="L81" s="21"/>
      <c r="M81" s="21"/>
      <c r="N81" s="21"/>
      <c r="O81" s="20"/>
      <c r="Q81" s="487"/>
      <c r="R81" s="487"/>
      <c r="S81" s="487"/>
      <c r="T81" s="487"/>
      <c r="U81" s="487"/>
      <c r="V81" s="487"/>
      <c r="W81" s="487"/>
      <c r="X81" s="487"/>
      <c r="Y81" s="487"/>
      <c r="Z81" s="509"/>
    </row>
    <row r="82" spans="1:26" ht="14.25" customHeight="1" x14ac:dyDescent="0.3">
      <c r="A82" s="18"/>
      <c r="B82" s="21"/>
      <c r="C82" s="21"/>
      <c r="D82" s="21"/>
      <c r="E82" s="21"/>
      <c r="F82" s="21"/>
      <c r="G82" s="21"/>
      <c r="H82" s="21"/>
      <c r="I82" s="21"/>
      <c r="J82" s="21"/>
      <c r="K82" s="21"/>
      <c r="L82" s="21"/>
      <c r="M82" s="21"/>
      <c r="N82" s="21"/>
      <c r="O82" s="20"/>
      <c r="Q82" s="487" t="s">
        <v>969</v>
      </c>
      <c r="R82" s="487"/>
      <c r="S82" s="487" t="s">
        <v>972</v>
      </c>
      <c r="T82" s="487"/>
      <c r="U82" s="487"/>
      <c r="V82" s="487"/>
      <c r="W82" s="487"/>
      <c r="X82" s="487"/>
      <c r="Y82" s="487"/>
      <c r="Z82" s="509" t="s">
        <v>326</v>
      </c>
    </row>
    <row r="83" spans="1:26" x14ac:dyDescent="0.3">
      <c r="A83" s="18"/>
      <c r="B83" s="21"/>
      <c r="C83" s="21"/>
      <c r="D83" s="21"/>
      <c r="E83" s="21"/>
      <c r="F83" s="21"/>
      <c r="G83" s="21"/>
      <c r="H83" s="21"/>
      <c r="I83" s="21"/>
      <c r="J83" s="21"/>
      <c r="K83" s="21"/>
      <c r="L83" s="21"/>
      <c r="M83" s="21"/>
      <c r="N83" s="21"/>
      <c r="O83" s="20"/>
      <c r="Q83" s="487"/>
      <c r="R83" s="487"/>
      <c r="S83" s="487"/>
      <c r="T83" s="487"/>
      <c r="U83" s="487"/>
      <c r="V83" s="487"/>
      <c r="W83" s="487"/>
      <c r="X83" s="487"/>
      <c r="Y83" s="487"/>
      <c r="Z83" s="509"/>
    </row>
    <row r="84" spans="1:26" x14ac:dyDescent="0.3">
      <c r="A84" s="18"/>
      <c r="B84" s="21"/>
      <c r="C84" s="21"/>
      <c r="D84" s="21"/>
      <c r="E84" s="21"/>
      <c r="F84" s="21"/>
      <c r="G84" s="21"/>
      <c r="H84" s="21"/>
      <c r="I84" s="21"/>
      <c r="J84" s="21"/>
      <c r="K84" s="21"/>
      <c r="L84" s="21"/>
      <c r="M84" s="21"/>
      <c r="N84" s="21"/>
      <c r="O84" s="20"/>
      <c r="Q84" s="487"/>
      <c r="R84" s="487"/>
      <c r="S84" s="487"/>
      <c r="T84" s="487"/>
      <c r="U84" s="487"/>
      <c r="V84" s="487"/>
      <c r="W84" s="487"/>
      <c r="X84" s="487"/>
      <c r="Y84" s="487"/>
      <c r="Z84" s="509"/>
    </row>
    <row r="85" spans="1:26" x14ac:dyDescent="0.3">
      <c r="A85" s="18"/>
      <c r="B85" s="21"/>
      <c r="C85" s="21"/>
      <c r="D85" s="21"/>
      <c r="E85" s="21"/>
      <c r="F85" s="21"/>
      <c r="G85" s="21"/>
      <c r="H85" s="21"/>
      <c r="I85" s="21"/>
      <c r="J85" s="21"/>
      <c r="K85" s="21"/>
      <c r="L85" s="21"/>
      <c r="M85" s="21"/>
      <c r="N85" s="21"/>
      <c r="O85" s="20"/>
      <c r="Q85" s="484" t="s">
        <v>321</v>
      </c>
      <c r="R85" s="484"/>
      <c r="S85" s="484" t="s">
        <v>3878</v>
      </c>
      <c r="T85" s="484"/>
      <c r="U85" s="484"/>
      <c r="V85" s="484"/>
      <c r="W85" s="484"/>
      <c r="X85" s="484"/>
      <c r="Y85" s="484"/>
      <c r="Z85" s="485" t="s">
        <v>326</v>
      </c>
    </row>
    <row r="86" spans="1:26" x14ac:dyDescent="0.3">
      <c r="A86" s="18"/>
      <c r="B86" s="21"/>
      <c r="C86" s="21"/>
      <c r="D86" s="21"/>
      <c r="E86" s="21"/>
      <c r="F86" s="21"/>
      <c r="G86" s="21"/>
      <c r="H86" s="21"/>
      <c r="I86" s="21"/>
      <c r="J86" s="21"/>
      <c r="K86" s="21"/>
      <c r="L86" s="21"/>
      <c r="M86" s="21"/>
      <c r="N86" s="21"/>
      <c r="O86" s="20"/>
      <c r="Q86" s="484"/>
      <c r="R86" s="484"/>
      <c r="S86" s="484"/>
      <c r="T86" s="484"/>
      <c r="U86" s="484"/>
      <c r="V86" s="484"/>
      <c r="W86" s="484"/>
      <c r="X86" s="484"/>
      <c r="Y86" s="484"/>
      <c r="Z86" s="485"/>
    </row>
    <row r="87" spans="1:26" x14ac:dyDescent="0.3">
      <c r="A87" s="18"/>
      <c r="B87" s="21"/>
      <c r="C87" s="21"/>
      <c r="D87" s="21"/>
      <c r="E87" s="21"/>
      <c r="F87" s="21"/>
      <c r="G87" s="21"/>
      <c r="H87" s="21"/>
      <c r="I87" s="21"/>
      <c r="J87" s="21"/>
      <c r="K87" s="21"/>
      <c r="L87" s="21"/>
      <c r="M87" s="21"/>
      <c r="N87" s="21"/>
      <c r="O87" s="20"/>
      <c r="Q87" s="484"/>
      <c r="R87" s="484"/>
      <c r="S87" s="484"/>
      <c r="T87" s="484"/>
      <c r="U87" s="484"/>
      <c r="V87" s="484"/>
      <c r="W87" s="484"/>
      <c r="X87" s="484"/>
      <c r="Y87" s="484"/>
      <c r="Z87" s="485"/>
    </row>
    <row r="88" spans="1:26" ht="14.25" customHeight="1" x14ac:dyDescent="0.3">
      <c r="A88" s="18"/>
      <c r="B88" s="21"/>
      <c r="C88" s="21"/>
      <c r="D88" s="21"/>
      <c r="E88" s="21"/>
      <c r="F88" s="21"/>
      <c r="G88" s="21"/>
      <c r="H88" s="21"/>
      <c r="I88" s="21"/>
      <c r="J88" s="21"/>
      <c r="K88" s="21"/>
      <c r="L88" s="21"/>
      <c r="M88" s="21"/>
      <c r="N88" s="21"/>
      <c r="O88" s="20"/>
      <c r="Q88" s="484" t="s">
        <v>1902</v>
      </c>
      <c r="R88" s="484"/>
      <c r="S88" s="484" t="s">
        <v>1206</v>
      </c>
      <c r="T88" s="484"/>
      <c r="U88" s="484"/>
      <c r="V88" s="484"/>
      <c r="W88" s="484"/>
      <c r="X88" s="484"/>
      <c r="Y88" s="484"/>
      <c r="Z88" s="485" t="s">
        <v>326</v>
      </c>
    </row>
    <row r="89" spans="1:26" x14ac:dyDescent="0.3">
      <c r="A89" s="18"/>
      <c r="B89" s="21"/>
      <c r="C89" s="21"/>
      <c r="D89" s="21"/>
      <c r="E89" s="21"/>
      <c r="F89" s="21"/>
      <c r="G89" s="21"/>
      <c r="H89" s="21"/>
      <c r="I89" s="21"/>
      <c r="J89" s="21"/>
      <c r="K89" s="21"/>
      <c r="L89" s="21"/>
      <c r="M89" s="21"/>
      <c r="N89" s="21"/>
      <c r="O89" s="20"/>
      <c r="Q89" s="484"/>
      <c r="R89" s="484"/>
      <c r="S89" s="484"/>
      <c r="T89" s="484"/>
      <c r="U89" s="484"/>
      <c r="V89" s="484"/>
      <c r="W89" s="484"/>
      <c r="X89" s="484"/>
      <c r="Y89" s="484"/>
      <c r="Z89" s="485"/>
    </row>
    <row r="90" spans="1:26" x14ac:dyDescent="0.3">
      <c r="A90" s="18"/>
      <c r="B90" s="21"/>
      <c r="C90" s="21"/>
      <c r="D90" s="21"/>
      <c r="E90" s="21"/>
      <c r="F90" s="21"/>
      <c r="G90" s="21"/>
      <c r="H90" s="21"/>
      <c r="I90" s="21"/>
      <c r="J90" s="21"/>
      <c r="K90" s="21"/>
      <c r="L90" s="21"/>
      <c r="M90" s="21"/>
      <c r="N90" s="21"/>
      <c r="O90" s="20"/>
      <c r="Q90" s="484"/>
      <c r="R90" s="484"/>
      <c r="S90" s="484"/>
      <c r="T90" s="484"/>
      <c r="U90" s="484"/>
      <c r="V90" s="484"/>
      <c r="W90" s="484"/>
      <c r="X90" s="484"/>
      <c r="Y90" s="484"/>
      <c r="Z90" s="485"/>
    </row>
    <row r="91" spans="1:26" ht="14.25" customHeight="1" x14ac:dyDescent="0.3">
      <c r="A91" s="18"/>
      <c r="B91" s="21"/>
      <c r="C91" s="21"/>
      <c r="D91" s="21"/>
      <c r="E91" s="21"/>
      <c r="F91" s="21"/>
      <c r="G91" s="21"/>
      <c r="H91" s="21"/>
      <c r="I91" s="21"/>
      <c r="J91" s="21"/>
      <c r="K91" s="21"/>
      <c r="L91" s="21"/>
      <c r="M91" s="21"/>
      <c r="N91" s="21"/>
      <c r="O91" s="20"/>
      <c r="Q91" s="484" t="s">
        <v>539</v>
      </c>
      <c r="R91" s="484"/>
      <c r="S91" s="496" t="s">
        <v>1429</v>
      </c>
      <c r="T91" s="502"/>
      <c r="U91" s="502"/>
      <c r="V91" s="502"/>
      <c r="W91" s="502"/>
      <c r="X91" s="502"/>
      <c r="Y91" s="497"/>
      <c r="Z91" s="485" t="s">
        <v>326</v>
      </c>
    </row>
    <row r="92" spans="1:26" x14ac:dyDescent="0.3">
      <c r="A92" s="18"/>
      <c r="B92" s="21"/>
      <c r="C92" s="21"/>
      <c r="D92" s="21"/>
      <c r="E92" s="21"/>
      <c r="F92" s="21"/>
      <c r="G92" s="21"/>
      <c r="H92" s="21"/>
      <c r="I92" s="21"/>
      <c r="J92" s="21"/>
      <c r="K92" s="21"/>
      <c r="L92" s="21"/>
      <c r="M92" s="21"/>
      <c r="N92" s="21"/>
      <c r="O92" s="20"/>
      <c r="Q92" s="484"/>
      <c r="R92" s="484"/>
      <c r="S92" s="498"/>
      <c r="T92" s="503"/>
      <c r="U92" s="503"/>
      <c r="V92" s="503"/>
      <c r="W92" s="503"/>
      <c r="X92" s="503"/>
      <c r="Y92" s="499"/>
      <c r="Z92" s="485"/>
    </row>
    <row r="93" spans="1:26" x14ac:dyDescent="0.3">
      <c r="A93" s="18"/>
      <c r="B93" s="21"/>
      <c r="C93" s="21"/>
      <c r="D93" s="21"/>
      <c r="E93" s="21"/>
      <c r="F93" s="21"/>
      <c r="G93" s="21"/>
      <c r="H93" s="21"/>
      <c r="I93" s="21"/>
      <c r="J93" s="21"/>
      <c r="K93" s="21"/>
      <c r="L93" s="21"/>
      <c r="M93" s="21"/>
      <c r="N93" s="21"/>
      <c r="O93" s="20"/>
      <c r="Q93" s="484"/>
      <c r="R93" s="484"/>
      <c r="S93" s="500"/>
      <c r="T93" s="504"/>
      <c r="U93" s="504"/>
      <c r="V93" s="504"/>
      <c r="W93" s="504"/>
      <c r="X93" s="504"/>
      <c r="Y93" s="501"/>
      <c r="Z93" s="485"/>
    </row>
    <row r="94" spans="1:26" x14ac:dyDescent="0.3">
      <c r="A94" s="490" t="s">
        <v>145</v>
      </c>
      <c r="B94" s="491"/>
      <c r="C94" s="491"/>
      <c r="D94" s="491"/>
      <c r="E94" s="491"/>
      <c r="F94" s="491"/>
      <c r="G94" s="491"/>
      <c r="H94" s="491"/>
      <c r="I94" s="491"/>
      <c r="J94" s="491"/>
      <c r="K94" s="491"/>
      <c r="L94" s="491"/>
      <c r="M94" s="491"/>
      <c r="N94" s="21"/>
      <c r="O94" s="20"/>
      <c r="Q94" s="484" t="s">
        <v>540</v>
      </c>
      <c r="R94" s="484"/>
      <c r="S94" s="496" t="s">
        <v>1428</v>
      </c>
      <c r="T94" s="502"/>
      <c r="U94" s="502"/>
      <c r="V94" s="502"/>
      <c r="W94" s="502"/>
      <c r="X94" s="502"/>
      <c r="Y94" s="497"/>
      <c r="Z94" s="485" t="s">
        <v>326</v>
      </c>
    </row>
    <row r="95" spans="1:26" x14ac:dyDescent="0.3">
      <c r="A95" s="18"/>
      <c r="B95" s="21"/>
      <c r="C95" s="21"/>
      <c r="D95" s="21"/>
      <c r="E95" s="21"/>
      <c r="F95" s="21"/>
      <c r="G95" s="21"/>
      <c r="H95" s="21"/>
      <c r="I95" s="21"/>
      <c r="J95" s="21"/>
      <c r="K95" s="21"/>
      <c r="L95" s="21"/>
      <c r="M95" s="21"/>
      <c r="N95" s="21"/>
      <c r="O95" s="20"/>
      <c r="Q95" s="484"/>
      <c r="R95" s="484"/>
      <c r="S95" s="498"/>
      <c r="T95" s="503"/>
      <c r="U95" s="503"/>
      <c r="V95" s="503"/>
      <c r="W95" s="503"/>
      <c r="X95" s="503"/>
      <c r="Y95" s="499"/>
      <c r="Z95" s="485"/>
    </row>
    <row r="96" spans="1:26" x14ac:dyDescent="0.3">
      <c r="A96" s="18"/>
      <c r="B96" s="21"/>
      <c r="C96" s="21"/>
      <c r="D96" s="21"/>
      <c r="E96" s="21"/>
      <c r="F96" s="21"/>
      <c r="G96" s="21"/>
      <c r="H96" s="21"/>
      <c r="I96" s="21"/>
      <c r="J96" s="21"/>
      <c r="K96" s="21"/>
      <c r="L96" s="21"/>
      <c r="M96" s="21"/>
      <c r="N96" s="21"/>
      <c r="O96" s="20"/>
      <c r="Q96" s="484"/>
      <c r="R96" s="484"/>
      <c r="S96" s="500"/>
      <c r="T96" s="504"/>
      <c r="U96" s="504"/>
      <c r="V96" s="504"/>
      <c r="W96" s="504"/>
      <c r="X96" s="504"/>
      <c r="Y96" s="501"/>
      <c r="Z96" s="485"/>
    </row>
    <row r="97" spans="1:26" x14ac:dyDescent="0.3">
      <c r="A97" s="18"/>
      <c r="B97" s="5" t="s">
        <v>11</v>
      </c>
      <c r="C97" s="42" t="s">
        <v>5</v>
      </c>
      <c r="D97" s="21"/>
      <c r="E97" s="21"/>
      <c r="F97" s="21"/>
      <c r="G97" s="85" t="s">
        <v>2</v>
      </c>
      <c r="H97" s="85" t="s">
        <v>63</v>
      </c>
      <c r="I97" s="21"/>
      <c r="J97" s="21"/>
      <c r="K97" s="21"/>
      <c r="L97" s="21"/>
      <c r="M97" s="21"/>
      <c r="N97" s="21"/>
      <c r="O97" s="20"/>
      <c r="Q97" s="484" t="s">
        <v>970</v>
      </c>
      <c r="R97" s="484"/>
      <c r="S97" s="484" t="s">
        <v>3882</v>
      </c>
      <c r="T97" s="484"/>
      <c r="U97" s="484"/>
      <c r="V97" s="484"/>
      <c r="W97" s="484"/>
      <c r="X97" s="484"/>
      <c r="Y97" s="484"/>
      <c r="Z97" s="485" t="s">
        <v>326</v>
      </c>
    </row>
    <row r="98" spans="1:26" x14ac:dyDescent="0.3">
      <c r="A98" s="18"/>
      <c r="B98" s="5" t="s">
        <v>12</v>
      </c>
      <c r="C98" s="42" t="s">
        <v>963</v>
      </c>
      <c r="D98" s="21"/>
      <c r="E98" s="21"/>
      <c r="F98" s="21"/>
      <c r="G98" s="86" t="s">
        <v>965</v>
      </c>
      <c r="H98" s="185">
        <v>111.34</v>
      </c>
      <c r="I98" s="21"/>
      <c r="J98" s="21"/>
      <c r="K98" s="21"/>
      <c r="L98" s="21"/>
      <c r="M98" s="21"/>
      <c r="N98" s="21"/>
      <c r="O98" s="20"/>
      <c r="Q98" s="484"/>
      <c r="R98" s="484"/>
      <c r="S98" s="484"/>
      <c r="T98" s="484"/>
      <c r="U98" s="484"/>
      <c r="V98" s="484"/>
      <c r="W98" s="484"/>
      <c r="X98" s="484"/>
      <c r="Y98" s="484"/>
      <c r="Z98" s="485"/>
    </row>
    <row r="99" spans="1:26" x14ac:dyDescent="0.3">
      <c r="A99" s="18"/>
      <c r="B99" s="21"/>
      <c r="C99" s="21"/>
      <c r="D99" s="21"/>
      <c r="E99" s="21"/>
      <c r="F99" s="21"/>
      <c r="G99" s="86" t="s">
        <v>968</v>
      </c>
      <c r="H99" s="185">
        <v>1.3599999999999999</v>
      </c>
      <c r="I99" s="21"/>
      <c r="J99" s="21"/>
      <c r="K99" s="21"/>
      <c r="L99" s="21"/>
      <c r="M99" s="21"/>
      <c r="N99" s="21"/>
      <c r="O99" s="20"/>
      <c r="Q99" s="484"/>
      <c r="R99" s="484"/>
      <c r="S99" s="484"/>
      <c r="T99" s="484"/>
      <c r="U99" s="484"/>
      <c r="V99" s="484"/>
      <c r="W99" s="484"/>
      <c r="X99" s="484"/>
      <c r="Y99" s="484"/>
      <c r="Z99" s="485"/>
    </row>
    <row r="100" spans="1:26" x14ac:dyDescent="0.3">
      <c r="A100" s="18"/>
      <c r="B100" s="7" t="s">
        <v>964</v>
      </c>
      <c r="C100" s="38" t="str" cm="1">
        <f t="array" ref="C100">_xll.U.TWO_WAY_DATA(C97,C98,G97:H101)</f>
        <v>TOPIC = U/DESK1/FX_POSITIONS; TWO WAY ID = JYQYH</v>
      </c>
      <c r="D100" s="21"/>
      <c r="E100" s="21"/>
      <c r="F100" s="21"/>
      <c r="G100" s="86" t="s">
        <v>966</v>
      </c>
      <c r="H100" s="185">
        <v>1.1299999999999999</v>
      </c>
      <c r="I100" s="21"/>
      <c r="J100" s="21"/>
      <c r="K100" s="21"/>
      <c r="L100" s="21"/>
      <c r="M100" s="21"/>
      <c r="N100" s="21"/>
      <c r="O100" s="20"/>
      <c r="Q100" s="126" t="s">
        <v>328</v>
      </c>
    </row>
    <row r="101" spans="1:26" x14ac:dyDescent="0.3">
      <c r="A101" s="18"/>
      <c r="B101" s="21"/>
      <c r="C101" s="21"/>
      <c r="D101" s="21"/>
      <c r="E101" s="21"/>
      <c r="F101" s="21"/>
      <c r="G101" s="86" t="s">
        <v>967</v>
      </c>
      <c r="H101" s="185">
        <v>1.325</v>
      </c>
      <c r="I101" s="21"/>
      <c r="J101" s="21"/>
      <c r="K101" s="21"/>
      <c r="L101" s="21"/>
      <c r="M101" s="21"/>
      <c r="N101" s="21"/>
      <c r="O101" s="20"/>
    </row>
    <row r="102" spans="1:26" x14ac:dyDescent="0.3">
      <c r="A102" s="18"/>
      <c r="B102" s="21"/>
      <c r="C102" s="21"/>
      <c r="D102" s="21"/>
      <c r="E102" s="21"/>
      <c r="F102" s="21"/>
      <c r="G102" s="21"/>
      <c r="H102" s="21"/>
      <c r="I102" s="21"/>
      <c r="J102" s="21"/>
      <c r="K102" s="21"/>
      <c r="L102" s="21"/>
      <c r="M102" s="21"/>
      <c r="N102" s="21"/>
      <c r="O102" s="20"/>
    </row>
    <row r="103" spans="1:26" x14ac:dyDescent="0.3">
      <c r="A103" s="18"/>
      <c r="B103" s="21"/>
      <c r="C103" s="21"/>
      <c r="D103" s="21"/>
      <c r="E103" s="21"/>
      <c r="F103" s="21"/>
      <c r="G103" s="21"/>
      <c r="H103" s="21"/>
      <c r="I103" s="21"/>
      <c r="J103" s="21"/>
      <c r="K103" s="21"/>
      <c r="L103" s="21"/>
      <c r="M103" s="21"/>
      <c r="N103" s="21"/>
      <c r="O103" s="20"/>
      <c r="Q103" s="486" t="s">
        <v>3336</v>
      </c>
      <c r="R103" s="486"/>
      <c r="S103" s="486"/>
      <c r="T103" s="486"/>
      <c r="U103" s="486"/>
      <c r="V103" s="486"/>
      <c r="W103" s="486"/>
      <c r="X103" s="486"/>
      <c r="Y103" s="486"/>
      <c r="Z103" s="486"/>
    </row>
    <row r="104" spans="1:26" x14ac:dyDescent="0.3">
      <c r="A104" s="18"/>
      <c r="B104" s="21"/>
      <c r="C104" s="21"/>
      <c r="D104" s="21"/>
      <c r="E104" s="21"/>
      <c r="F104" s="21"/>
      <c r="G104" s="21"/>
      <c r="H104" s="21"/>
      <c r="I104" s="21"/>
      <c r="J104" s="21"/>
      <c r="K104" s="21"/>
      <c r="L104" s="21"/>
      <c r="M104" s="21"/>
      <c r="N104" s="21"/>
      <c r="O104" s="20"/>
      <c r="Q104" s="487" t="s">
        <v>333</v>
      </c>
      <c r="R104" s="487"/>
      <c r="S104" s="487" t="s">
        <v>425</v>
      </c>
      <c r="T104" s="487"/>
      <c r="U104" s="487"/>
      <c r="V104" s="487"/>
      <c r="W104" s="487"/>
      <c r="X104" s="487"/>
      <c r="Y104" s="487"/>
      <c r="Z104" s="487"/>
    </row>
    <row r="105" spans="1:26" x14ac:dyDescent="0.3">
      <c r="A105" s="18"/>
      <c r="B105" s="21"/>
      <c r="C105" s="21"/>
      <c r="D105" s="21"/>
      <c r="E105" s="21"/>
      <c r="F105" s="21"/>
      <c r="G105" s="21"/>
      <c r="H105" s="21"/>
      <c r="I105" s="21"/>
      <c r="J105" s="21"/>
      <c r="K105" s="21"/>
      <c r="L105" s="21"/>
      <c r="M105" s="21"/>
      <c r="N105" s="21"/>
      <c r="O105" s="20"/>
      <c r="Q105" s="487"/>
      <c r="R105" s="487"/>
      <c r="S105" s="487"/>
      <c r="T105" s="487"/>
      <c r="U105" s="487"/>
      <c r="V105" s="487"/>
      <c r="W105" s="487"/>
      <c r="X105" s="487"/>
      <c r="Y105" s="487"/>
      <c r="Z105" s="487"/>
    </row>
    <row r="106" spans="1:26" x14ac:dyDescent="0.3">
      <c r="A106" s="18"/>
      <c r="B106" s="21"/>
      <c r="C106" s="21"/>
      <c r="D106" s="21"/>
      <c r="E106" s="21"/>
      <c r="F106" s="21"/>
      <c r="G106" s="21"/>
      <c r="H106" s="21"/>
      <c r="I106" s="21"/>
      <c r="J106" s="21"/>
      <c r="K106" s="21"/>
      <c r="L106" s="21"/>
      <c r="M106" s="21"/>
      <c r="N106" s="21"/>
      <c r="O106" s="20"/>
      <c r="Q106" s="487"/>
      <c r="R106" s="487"/>
      <c r="S106" s="487"/>
      <c r="T106" s="487"/>
      <c r="U106" s="487"/>
      <c r="V106" s="487"/>
      <c r="W106" s="487"/>
      <c r="X106" s="487"/>
      <c r="Y106" s="487"/>
      <c r="Z106" s="487"/>
    </row>
    <row r="107" spans="1:26" x14ac:dyDescent="0.3">
      <c r="A107" s="18"/>
      <c r="B107" s="21"/>
      <c r="C107" s="21"/>
      <c r="D107" s="21"/>
      <c r="E107" s="21"/>
      <c r="F107" s="21"/>
      <c r="G107" s="21"/>
      <c r="H107" s="21"/>
      <c r="I107" s="21"/>
      <c r="J107" s="21"/>
      <c r="K107" s="21"/>
      <c r="L107" s="21"/>
      <c r="M107" s="21"/>
      <c r="N107" s="21"/>
      <c r="O107" s="20"/>
      <c r="Q107" s="483" t="s">
        <v>323</v>
      </c>
      <c r="R107" s="483"/>
      <c r="S107" s="483" t="s">
        <v>1</v>
      </c>
      <c r="T107" s="483"/>
      <c r="U107" s="483"/>
      <c r="V107" s="483"/>
      <c r="W107" s="483"/>
      <c r="X107" s="483"/>
      <c r="Y107" s="483"/>
      <c r="Z107" s="85" t="s">
        <v>324</v>
      </c>
    </row>
    <row r="108" spans="1:26" x14ac:dyDescent="0.3">
      <c r="A108" s="18"/>
      <c r="B108" s="21"/>
      <c r="C108" s="21"/>
      <c r="D108" s="21"/>
      <c r="E108" s="21"/>
      <c r="F108" s="21"/>
      <c r="G108" s="21"/>
      <c r="H108" s="21"/>
      <c r="I108" s="21"/>
      <c r="J108" s="21"/>
      <c r="K108" s="21"/>
      <c r="L108" s="21"/>
      <c r="M108" s="21"/>
      <c r="N108" s="21"/>
      <c r="O108" s="20"/>
      <c r="Q108" s="484" t="s">
        <v>426</v>
      </c>
      <c r="R108" s="484"/>
      <c r="S108" s="484" t="s">
        <v>428</v>
      </c>
      <c r="T108" s="484"/>
      <c r="U108" s="484"/>
      <c r="V108" s="484"/>
      <c r="W108" s="484"/>
      <c r="X108" s="484"/>
      <c r="Y108" s="484"/>
      <c r="Z108" s="485" t="s">
        <v>326</v>
      </c>
    </row>
    <row r="109" spans="1:26" x14ac:dyDescent="0.3">
      <c r="A109" s="18"/>
      <c r="B109" s="21"/>
      <c r="C109" s="21"/>
      <c r="D109" s="21"/>
      <c r="E109" s="21"/>
      <c r="F109" s="21"/>
      <c r="G109" s="21"/>
      <c r="H109" s="21"/>
      <c r="I109" s="21"/>
      <c r="J109" s="21"/>
      <c r="K109" s="21"/>
      <c r="L109" s="21"/>
      <c r="M109" s="21"/>
      <c r="N109" s="21"/>
      <c r="O109" s="20"/>
      <c r="Q109" s="484"/>
      <c r="R109" s="484"/>
      <c r="S109" s="484"/>
      <c r="T109" s="484"/>
      <c r="U109" s="484"/>
      <c r="V109" s="484"/>
      <c r="W109" s="484"/>
      <c r="X109" s="484"/>
      <c r="Y109" s="484"/>
      <c r="Z109" s="485"/>
    </row>
    <row r="110" spans="1:26" x14ac:dyDescent="0.3">
      <c r="A110" s="18"/>
      <c r="B110" s="21"/>
      <c r="C110" s="21"/>
      <c r="D110" s="21"/>
      <c r="E110" s="21"/>
      <c r="F110" s="21"/>
      <c r="G110" s="21"/>
      <c r="H110" s="21"/>
      <c r="I110" s="21"/>
      <c r="J110" s="21"/>
      <c r="K110" s="21"/>
      <c r="L110" s="21"/>
      <c r="M110" s="21"/>
      <c r="N110" s="21"/>
      <c r="O110" s="20"/>
      <c r="Q110" s="484"/>
      <c r="R110" s="484"/>
      <c r="S110" s="484"/>
      <c r="T110" s="484"/>
      <c r="U110" s="484"/>
      <c r="V110" s="484"/>
      <c r="W110" s="484"/>
      <c r="X110" s="484"/>
      <c r="Y110" s="484"/>
      <c r="Z110" s="485"/>
    </row>
    <row r="111" spans="1:26" x14ac:dyDescent="0.3">
      <c r="A111" s="18"/>
      <c r="B111" s="21"/>
      <c r="C111" s="21"/>
      <c r="D111" s="21"/>
      <c r="E111" s="21"/>
      <c r="F111" s="21"/>
      <c r="G111" s="21"/>
      <c r="H111" s="21"/>
      <c r="I111" s="21"/>
      <c r="J111" s="21"/>
      <c r="K111" s="21"/>
      <c r="L111" s="21"/>
      <c r="M111" s="21"/>
      <c r="N111" s="21"/>
      <c r="O111" s="20"/>
      <c r="Q111" s="484" t="s">
        <v>427</v>
      </c>
      <c r="R111" s="484"/>
      <c r="S111" s="484" t="s">
        <v>429</v>
      </c>
      <c r="T111" s="484"/>
      <c r="U111" s="484"/>
      <c r="V111" s="484"/>
      <c r="W111" s="484"/>
      <c r="X111" s="484"/>
      <c r="Y111" s="484"/>
      <c r="Z111" s="485" t="s">
        <v>326</v>
      </c>
    </row>
    <row r="112" spans="1:26" x14ac:dyDescent="0.3">
      <c r="A112" s="18"/>
      <c r="B112" s="21"/>
      <c r="C112" s="21"/>
      <c r="D112" s="21"/>
      <c r="E112" s="21"/>
      <c r="F112" s="21"/>
      <c r="G112" s="21"/>
      <c r="H112" s="21"/>
      <c r="I112" s="21"/>
      <c r="J112" s="21"/>
      <c r="K112" s="21"/>
      <c r="L112" s="21"/>
      <c r="M112" s="21"/>
      <c r="N112" s="21"/>
      <c r="O112" s="20"/>
      <c r="Q112" s="484"/>
      <c r="R112" s="484"/>
      <c r="S112" s="484"/>
      <c r="T112" s="484"/>
      <c r="U112" s="484"/>
      <c r="V112" s="484"/>
      <c r="W112" s="484"/>
      <c r="X112" s="484"/>
      <c r="Y112" s="484"/>
      <c r="Z112" s="485"/>
    </row>
    <row r="113" spans="1:26" x14ac:dyDescent="0.3">
      <c r="A113" s="18"/>
      <c r="B113" s="21"/>
      <c r="C113" s="21"/>
      <c r="D113" s="21"/>
      <c r="E113" s="21"/>
      <c r="F113" s="21"/>
      <c r="G113" s="21"/>
      <c r="H113" s="21" t="s">
        <v>71</v>
      </c>
      <c r="I113" s="21"/>
      <c r="J113" s="21"/>
      <c r="K113" s="21"/>
      <c r="L113" s="21"/>
      <c r="M113" s="21"/>
      <c r="N113" s="21"/>
      <c r="O113" s="20"/>
      <c r="Q113" s="484"/>
      <c r="R113" s="484"/>
      <c r="S113" s="484"/>
      <c r="T113" s="484"/>
      <c r="U113" s="484"/>
      <c r="V113" s="484"/>
      <c r="W113" s="484"/>
      <c r="X113" s="484"/>
      <c r="Y113" s="484"/>
      <c r="Z113" s="485"/>
    </row>
    <row r="114" spans="1:26" ht="15" customHeight="1" x14ac:dyDescent="0.3">
      <c r="A114" s="18"/>
      <c r="B114" s="21"/>
      <c r="C114" s="21"/>
      <c r="D114" s="21"/>
      <c r="E114" s="21"/>
      <c r="F114" s="21"/>
      <c r="G114" s="21"/>
      <c r="H114" s="21"/>
      <c r="I114" s="21"/>
      <c r="J114" s="21"/>
      <c r="K114" s="21"/>
      <c r="L114" s="21"/>
      <c r="M114" s="21"/>
      <c r="N114" s="21"/>
      <c r="O114" s="20"/>
      <c r="Q114" s="484" t="s">
        <v>321</v>
      </c>
      <c r="R114" s="484"/>
      <c r="S114" s="484" t="s">
        <v>3081</v>
      </c>
      <c r="T114" s="484"/>
      <c r="U114" s="484"/>
      <c r="V114" s="484"/>
      <c r="W114" s="484"/>
      <c r="X114" s="484"/>
      <c r="Y114" s="484"/>
      <c r="Z114" s="485" t="s">
        <v>326</v>
      </c>
    </row>
    <row r="115" spans="1:26" x14ac:dyDescent="0.3">
      <c r="A115" s="18"/>
      <c r="B115" s="21"/>
      <c r="C115" s="21"/>
      <c r="D115" s="21"/>
      <c r="E115" s="21"/>
      <c r="F115" s="21"/>
      <c r="G115" s="21"/>
      <c r="H115" s="21"/>
      <c r="I115" s="21"/>
      <c r="J115" s="21"/>
      <c r="K115" s="21"/>
      <c r="L115" s="21"/>
      <c r="M115" s="21"/>
      <c r="N115" s="21"/>
      <c r="O115" s="20"/>
      <c r="Q115" s="484"/>
      <c r="R115" s="484"/>
      <c r="S115" s="484"/>
      <c r="T115" s="484"/>
      <c r="U115" s="484"/>
      <c r="V115" s="484"/>
      <c r="W115" s="484"/>
      <c r="X115" s="484"/>
      <c r="Y115" s="484"/>
      <c r="Z115" s="485"/>
    </row>
    <row r="116" spans="1:26" x14ac:dyDescent="0.3">
      <c r="A116" s="18"/>
      <c r="B116" s="21"/>
      <c r="C116" s="21"/>
      <c r="D116" s="21"/>
      <c r="E116" s="21"/>
      <c r="F116" s="21"/>
      <c r="G116" s="21"/>
      <c r="H116" s="21"/>
      <c r="I116" s="21"/>
      <c r="J116" s="21"/>
      <c r="K116" s="21"/>
      <c r="L116" s="21"/>
      <c r="M116" s="21"/>
      <c r="N116" s="21"/>
      <c r="O116" s="20"/>
      <c r="Q116" s="484"/>
      <c r="R116" s="484"/>
      <c r="S116" s="484"/>
      <c r="T116" s="484"/>
      <c r="U116" s="484"/>
      <c r="V116" s="484"/>
      <c r="W116" s="484"/>
      <c r="X116" s="484"/>
      <c r="Y116" s="484"/>
      <c r="Z116" s="485"/>
    </row>
    <row r="117" spans="1:26" x14ac:dyDescent="0.3">
      <c r="A117" s="18"/>
      <c r="B117" s="21"/>
      <c r="C117" s="21"/>
      <c r="D117" s="21"/>
      <c r="E117" s="21"/>
      <c r="F117" s="21"/>
      <c r="G117" s="21"/>
      <c r="H117" s="21"/>
      <c r="I117" s="21"/>
      <c r="J117" s="21"/>
      <c r="K117" s="21"/>
      <c r="L117" s="21"/>
      <c r="M117" s="21"/>
      <c r="N117" s="21"/>
      <c r="O117" s="20"/>
      <c r="Q117" s="126" t="s">
        <v>328</v>
      </c>
    </row>
    <row r="118" spans="1:26" x14ac:dyDescent="0.3">
      <c r="A118" s="18"/>
      <c r="B118" s="21"/>
      <c r="C118" s="21"/>
      <c r="D118" s="21"/>
      <c r="E118" s="21"/>
      <c r="F118" s="21"/>
      <c r="G118" s="21"/>
      <c r="H118" s="21"/>
      <c r="I118" s="21"/>
      <c r="J118" s="21"/>
      <c r="K118" s="21"/>
      <c r="L118" s="21"/>
      <c r="M118" s="21"/>
      <c r="N118" s="21"/>
      <c r="O118" s="20"/>
    </row>
    <row r="119" spans="1:26" x14ac:dyDescent="0.3">
      <c r="A119" s="18"/>
      <c r="B119" s="21"/>
      <c r="C119" s="21"/>
      <c r="D119" s="21"/>
      <c r="E119" s="21"/>
      <c r="F119" s="21"/>
      <c r="G119" s="21"/>
      <c r="H119" s="21"/>
      <c r="I119" s="21"/>
      <c r="J119" s="21"/>
      <c r="K119" s="21"/>
      <c r="L119" s="21"/>
      <c r="M119" s="21"/>
      <c r="N119" s="21"/>
      <c r="O119" s="20"/>
    </row>
    <row r="120" spans="1:26" x14ac:dyDescent="0.3">
      <c r="A120" s="18"/>
      <c r="B120" s="21"/>
      <c r="C120" s="21"/>
      <c r="D120" s="21"/>
      <c r="E120" s="21"/>
      <c r="F120" s="21"/>
      <c r="G120" s="21"/>
      <c r="H120" s="21"/>
      <c r="I120" s="21"/>
      <c r="J120" s="21"/>
      <c r="K120" s="21"/>
      <c r="L120" s="21"/>
      <c r="M120" s="21"/>
      <c r="N120" s="21"/>
      <c r="O120" s="20"/>
      <c r="Q120" s="486" t="s">
        <v>3337</v>
      </c>
      <c r="R120" s="486"/>
      <c r="S120" s="486"/>
      <c r="T120" s="486"/>
      <c r="U120" s="486"/>
      <c r="V120" s="486"/>
      <c r="W120" s="486"/>
      <c r="X120" s="486"/>
      <c r="Y120" s="486"/>
      <c r="Z120" s="486"/>
    </row>
    <row r="121" spans="1:26" x14ac:dyDescent="0.3">
      <c r="A121" s="18"/>
      <c r="B121" s="21"/>
      <c r="C121" s="21"/>
      <c r="D121" s="21"/>
      <c r="E121" s="21"/>
      <c r="F121" s="21"/>
      <c r="G121" s="21"/>
      <c r="H121" s="21"/>
      <c r="I121" s="21"/>
      <c r="J121" s="21"/>
      <c r="K121" s="21"/>
      <c r="L121" s="21"/>
      <c r="M121" s="21"/>
      <c r="N121" s="21"/>
      <c r="O121" s="20"/>
      <c r="Q121" s="487" t="s">
        <v>333</v>
      </c>
      <c r="R121" s="487"/>
      <c r="S121" s="487" t="s">
        <v>3338</v>
      </c>
      <c r="T121" s="487"/>
      <c r="U121" s="487"/>
      <c r="V121" s="487"/>
      <c r="W121" s="487"/>
      <c r="X121" s="487"/>
      <c r="Y121" s="487"/>
      <c r="Z121" s="487"/>
    </row>
    <row r="122" spans="1:26" x14ac:dyDescent="0.3">
      <c r="A122" s="18"/>
      <c r="B122" s="21"/>
      <c r="C122" s="21"/>
      <c r="D122" s="21"/>
      <c r="E122" s="21"/>
      <c r="F122" s="21"/>
      <c r="G122" s="21"/>
      <c r="H122" s="21"/>
      <c r="I122" s="21"/>
      <c r="J122" s="21"/>
      <c r="K122" s="21"/>
      <c r="L122" s="21"/>
      <c r="M122" s="21"/>
      <c r="N122" s="21"/>
      <c r="O122" s="20"/>
      <c r="Q122" s="487"/>
      <c r="R122" s="487"/>
      <c r="S122" s="487"/>
      <c r="T122" s="487"/>
      <c r="U122" s="487"/>
      <c r="V122" s="487"/>
      <c r="W122" s="487"/>
      <c r="X122" s="487"/>
      <c r="Y122" s="487"/>
      <c r="Z122" s="487"/>
    </row>
    <row r="123" spans="1:26" x14ac:dyDescent="0.3">
      <c r="A123" s="18"/>
      <c r="B123" s="21"/>
      <c r="C123" s="21"/>
      <c r="D123" s="21"/>
      <c r="E123" s="21"/>
      <c r="F123" s="21"/>
      <c r="G123" s="21"/>
      <c r="H123" s="21"/>
      <c r="I123" s="21"/>
      <c r="J123" s="21"/>
      <c r="K123" s="21"/>
      <c r="L123" s="21"/>
      <c r="M123" s="21"/>
      <c r="N123" s="21"/>
      <c r="O123" s="20"/>
      <c r="Q123" s="487"/>
      <c r="R123" s="487"/>
      <c r="S123" s="487"/>
      <c r="T123" s="487"/>
      <c r="U123" s="487"/>
      <c r="V123" s="487"/>
      <c r="W123" s="487"/>
      <c r="X123" s="487"/>
      <c r="Y123" s="487"/>
      <c r="Z123" s="487"/>
    </row>
    <row r="124" spans="1:26" x14ac:dyDescent="0.3">
      <c r="A124" s="18"/>
      <c r="B124" s="21"/>
      <c r="C124" s="21"/>
      <c r="D124" s="21"/>
      <c r="E124" s="21"/>
      <c r="F124" s="21"/>
      <c r="G124" s="21"/>
      <c r="H124" s="21"/>
      <c r="I124" s="21"/>
      <c r="J124" s="21"/>
      <c r="K124" s="21"/>
      <c r="L124" s="21"/>
      <c r="M124" s="21"/>
      <c r="N124" s="21"/>
      <c r="O124" s="20"/>
      <c r="Q124" s="483" t="s">
        <v>323</v>
      </c>
      <c r="R124" s="483"/>
      <c r="S124" s="483" t="s">
        <v>1</v>
      </c>
      <c r="T124" s="483"/>
      <c r="U124" s="483"/>
      <c r="V124" s="483"/>
      <c r="W124" s="483"/>
      <c r="X124" s="483"/>
      <c r="Y124" s="483"/>
      <c r="Z124" s="85" t="s">
        <v>324</v>
      </c>
    </row>
    <row r="125" spans="1:26" ht="15" customHeight="1" x14ac:dyDescent="0.3">
      <c r="A125" s="18"/>
      <c r="B125" s="21"/>
      <c r="C125" s="21"/>
      <c r="D125" s="21"/>
      <c r="E125" s="21"/>
      <c r="F125" s="21"/>
      <c r="G125" s="21"/>
      <c r="H125" s="21"/>
      <c r="I125" s="21"/>
      <c r="J125" s="21"/>
      <c r="K125" s="21"/>
      <c r="L125" s="21"/>
      <c r="M125" s="21"/>
      <c r="N125" s="21"/>
      <c r="O125" s="20"/>
      <c r="Q125" s="488" t="s">
        <v>594</v>
      </c>
      <c r="R125" s="488"/>
      <c r="S125" s="488" t="s">
        <v>1198</v>
      </c>
      <c r="T125" s="488"/>
      <c r="U125" s="488"/>
      <c r="V125" s="488"/>
      <c r="W125" s="488"/>
      <c r="X125" s="488"/>
      <c r="Y125" s="488"/>
      <c r="Z125" s="489" t="s">
        <v>325</v>
      </c>
    </row>
    <row r="126" spans="1:26" x14ac:dyDescent="0.3">
      <c r="A126" s="18"/>
      <c r="B126" s="21"/>
      <c r="C126" s="21"/>
      <c r="D126" s="21"/>
      <c r="E126" s="21"/>
      <c r="F126" s="21"/>
      <c r="G126" s="21"/>
      <c r="H126" s="21"/>
      <c r="I126" s="21"/>
      <c r="J126" s="21"/>
      <c r="K126" s="21"/>
      <c r="L126" s="21"/>
      <c r="M126" s="21"/>
      <c r="N126" s="21"/>
      <c r="O126" s="20"/>
      <c r="Q126" s="488"/>
      <c r="R126" s="488"/>
      <c r="S126" s="488"/>
      <c r="T126" s="488"/>
      <c r="U126" s="488"/>
      <c r="V126" s="488"/>
      <c r="W126" s="488"/>
      <c r="X126" s="488"/>
      <c r="Y126" s="488"/>
      <c r="Z126" s="489"/>
    </row>
    <row r="127" spans="1:26" x14ac:dyDescent="0.3">
      <c r="A127" s="18"/>
      <c r="B127" s="21"/>
      <c r="C127" s="21"/>
      <c r="D127" s="21"/>
      <c r="E127" s="21"/>
      <c r="F127" s="21"/>
      <c r="G127" s="21"/>
      <c r="H127" s="21"/>
      <c r="I127" s="21"/>
      <c r="J127" s="21"/>
      <c r="K127" s="21"/>
      <c r="L127" s="21"/>
      <c r="M127" s="21"/>
      <c r="N127" s="21"/>
      <c r="O127" s="20"/>
      <c r="Q127" s="488"/>
      <c r="R127" s="488"/>
      <c r="S127" s="488"/>
      <c r="T127" s="488"/>
      <c r="U127" s="488"/>
      <c r="V127" s="488"/>
      <c r="W127" s="488"/>
      <c r="X127" s="488"/>
      <c r="Y127" s="488"/>
      <c r="Z127" s="489"/>
    </row>
    <row r="128" spans="1:26" x14ac:dyDescent="0.3">
      <c r="A128" s="18"/>
      <c r="B128" s="21"/>
      <c r="C128" s="21"/>
      <c r="D128" s="21"/>
      <c r="E128" s="21"/>
      <c r="F128" s="21"/>
      <c r="G128" s="21"/>
      <c r="H128" s="21"/>
      <c r="I128" s="21"/>
      <c r="J128" s="21"/>
      <c r="K128" s="21"/>
      <c r="L128" s="21"/>
      <c r="M128" s="21"/>
      <c r="N128" s="21"/>
      <c r="O128" s="20"/>
      <c r="Q128" s="484" t="s">
        <v>321</v>
      </c>
      <c r="R128" s="484"/>
      <c r="S128" s="484" t="s">
        <v>3082</v>
      </c>
      <c r="T128" s="484"/>
      <c r="U128" s="484"/>
      <c r="V128" s="484"/>
      <c r="W128" s="484"/>
      <c r="X128" s="484"/>
      <c r="Y128" s="484"/>
      <c r="Z128" s="485" t="s">
        <v>326</v>
      </c>
    </row>
    <row r="129" spans="1:26" x14ac:dyDescent="0.3">
      <c r="A129" s="18"/>
      <c r="B129" s="21"/>
      <c r="C129" s="21"/>
      <c r="D129" s="21"/>
      <c r="E129" s="21"/>
      <c r="F129" s="21"/>
      <c r="G129" s="21"/>
      <c r="H129" s="21"/>
      <c r="I129" s="21"/>
      <c r="J129" s="21"/>
      <c r="K129" s="21"/>
      <c r="L129" s="21"/>
      <c r="M129" s="21"/>
      <c r="N129" s="21"/>
      <c r="O129" s="20"/>
      <c r="Q129" s="484"/>
      <c r="R129" s="484"/>
      <c r="S129" s="484"/>
      <c r="T129" s="484"/>
      <c r="U129" s="484"/>
      <c r="V129" s="484"/>
      <c r="W129" s="484"/>
      <c r="X129" s="484"/>
      <c r="Y129" s="484"/>
      <c r="Z129" s="485"/>
    </row>
    <row r="130" spans="1:26" x14ac:dyDescent="0.3">
      <c r="A130" s="18"/>
      <c r="B130" s="21"/>
      <c r="C130" s="21"/>
      <c r="D130" s="21"/>
      <c r="E130" s="21"/>
      <c r="F130" s="21"/>
      <c r="G130" s="21"/>
      <c r="H130" s="21"/>
      <c r="I130" s="21"/>
      <c r="J130" s="21"/>
      <c r="K130" s="21"/>
      <c r="L130" s="21"/>
      <c r="M130" s="21"/>
      <c r="N130" s="21"/>
      <c r="O130" s="20"/>
      <c r="Q130" s="484"/>
      <c r="R130" s="484"/>
      <c r="S130" s="484"/>
      <c r="T130" s="484"/>
      <c r="U130" s="484"/>
      <c r="V130" s="484"/>
      <c r="W130" s="484"/>
      <c r="X130" s="484"/>
      <c r="Y130" s="484"/>
      <c r="Z130" s="485"/>
    </row>
    <row r="131" spans="1:26" ht="15" customHeight="1" x14ac:dyDescent="0.3">
      <c r="A131" s="18"/>
      <c r="B131" s="21"/>
      <c r="C131" s="21"/>
      <c r="D131" s="21"/>
      <c r="E131" s="21"/>
      <c r="F131" s="21"/>
      <c r="G131" s="21"/>
      <c r="H131" s="21"/>
      <c r="I131" s="21"/>
      <c r="J131" s="21"/>
      <c r="K131" s="21"/>
      <c r="L131" s="21"/>
      <c r="M131" s="21"/>
      <c r="N131" s="21"/>
      <c r="O131" s="20"/>
      <c r="Q131" s="496" t="s">
        <v>2299</v>
      </c>
      <c r="R131" s="497"/>
      <c r="S131" s="496" t="s">
        <v>3088</v>
      </c>
      <c r="T131" s="502"/>
      <c r="U131" s="502"/>
      <c r="V131" s="502"/>
      <c r="W131" s="502"/>
      <c r="X131" s="502"/>
      <c r="Y131" s="497"/>
      <c r="Z131" s="505" t="s">
        <v>326</v>
      </c>
    </row>
    <row r="132" spans="1:26" x14ac:dyDescent="0.3">
      <c r="A132" s="18"/>
      <c r="B132" s="21"/>
      <c r="C132" s="21"/>
      <c r="D132" s="21"/>
      <c r="E132" s="21"/>
      <c r="F132" s="21"/>
      <c r="G132" s="21"/>
      <c r="H132" s="21"/>
      <c r="I132" s="21"/>
      <c r="J132" s="21"/>
      <c r="K132" s="21"/>
      <c r="L132" s="21"/>
      <c r="M132" s="21"/>
      <c r="N132" s="21"/>
      <c r="O132" s="20"/>
      <c r="Q132" s="498"/>
      <c r="R132" s="499"/>
      <c r="S132" s="498"/>
      <c r="T132" s="503"/>
      <c r="U132" s="503"/>
      <c r="V132" s="503"/>
      <c r="W132" s="503"/>
      <c r="X132" s="503"/>
      <c r="Y132" s="499"/>
      <c r="Z132" s="506"/>
    </row>
    <row r="133" spans="1:26" x14ac:dyDescent="0.3">
      <c r="A133" s="18"/>
      <c r="B133" s="7" t="s">
        <v>964</v>
      </c>
      <c r="C133" s="38" t="str" cm="1">
        <f t="array" ref="C133">_xll.U.TWO_WAY_DATA(,,,,_xll.U.WEB_CONTROL_LOCATION(G97:H101,H98:H101))</f>
        <v>[UPDATE_SUBRANGE][R2C2:R5C2]</v>
      </c>
      <c r="D133" s="21"/>
      <c r="E133" s="21"/>
      <c r="F133" s="21"/>
      <c r="G133" s="21"/>
      <c r="H133" s="21"/>
      <c r="I133" s="21"/>
      <c r="J133" s="21"/>
      <c r="K133" s="21"/>
      <c r="L133" s="21"/>
      <c r="M133" s="21"/>
      <c r="N133" s="21"/>
      <c r="O133" s="20"/>
      <c r="Q133" s="500"/>
      <c r="R133" s="501"/>
      <c r="S133" s="500"/>
      <c r="T133" s="504"/>
      <c r="U133" s="504"/>
      <c r="V133" s="504"/>
      <c r="W133" s="504"/>
      <c r="X133" s="504"/>
      <c r="Y133" s="501"/>
      <c r="Z133" s="507"/>
    </row>
    <row r="134" spans="1:26" x14ac:dyDescent="0.3">
      <c r="A134" s="18"/>
      <c r="B134" s="21"/>
      <c r="C134" s="21"/>
      <c r="D134" s="21"/>
      <c r="E134" s="21"/>
      <c r="F134" s="21"/>
      <c r="G134" s="21"/>
      <c r="H134" s="21"/>
      <c r="I134" s="21"/>
      <c r="J134" s="21"/>
      <c r="K134" s="21"/>
      <c r="L134" s="21"/>
      <c r="M134" s="21"/>
      <c r="N134" s="21"/>
      <c r="O134" s="20"/>
      <c r="Q134" s="126" t="s">
        <v>328</v>
      </c>
    </row>
    <row r="135" spans="1:26" x14ac:dyDescent="0.3">
      <c r="A135" s="18"/>
      <c r="B135" s="21"/>
      <c r="C135" s="21"/>
      <c r="D135" s="21"/>
      <c r="E135" s="21"/>
      <c r="F135" s="21"/>
      <c r="G135" s="21"/>
      <c r="H135" s="21"/>
      <c r="I135" s="21"/>
      <c r="J135" s="21"/>
      <c r="K135" s="21"/>
      <c r="L135" s="21"/>
      <c r="M135" s="21"/>
      <c r="N135" s="21"/>
      <c r="O135" s="20"/>
    </row>
    <row r="136" spans="1:26" x14ac:dyDescent="0.3">
      <c r="A136" s="18"/>
      <c r="B136" s="21"/>
      <c r="C136" s="21"/>
      <c r="D136" s="21"/>
      <c r="E136" s="21"/>
      <c r="F136" s="21"/>
      <c r="G136" s="21"/>
      <c r="H136" s="21"/>
      <c r="I136" s="21"/>
      <c r="J136" s="21"/>
      <c r="K136" s="21"/>
      <c r="L136" s="21"/>
      <c r="M136" s="21"/>
      <c r="N136" s="21"/>
      <c r="O136" s="20"/>
    </row>
    <row r="137" spans="1:26" x14ac:dyDescent="0.3">
      <c r="A137" s="18"/>
      <c r="B137" s="5" t="s">
        <v>11</v>
      </c>
      <c r="C137" s="42" t="s">
        <v>21</v>
      </c>
      <c r="D137" s="21"/>
      <c r="E137" s="21"/>
      <c r="F137" s="21"/>
      <c r="G137" s="21"/>
      <c r="H137" s="21"/>
      <c r="I137" s="21"/>
      <c r="J137" s="21"/>
      <c r="K137" s="21"/>
      <c r="L137" s="21"/>
      <c r="M137" s="21"/>
      <c r="N137" s="21"/>
      <c r="O137" s="20"/>
      <c r="Q137" s="486" t="s">
        <v>3339</v>
      </c>
      <c r="R137" s="486"/>
      <c r="S137" s="486"/>
      <c r="T137" s="486"/>
      <c r="U137" s="486"/>
      <c r="V137" s="486"/>
      <c r="W137" s="486"/>
      <c r="X137" s="486"/>
      <c r="Y137" s="486"/>
      <c r="Z137" s="486"/>
    </row>
    <row r="138" spans="1:26" x14ac:dyDescent="0.3">
      <c r="A138" s="18"/>
      <c r="B138" s="5" t="s">
        <v>12</v>
      </c>
      <c r="C138" s="42" t="s">
        <v>150</v>
      </c>
      <c r="D138" s="21"/>
      <c r="E138" s="21"/>
      <c r="F138" s="21"/>
      <c r="G138" s="85" t="s">
        <v>2</v>
      </c>
      <c r="H138" s="85" t="s">
        <v>147</v>
      </c>
      <c r="I138" s="21"/>
      <c r="J138" s="21"/>
      <c r="K138" s="21"/>
      <c r="L138" s="21"/>
      <c r="M138" s="21"/>
      <c r="N138" s="21"/>
      <c r="O138" s="20"/>
      <c r="Q138" s="487" t="s">
        <v>333</v>
      </c>
      <c r="R138" s="487"/>
      <c r="S138" s="487" t="s">
        <v>821</v>
      </c>
      <c r="T138" s="487"/>
      <c r="U138" s="487"/>
      <c r="V138" s="487"/>
      <c r="W138" s="487"/>
      <c r="X138" s="487"/>
      <c r="Y138" s="487"/>
      <c r="Z138" s="487"/>
    </row>
    <row r="139" spans="1:26" x14ac:dyDescent="0.3">
      <c r="A139" s="18"/>
      <c r="D139" s="21"/>
      <c r="E139" s="21"/>
      <c r="F139" s="21"/>
      <c r="G139" s="86" t="s">
        <v>3913</v>
      </c>
      <c r="H139" s="86">
        <v>500</v>
      </c>
      <c r="I139" s="21"/>
      <c r="J139" s="21"/>
      <c r="K139" s="21"/>
      <c r="L139" s="21"/>
      <c r="M139" s="21"/>
      <c r="N139" s="21"/>
      <c r="O139" s="20"/>
      <c r="Q139" s="487"/>
      <c r="R139" s="487"/>
      <c r="S139" s="487"/>
      <c r="T139" s="487"/>
      <c r="U139" s="487"/>
      <c r="V139" s="487"/>
      <c r="W139" s="487"/>
      <c r="X139" s="487"/>
      <c r="Y139" s="487"/>
      <c r="Z139" s="487"/>
    </row>
    <row r="140" spans="1:26" x14ac:dyDescent="0.3">
      <c r="A140" s="18"/>
      <c r="B140" s="7" t="s">
        <v>122</v>
      </c>
      <c r="C140" s="38" cm="1">
        <f t="array" ref="C140">_xll.U.DO(_xll.U.PUBLISH(C137,C138,G139:H146,_xll.U.PUB_AND_PASTE()))</f>
        <v>46072.453056701386</v>
      </c>
      <c r="D140" s="21"/>
      <c r="E140" s="21"/>
      <c r="F140" s="21"/>
      <c r="G140" s="86" t="s">
        <v>107</v>
      </c>
      <c r="H140" s="86">
        <v>-250</v>
      </c>
      <c r="I140" s="21"/>
      <c r="J140" s="21"/>
      <c r="K140" s="21"/>
      <c r="L140" s="21"/>
      <c r="M140" s="21"/>
      <c r="N140" s="21"/>
      <c r="O140" s="20"/>
      <c r="Q140" s="487"/>
      <c r="R140" s="487"/>
      <c r="S140" s="487"/>
      <c r="T140" s="487"/>
      <c r="U140" s="487"/>
      <c r="V140" s="487"/>
      <c r="W140" s="487"/>
      <c r="X140" s="487"/>
      <c r="Y140" s="487"/>
      <c r="Z140" s="487"/>
    </row>
    <row r="141" spans="1:26" x14ac:dyDescent="0.3">
      <c r="A141" s="18"/>
      <c r="B141" s="7" t="s">
        <v>123</v>
      </c>
      <c r="C141" s="38" t="str" cm="1">
        <f t="array" ref="C141">_xll.U.SUBSCRIBE(C137,C138)</f>
        <v>U/DESK2/EQ_POSITIONS</v>
      </c>
      <c r="D141" s="21"/>
      <c r="E141" s="21"/>
      <c r="F141" s="21"/>
      <c r="G141" s="86" t="s">
        <v>148</v>
      </c>
      <c r="H141" s="86">
        <v>2500</v>
      </c>
      <c r="I141" s="21"/>
      <c r="J141" s="21"/>
      <c r="K141" s="21"/>
      <c r="L141" s="21"/>
      <c r="M141" s="21"/>
      <c r="N141" s="21"/>
      <c r="O141" s="20"/>
      <c r="Q141" s="483" t="s">
        <v>323</v>
      </c>
      <c r="R141" s="483"/>
      <c r="S141" s="483" t="s">
        <v>1</v>
      </c>
      <c r="T141" s="483"/>
      <c r="U141" s="483"/>
      <c r="V141" s="483"/>
      <c r="W141" s="483"/>
      <c r="X141" s="483"/>
      <c r="Y141" s="483"/>
      <c r="Z141" s="85" t="s">
        <v>324</v>
      </c>
    </row>
    <row r="142" spans="1:26" x14ac:dyDescent="0.3">
      <c r="A142" s="18"/>
      <c r="B142" s="7" t="s">
        <v>146</v>
      </c>
      <c r="C142" s="87" t="str" cm="1">
        <f t="array" ref="C142">IF(_xll.U.AFTER(PUB_AND_PASTE),_xll.U.PASTE(C141,G139,2,,,TRUE),"Do Not Paste")</f>
        <v>Do Not Paste</v>
      </c>
      <c r="D142" s="21"/>
      <c r="E142" s="21"/>
      <c r="F142" s="21"/>
      <c r="G142" s="86" t="s">
        <v>149</v>
      </c>
      <c r="H142" s="86">
        <v>300</v>
      </c>
      <c r="I142" s="21"/>
      <c r="J142" s="21"/>
      <c r="K142" s="21"/>
      <c r="L142" s="21"/>
      <c r="M142" s="21"/>
      <c r="N142" s="21"/>
      <c r="O142" s="20"/>
      <c r="Q142" s="484" t="s">
        <v>321</v>
      </c>
      <c r="R142" s="484"/>
      <c r="S142" s="484" t="s">
        <v>3083</v>
      </c>
      <c r="T142" s="484"/>
      <c r="U142" s="484"/>
      <c r="V142" s="484"/>
      <c r="W142" s="484"/>
      <c r="X142" s="484"/>
      <c r="Y142" s="484"/>
      <c r="Z142" s="485" t="s">
        <v>326</v>
      </c>
    </row>
    <row r="143" spans="1:26" ht="15" customHeight="1" x14ac:dyDescent="0.3">
      <c r="A143" s="18"/>
      <c r="B143" s="21"/>
      <c r="C143" s="21"/>
      <c r="D143" s="21"/>
      <c r="E143" s="21"/>
      <c r="F143" s="21"/>
      <c r="G143" s="86" t="s">
        <v>71</v>
      </c>
      <c r="H143" s="86" t="s">
        <v>71</v>
      </c>
      <c r="I143" s="21"/>
      <c r="J143" s="21"/>
      <c r="K143" s="21"/>
      <c r="L143" s="21"/>
      <c r="M143" s="21"/>
      <c r="N143" s="21"/>
      <c r="O143" s="20"/>
      <c r="Q143" s="484"/>
      <c r="R143" s="484"/>
      <c r="S143" s="484"/>
      <c r="T143" s="484"/>
      <c r="U143" s="484"/>
      <c r="V143" s="484"/>
      <c r="W143" s="484"/>
      <c r="X143" s="484"/>
      <c r="Y143" s="484"/>
      <c r="Z143" s="485"/>
    </row>
    <row r="144" spans="1:26" x14ac:dyDescent="0.3">
      <c r="A144" s="18"/>
      <c r="B144" s="21"/>
      <c r="C144" s="21"/>
      <c r="D144" s="21"/>
      <c r="E144" s="21"/>
      <c r="F144" s="21"/>
      <c r="G144" s="86" t="s">
        <v>71</v>
      </c>
      <c r="H144" s="86" t="s">
        <v>71</v>
      </c>
      <c r="I144" s="21"/>
      <c r="J144" s="21"/>
      <c r="K144" s="21"/>
      <c r="L144" s="21"/>
      <c r="M144" s="21"/>
      <c r="N144" s="21"/>
      <c r="O144" s="20"/>
      <c r="Q144" s="484"/>
      <c r="R144" s="484"/>
      <c r="S144" s="484"/>
      <c r="T144" s="484"/>
      <c r="U144" s="484"/>
      <c r="V144" s="484"/>
      <c r="W144" s="484"/>
      <c r="X144" s="484"/>
      <c r="Y144" s="484"/>
      <c r="Z144" s="485"/>
    </row>
    <row r="145" spans="1:26" x14ac:dyDescent="0.3">
      <c r="A145" s="18"/>
      <c r="B145" s="21"/>
      <c r="C145" s="21"/>
      <c r="D145" s="21"/>
      <c r="E145" s="21"/>
      <c r="F145" s="21"/>
      <c r="G145" s="86" t="s">
        <v>71</v>
      </c>
      <c r="H145" s="86" t="s">
        <v>71</v>
      </c>
      <c r="I145" s="21"/>
      <c r="J145" s="21"/>
      <c r="K145" s="21"/>
      <c r="L145" s="21"/>
      <c r="M145" s="21"/>
      <c r="N145" s="21"/>
      <c r="O145" s="20"/>
      <c r="Q145" s="126" t="s">
        <v>328</v>
      </c>
    </row>
    <row r="146" spans="1:26" x14ac:dyDescent="0.3">
      <c r="A146" s="18"/>
      <c r="B146" s="21"/>
      <c r="C146" s="21"/>
      <c r="D146" s="21"/>
      <c r="E146" s="21"/>
      <c r="F146" s="21"/>
      <c r="G146" s="86" t="s">
        <v>71</v>
      </c>
      <c r="H146" s="86" t="s">
        <v>71</v>
      </c>
      <c r="I146" s="21"/>
      <c r="J146" s="21"/>
      <c r="K146" s="21"/>
      <c r="L146" s="21"/>
      <c r="M146" s="21"/>
      <c r="N146" s="21"/>
      <c r="O146" s="20"/>
    </row>
    <row r="147" spans="1:26" x14ac:dyDescent="0.3">
      <c r="A147" s="18"/>
      <c r="B147" s="21"/>
      <c r="C147" s="21"/>
      <c r="D147" s="21"/>
      <c r="E147" s="21"/>
      <c r="F147" s="21"/>
      <c r="G147" s="21"/>
      <c r="H147" s="21"/>
      <c r="I147" s="21"/>
      <c r="J147" s="21"/>
      <c r="K147" s="21"/>
      <c r="L147" s="21"/>
      <c r="M147" s="21"/>
      <c r="N147" s="21"/>
      <c r="O147" s="20"/>
    </row>
    <row r="148" spans="1:26" x14ac:dyDescent="0.3">
      <c r="A148" s="18"/>
      <c r="B148" s="21"/>
      <c r="C148" s="21"/>
      <c r="D148" s="21"/>
      <c r="E148" s="21"/>
      <c r="F148" s="21"/>
      <c r="G148" s="21"/>
      <c r="H148" s="21"/>
      <c r="I148" s="21"/>
      <c r="J148" s="21"/>
      <c r="K148" s="21"/>
      <c r="L148" s="21"/>
      <c r="M148" s="21"/>
      <c r="N148" s="21"/>
      <c r="O148" s="20"/>
      <c r="Q148" s="486" t="s">
        <v>3340</v>
      </c>
      <c r="R148" s="486"/>
      <c r="S148" s="486"/>
      <c r="T148" s="486"/>
      <c r="U148" s="486"/>
      <c r="V148" s="486"/>
      <c r="W148" s="486"/>
      <c r="X148" s="486"/>
      <c r="Y148" s="486"/>
      <c r="Z148" s="486"/>
    </row>
    <row r="149" spans="1:26" ht="15" customHeight="1" x14ac:dyDescent="0.3">
      <c r="A149" s="18"/>
      <c r="B149" s="21"/>
      <c r="C149" s="21"/>
      <c r="D149" s="21"/>
      <c r="E149" s="21"/>
      <c r="F149" s="21"/>
      <c r="G149" s="21"/>
      <c r="H149" s="21"/>
      <c r="I149" s="21"/>
      <c r="J149" s="21"/>
      <c r="K149" s="21"/>
      <c r="L149" s="21"/>
      <c r="M149" s="21"/>
      <c r="N149" s="21"/>
      <c r="O149" s="20"/>
      <c r="Q149" s="487" t="s">
        <v>333</v>
      </c>
      <c r="R149" s="487"/>
      <c r="S149" s="487" t="s">
        <v>3829</v>
      </c>
      <c r="T149" s="487"/>
      <c r="U149" s="487"/>
      <c r="V149" s="487"/>
      <c r="W149" s="487"/>
      <c r="X149" s="487"/>
      <c r="Y149" s="487"/>
      <c r="Z149" s="487"/>
    </row>
    <row r="150" spans="1:26" ht="15" customHeight="1" x14ac:dyDescent="0.3">
      <c r="A150" s="18"/>
      <c r="B150" s="21"/>
      <c r="C150" s="21"/>
      <c r="D150" s="21"/>
      <c r="E150" s="21"/>
      <c r="F150" s="21"/>
      <c r="G150" s="21"/>
      <c r="H150" s="21"/>
      <c r="I150" s="21"/>
      <c r="J150" s="21"/>
      <c r="K150" s="21"/>
      <c r="L150" s="21"/>
      <c r="M150" s="21"/>
      <c r="N150" s="21"/>
      <c r="O150" s="20"/>
      <c r="Q150" s="487"/>
      <c r="R150" s="487"/>
      <c r="S150" s="487"/>
      <c r="T150" s="487"/>
      <c r="U150" s="487"/>
      <c r="V150" s="487"/>
      <c r="W150" s="487"/>
      <c r="X150" s="487"/>
      <c r="Y150" s="487"/>
      <c r="Z150" s="487"/>
    </row>
    <row r="151" spans="1:26" x14ac:dyDescent="0.3">
      <c r="A151" s="18"/>
      <c r="B151" s="21"/>
      <c r="C151" s="21"/>
      <c r="D151" s="21"/>
      <c r="E151" s="21"/>
      <c r="F151" s="21"/>
      <c r="G151" s="21"/>
      <c r="H151" s="21"/>
      <c r="I151" s="21"/>
      <c r="J151" s="21"/>
      <c r="K151" s="21"/>
      <c r="L151" s="21"/>
      <c r="M151" s="21"/>
      <c r="N151" s="21"/>
      <c r="O151" s="20"/>
      <c r="Q151" s="487"/>
      <c r="R151" s="487"/>
      <c r="S151" s="487"/>
      <c r="T151" s="487"/>
      <c r="U151" s="487"/>
      <c r="V151" s="487"/>
      <c r="W151" s="487"/>
      <c r="X151" s="487"/>
      <c r="Y151" s="487"/>
      <c r="Z151" s="487"/>
    </row>
    <row r="152" spans="1:26" x14ac:dyDescent="0.3">
      <c r="A152" s="18"/>
      <c r="B152" s="21"/>
      <c r="C152" s="21"/>
      <c r="D152" s="21"/>
      <c r="E152" s="21"/>
      <c r="F152" s="21"/>
      <c r="G152" s="21"/>
      <c r="H152" s="21"/>
      <c r="I152" s="21"/>
      <c r="J152" s="21"/>
      <c r="K152" s="21"/>
      <c r="L152" s="21"/>
      <c r="M152" s="21"/>
      <c r="N152" s="21"/>
      <c r="O152" s="20"/>
      <c r="Q152" s="483" t="s">
        <v>323</v>
      </c>
      <c r="R152" s="483"/>
      <c r="S152" s="483" t="s">
        <v>1</v>
      </c>
      <c r="T152" s="483"/>
      <c r="U152" s="483"/>
      <c r="V152" s="483"/>
      <c r="W152" s="483"/>
      <c r="X152" s="483"/>
      <c r="Y152" s="483"/>
      <c r="Z152" s="85" t="s">
        <v>324</v>
      </c>
    </row>
    <row r="153" spans="1:26" x14ac:dyDescent="0.3">
      <c r="A153" s="18"/>
      <c r="B153" s="21"/>
      <c r="C153" s="21"/>
      <c r="D153" s="21"/>
      <c r="E153" s="21"/>
      <c r="F153" s="21"/>
      <c r="G153" s="21"/>
      <c r="H153" s="21"/>
      <c r="I153" s="21"/>
      <c r="J153" s="21"/>
      <c r="K153" s="21"/>
      <c r="L153" s="21"/>
      <c r="M153" s="21"/>
      <c r="N153" s="21"/>
      <c r="O153" s="20"/>
      <c r="Q153" s="484" t="s">
        <v>1008</v>
      </c>
      <c r="R153" s="484"/>
      <c r="S153" s="484" t="s">
        <v>3735</v>
      </c>
      <c r="T153" s="484"/>
      <c r="U153" s="484"/>
      <c r="V153" s="484"/>
      <c r="W153" s="484"/>
      <c r="X153" s="484"/>
      <c r="Y153" s="484"/>
      <c r="Z153" s="485" t="s">
        <v>326</v>
      </c>
    </row>
    <row r="154" spans="1:26" x14ac:dyDescent="0.3">
      <c r="A154" s="18"/>
      <c r="B154" s="21"/>
      <c r="C154" s="21"/>
      <c r="D154" s="21"/>
      <c r="E154" s="21"/>
      <c r="F154" s="21"/>
      <c r="G154" s="21"/>
      <c r="H154" s="21"/>
      <c r="I154" s="21"/>
      <c r="J154" s="21"/>
      <c r="K154" s="21"/>
      <c r="L154" s="21"/>
      <c r="M154" s="21"/>
      <c r="N154" s="21"/>
      <c r="O154" s="20"/>
      <c r="Q154" s="484"/>
      <c r="R154" s="484"/>
      <c r="S154" s="484"/>
      <c r="T154" s="484"/>
      <c r="U154" s="484"/>
      <c r="V154" s="484"/>
      <c r="W154" s="484"/>
      <c r="X154" s="484"/>
      <c r="Y154" s="484"/>
      <c r="Z154" s="485"/>
    </row>
    <row r="155" spans="1:26" x14ac:dyDescent="0.3">
      <c r="A155" s="18"/>
      <c r="B155" s="21"/>
      <c r="C155" s="21"/>
      <c r="D155" s="21"/>
      <c r="E155" s="21"/>
      <c r="F155" s="21"/>
      <c r="G155" s="21"/>
      <c r="H155" s="21"/>
      <c r="I155" s="21"/>
      <c r="J155" s="21"/>
      <c r="K155" s="21"/>
      <c r="L155" s="21"/>
      <c r="M155" s="21"/>
      <c r="N155" s="21"/>
      <c r="O155" s="20"/>
      <c r="Q155" s="484"/>
      <c r="R155" s="484"/>
      <c r="S155" s="484"/>
      <c r="T155" s="484"/>
      <c r="U155" s="484"/>
      <c r="V155" s="484"/>
      <c r="W155" s="484"/>
      <c r="X155" s="484"/>
      <c r="Y155" s="484"/>
      <c r="Z155" s="485"/>
    </row>
    <row r="156" spans="1:26" x14ac:dyDescent="0.3">
      <c r="A156" s="18"/>
      <c r="B156" s="21"/>
      <c r="C156" s="21"/>
      <c r="D156" s="21"/>
      <c r="E156" s="21"/>
      <c r="F156" s="21"/>
      <c r="G156" s="21"/>
      <c r="H156" s="21"/>
      <c r="I156" s="21"/>
      <c r="J156" s="21"/>
      <c r="K156" s="21"/>
      <c r="L156" s="21"/>
      <c r="M156" s="21"/>
      <c r="N156" s="21"/>
      <c r="O156" s="20"/>
      <c r="Q156" s="484" t="s">
        <v>1009</v>
      </c>
      <c r="R156" s="484"/>
      <c r="S156" s="484" t="s">
        <v>1010</v>
      </c>
      <c r="T156" s="484"/>
      <c r="U156" s="484"/>
      <c r="V156" s="484"/>
      <c r="W156" s="484"/>
      <c r="X156" s="484"/>
      <c r="Y156" s="484"/>
      <c r="Z156" s="485" t="s">
        <v>326</v>
      </c>
    </row>
    <row r="157" spans="1:26" ht="15" customHeight="1" x14ac:dyDescent="0.3">
      <c r="A157" s="18"/>
      <c r="B157" s="21"/>
      <c r="C157" s="21"/>
      <c r="D157" s="21"/>
      <c r="E157" s="21"/>
      <c r="F157" s="21"/>
      <c r="G157" s="21"/>
      <c r="H157" s="21"/>
      <c r="I157" s="21"/>
      <c r="J157" s="21"/>
      <c r="K157" s="21"/>
      <c r="L157" s="21"/>
      <c r="M157" s="21"/>
      <c r="N157" s="21"/>
      <c r="O157" s="20"/>
      <c r="Q157" s="484"/>
      <c r="R157" s="484"/>
      <c r="S157" s="484"/>
      <c r="T157" s="484"/>
      <c r="U157" s="484"/>
      <c r="V157" s="484"/>
      <c r="W157" s="484"/>
      <c r="X157" s="484"/>
      <c r="Y157" s="484"/>
      <c r="Z157" s="485"/>
    </row>
    <row r="158" spans="1:26" x14ac:dyDescent="0.3">
      <c r="A158" s="18"/>
      <c r="B158" s="21"/>
      <c r="C158" s="21"/>
      <c r="D158" s="21"/>
      <c r="E158" s="21"/>
      <c r="F158" s="21"/>
      <c r="G158" s="21"/>
      <c r="H158" s="21"/>
      <c r="I158" s="21"/>
      <c r="J158" s="21"/>
      <c r="K158" s="21"/>
      <c r="L158" s="21"/>
      <c r="M158" s="21"/>
      <c r="N158" s="21"/>
      <c r="O158" s="20"/>
      <c r="Q158" s="484"/>
      <c r="R158" s="484"/>
      <c r="S158" s="484"/>
      <c r="T158" s="484"/>
      <c r="U158" s="484"/>
      <c r="V158" s="484"/>
      <c r="W158" s="484"/>
      <c r="X158" s="484"/>
      <c r="Y158" s="484"/>
      <c r="Z158" s="485"/>
    </row>
    <row r="159" spans="1:26" x14ac:dyDescent="0.3">
      <c r="A159" s="18"/>
      <c r="B159" s="21"/>
      <c r="C159" s="21"/>
      <c r="D159" s="21"/>
      <c r="E159" s="21"/>
      <c r="F159" s="21"/>
      <c r="G159" s="21"/>
      <c r="H159" s="21"/>
      <c r="I159" s="21"/>
      <c r="J159" s="21"/>
      <c r="K159" s="21"/>
      <c r="L159" s="21"/>
      <c r="M159" s="21"/>
      <c r="N159" s="21"/>
      <c r="O159" s="20"/>
      <c r="Q159" s="496" t="s">
        <v>321</v>
      </c>
      <c r="R159" s="497"/>
      <c r="S159" s="496" t="s">
        <v>3084</v>
      </c>
      <c r="T159" s="502"/>
      <c r="U159" s="502"/>
      <c r="V159" s="502"/>
      <c r="W159" s="502"/>
      <c r="X159" s="502"/>
      <c r="Y159" s="497"/>
      <c r="Z159" s="505" t="s">
        <v>326</v>
      </c>
    </row>
    <row r="160" spans="1:26" ht="15" customHeight="1" x14ac:dyDescent="0.3">
      <c r="A160" s="18"/>
      <c r="B160" s="21"/>
      <c r="C160" s="21"/>
      <c r="D160" s="21"/>
      <c r="E160" s="21"/>
      <c r="F160" s="21"/>
      <c r="G160" s="21"/>
      <c r="H160" s="21"/>
      <c r="I160" s="21"/>
      <c r="J160" s="21"/>
      <c r="K160" s="21"/>
      <c r="L160" s="21"/>
      <c r="M160" s="21"/>
      <c r="N160" s="21"/>
      <c r="O160" s="20"/>
      <c r="Q160" s="498"/>
      <c r="R160" s="499"/>
      <c r="S160" s="498"/>
      <c r="T160" s="503"/>
      <c r="U160" s="503"/>
      <c r="V160" s="503"/>
      <c r="W160" s="503"/>
      <c r="X160" s="503"/>
      <c r="Y160" s="499"/>
      <c r="Z160" s="506"/>
    </row>
    <row r="161" spans="1:26" x14ac:dyDescent="0.3">
      <c r="A161" s="18"/>
      <c r="B161" s="21"/>
      <c r="C161" s="21"/>
      <c r="D161" s="21"/>
      <c r="E161" s="21"/>
      <c r="F161" s="21"/>
      <c r="G161" s="21"/>
      <c r="H161" s="21"/>
      <c r="I161" s="21"/>
      <c r="J161" s="21"/>
      <c r="K161" s="21"/>
      <c r="L161" s="21"/>
      <c r="M161" s="21"/>
      <c r="N161" s="21"/>
      <c r="O161" s="20"/>
      <c r="Q161" s="500"/>
      <c r="R161" s="501"/>
      <c r="S161" s="500"/>
      <c r="T161" s="504"/>
      <c r="U161" s="504"/>
      <c r="V161" s="504"/>
      <c r="W161" s="504"/>
      <c r="X161" s="504"/>
      <c r="Y161" s="501"/>
      <c r="Z161" s="507"/>
    </row>
    <row r="162" spans="1:26" x14ac:dyDescent="0.3">
      <c r="A162" s="18"/>
      <c r="B162" s="21"/>
      <c r="C162" s="21"/>
      <c r="D162" s="21"/>
      <c r="E162" s="21"/>
      <c r="F162" s="21"/>
      <c r="G162" s="21"/>
      <c r="H162" s="21"/>
      <c r="I162" s="21"/>
      <c r="J162" s="21"/>
      <c r="K162" s="21"/>
      <c r="L162" s="21"/>
      <c r="M162" s="21"/>
      <c r="N162" s="21"/>
      <c r="O162" s="20"/>
      <c r="Q162" s="126" t="s">
        <v>328</v>
      </c>
    </row>
    <row r="163" spans="1:26" ht="15" customHeight="1" x14ac:dyDescent="0.3">
      <c r="A163" s="18"/>
      <c r="B163" s="21"/>
      <c r="C163" s="21"/>
      <c r="D163" s="21"/>
      <c r="E163" s="21"/>
      <c r="F163" s="21"/>
      <c r="G163" s="21"/>
      <c r="H163" s="21"/>
      <c r="I163" s="21"/>
      <c r="J163" s="21"/>
      <c r="K163" s="21"/>
      <c r="L163" s="21"/>
      <c r="M163" s="21"/>
      <c r="N163" s="21"/>
      <c r="O163" s="20"/>
    </row>
    <row r="164" spans="1:26" x14ac:dyDescent="0.3">
      <c r="A164" s="18"/>
      <c r="B164" s="21"/>
      <c r="C164" s="21"/>
      <c r="D164" s="21"/>
      <c r="E164" s="21"/>
      <c r="F164" s="21"/>
      <c r="G164" s="21"/>
      <c r="H164" s="21"/>
      <c r="I164" s="21"/>
      <c r="J164" s="21"/>
      <c r="K164" s="21"/>
      <c r="L164" s="21"/>
      <c r="M164" s="21"/>
      <c r="N164" s="21"/>
      <c r="O164" s="20"/>
      <c r="Q164" s="486" t="s">
        <v>3341</v>
      </c>
      <c r="R164" s="486"/>
      <c r="S164" s="486"/>
      <c r="T164" s="486"/>
      <c r="U164" s="486"/>
      <c r="V164" s="486"/>
      <c r="W164" s="486"/>
      <c r="X164" s="486"/>
      <c r="Y164" s="486"/>
      <c r="Z164" s="486"/>
    </row>
    <row r="165" spans="1:26" x14ac:dyDescent="0.3">
      <c r="A165" s="18"/>
      <c r="B165" s="21"/>
      <c r="C165" s="21"/>
      <c r="D165" s="21"/>
      <c r="E165" s="21"/>
      <c r="F165" s="21"/>
      <c r="G165" s="21"/>
      <c r="H165" s="21"/>
      <c r="I165" s="21"/>
      <c r="J165" s="21"/>
      <c r="K165" s="21"/>
      <c r="L165" s="21"/>
      <c r="M165" s="21"/>
      <c r="N165" s="21"/>
      <c r="O165" s="20"/>
      <c r="Q165" s="487" t="s">
        <v>333</v>
      </c>
      <c r="R165" s="487"/>
      <c r="S165" s="487" t="s">
        <v>3802</v>
      </c>
      <c r="T165" s="487"/>
      <c r="U165" s="487"/>
      <c r="V165" s="487"/>
      <c r="W165" s="487"/>
      <c r="X165" s="487"/>
      <c r="Y165" s="487"/>
      <c r="Z165" s="487"/>
    </row>
    <row r="166" spans="1:26" x14ac:dyDescent="0.3">
      <c r="A166" s="18"/>
      <c r="B166" s="21"/>
      <c r="C166" s="21"/>
      <c r="D166" s="21"/>
      <c r="E166" s="21"/>
      <c r="F166" s="21"/>
      <c r="G166" s="21"/>
      <c r="H166" s="21"/>
      <c r="I166" s="21"/>
      <c r="J166" s="21"/>
      <c r="K166" s="21"/>
      <c r="L166" s="21"/>
      <c r="M166" s="21"/>
      <c r="N166" s="21"/>
      <c r="O166" s="20"/>
      <c r="Q166" s="487"/>
      <c r="R166" s="487"/>
      <c r="S166" s="487"/>
      <c r="T166" s="487"/>
      <c r="U166" s="487"/>
      <c r="V166" s="487"/>
      <c r="W166" s="487"/>
      <c r="X166" s="487"/>
      <c r="Y166" s="487"/>
      <c r="Z166" s="487"/>
    </row>
    <row r="167" spans="1:26" x14ac:dyDescent="0.3">
      <c r="A167" s="18"/>
      <c r="B167" s="21"/>
      <c r="C167" s="21"/>
      <c r="D167" s="21"/>
      <c r="E167" s="21"/>
      <c r="F167" s="21"/>
      <c r="G167" s="21"/>
      <c r="H167" s="21"/>
      <c r="I167" s="21"/>
      <c r="J167" s="21"/>
      <c r="K167" s="21"/>
      <c r="L167" s="21"/>
      <c r="M167" s="21"/>
      <c r="N167" s="21"/>
      <c r="O167" s="20"/>
      <c r="Q167" s="487"/>
      <c r="R167" s="487"/>
      <c r="S167" s="487"/>
      <c r="T167" s="487"/>
      <c r="U167" s="487"/>
      <c r="V167" s="487"/>
      <c r="W167" s="487"/>
      <c r="X167" s="487"/>
      <c r="Y167" s="487"/>
      <c r="Z167" s="487"/>
    </row>
    <row r="168" spans="1:26" x14ac:dyDescent="0.3">
      <c r="A168" s="18"/>
      <c r="B168" s="21"/>
      <c r="C168" s="21"/>
      <c r="D168" s="21"/>
      <c r="E168" s="21"/>
      <c r="F168" s="21"/>
      <c r="G168" s="21"/>
      <c r="H168" s="21"/>
      <c r="I168" s="21"/>
      <c r="J168" s="21"/>
      <c r="K168" s="21"/>
      <c r="L168" s="21"/>
      <c r="M168" s="21"/>
      <c r="N168" s="21"/>
      <c r="O168" s="20"/>
      <c r="Q168" s="483" t="s">
        <v>323</v>
      </c>
      <c r="R168" s="483"/>
      <c r="S168" s="483" t="s">
        <v>1</v>
      </c>
      <c r="T168" s="483"/>
      <c r="U168" s="483"/>
      <c r="V168" s="483"/>
      <c r="W168" s="483"/>
      <c r="X168" s="483"/>
      <c r="Y168" s="483"/>
      <c r="Z168" s="85" t="s">
        <v>324</v>
      </c>
    </row>
    <row r="169" spans="1:26" x14ac:dyDescent="0.3">
      <c r="A169" s="18"/>
      <c r="B169" s="21"/>
      <c r="C169" s="21"/>
      <c r="D169" s="21"/>
      <c r="E169" s="21"/>
      <c r="F169" s="21"/>
      <c r="G169" s="21"/>
      <c r="H169" s="21"/>
      <c r="I169" s="21"/>
      <c r="J169" s="21"/>
      <c r="K169" s="21"/>
      <c r="L169" s="21"/>
      <c r="M169" s="21"/>
      <c r="N169" s="21"/>
      <c r="O169" s="20"/>
      <c r="Q169" s="484" t="s">
        <v>931</v>
      </c>
      <c r="R169" s="484"/>
      <c r="S169" s="484" t="s">
        <v>2746</v>
      </c>
      <c r="T169" s="484"/>
      <c r="U169" s="484"/>
      <c r="V169" s="484"/>
      <c r="W169" s="484"/>
      <c r="X169" s="484"/>
      <c r="Y169" s="484"/>
      <c r="Z169" s="485" t="s">
        <v>326</v>
      </c>
    </row>
    <row r="170" spans="1:26" x14ac:dyDescent="0.3">
      <c r="A170" s="18"/>
      <c r="B170" s="21"/>
      <c r="C170" s="21"/>
      <c r="D170" s="21"/>
      <c r="E170" s="21"/>
      <c r="F170" s="21"/>
      <c r="G170" s="21"/>
      <c r="H170" s="21"/>
      <c r="I170" s="21"/>
      <c r="J170" s="21"/>
      <c r="K170" s="21"/>
      <c r="L170" s="21"/>
      <c r="M170" s="21"/>
      <c r="N170" s="21"/>
      <c r="O170" s="20"/>
      <c r="Q170" s="484"/>
      <c r="R170" s="484"/>
      <c r="S170" s="484"/>
      <c r="T170" s="484"/>
      <c r="U170" s="484"/>
      <c r="V170" s="484"/>
      <c r="W170" s="484"/>
      <c r="X170" s="484"/>
      <c r="Y170" s="484"/>
      <c r="Z170" s="485"/>
    </row>
    <row r="171" spans="1:26" x14ac:dyDescent="0.3">
      <c r="A171" s="18"/>
      <c r="B171" s="7" t="s">
        <v>3337</v>
      </c>
      <c r="C171" s="150" t="s">
        <v>3342</v>
      </c>
      <c r="D171" s="21"/>
      <c r="E171" s="21"/>
      <c r="F171" s="21"/>
      <c r="G171" s="21"/>
      <c r="H171" s="21"/>
      <c r="I171" s="21"/>
      <c r="J171" s="21"/>
      <c r="K171" s="21"/>
      <c r="L171" s="21"/>
      <c r="M171" s="21"/>
      <c r="N171" s="21"/>
      <c r="O171" s="20"/>
      <c r="Q171" s="484"/>
      <c r="R171" s="484"/>
      <c r="S171" s="484"/>
      <c r="T171" s="484"/>
      <c r="U171" s="484"/>
      <c r="V171" s="484"/>
      <c r="W171" s="484"/>
      <c r="X171" s="484"/>
      <c r="Y171" s="484"/>
      <c r="Z171" s="485"/>
    </row>
    <row r="172" spans="1:26" x14ac:dyDescent="0.3">
      <c r="A172" s="18"/>
      <c r="B172" s="21"/>
      <c r="C172" s="21"/>
      <c r="D172" s="21"/>
      <c r="E172" s="21"/>
      <c r="F172" s="21"/>
      <c r="G172" s="21"/>
      <c r="H172" s="21"/>
      <c r="I172" s="21"/>
      <c r="J172" s="21"/>
      <c r="K172" s="21"/>
      <c r="L172" s="21"/>
      <c r="M172" s="21"/>
      <c r="N172" s="21"/>
      <c r="O172" s="20"/>
      <c r="Q172" s="484" t="s">
        <v>321</v>
      </c>
      <c r="R172" s="484"/>
      <c r="S172" s="484" t="s">
        <v>3085</v>
      </c>
      <c r="T172" s="484"/>
      <c r="U172" s="484"/>
      <c r="V172" s="484"/>
      <c r="W172" s="484"/>
      <c r="X172" s="484"/>
      <c r="Y172" s="484"/>
      <c r="Z172" s="485" t="s">
        <v>326</v>
      </c>
    </row>
    <row r="173" spans="1:26" x14ac:dyDescent="0.3">
      <c r="A173" s="18"/>
      <c r="B173" s="21"/>
      <c r="C173" s="21"/>
      <c r="D173" s="21"/>
      <c r="E173" s="21"/>
      <c r="F173" s="21"/>
      <c r="G173" s="21"/>
      <c r="H173" s="21"/>
      <c r="I173" s="21"/>
      <c r="J173" s="21"/>
      <c r="K173" s="21"/>
      <c r="L173" s="21"/>
      <c r="M173" s="21"/>
      <c r="N173" s="21"/>
      <c r="O173" s="20"/>
      <c r="Q173" s="484"/>
      <c r="R173" s="484"/>
      <c r="S173" s="484"/>
      <c r="T173" s="484"/>
      <c r="U173" s="484"/>
      <c r="V173" s="484"/>
      <c r="W173" s="484"/>
      <c r="X173" s="484"/>
      <c r="Y173" s="484"/>
      <c r="Z173" s="485"/>
    </row>
    <row r="174" spans="1:26" x14ac:dyDescent="0.3">
      <c r="A174" s="18"/>
      <c r="B174" s="21"/>
      <c r="C174" s="21"/>
      <c r="D174" s="21"/>
      <c r="E174" s="21"/>
      <c r="F174" s="21"/>
      <c r="G174" s="21"/>
      <c r="H174" s="21"/>
      <c r="I174" s="21"/>
      <c r="J174" s="21"/>
      <c r="K174" s="21"/>
      <c r="L174" s="21"/>
      <c r="M174" s="21"/>
      <c r="N174" s="21"/>
      <c r="O174" s="20"/>
      <c r="Q174" s="484"/>
      <c r="R174" s="484"/>
      <c r="S174" s="484"/>
      <c r="T174" s="484"/>
      <c r="U174" s="484"/>
      <c r="V174" s="484"/>
      <c r="W174" s="484"/>
      <c r="X174" s="484"/>
      <c r="Y174" s="484"/>
      <c r="Z174" s="485"/>
    </row>
    <row r="175" spans="1:26" x14ac:dyDescent="0.3">
      <c r="A175" s="18"/>
      <c r="B175" s="7" t="s">
        <v>3337</v>
      </c>
      <c r="C175" s="150" t="str" cm="1">
        <f t="array" ref="C175:D175">_xll.U.ALLOW_PUBLISH(TRUE)</f>
        <v>U.ALLOW_FAST_RESPONSE</v>
      </c>
      <c r="D175" s="30" t="b">
        <v>1</v>
      </c>
      <c r="E175" s="21"/>
      <c r="F175" s="21"/>
      <c r="G175" s="21"/>
      <c r="H175" s="21"/>
      <c r="I175" s="21"/>
      <c r="J175" s="21"/>
      <c r="K175" s="21"/>
      <c r="L175" s="21"/>
      <c r="M175" s="21"/>
      <c r="N175" s="21"/>
      <c r="O175" s="20"/>
      <c r="Q175" s="126" t="s">
        <v>328</v>
      </c>
    </row>
    <row r="176" spans="1:26" x14ac:dyDescent="0.3">
      <c r="A176" s="18"/>
      <c r="B176" s="21"/>
      <c r="C176" s="21"/>
      <c r="D176" s="21"/>
      <c r="E176" s="21"/>
      <c r="F176" s="21"/>
      <c r="G176" s="21"/>
      <c r="H176" s="21"/>
      <c r="I176" s="21"/>
      <c r="J176" s="21"/>
      <c r="K176" s="21"/>
      <c r="L176" s="21"/>
      <c r="M176" s="21"/>
      <c r="N176" s="21"/>
      <c r="O176" s="20"/>
    </row>
    <row r="177" spans="1:26" x14ac:dyDescent="0.3">
      <c r="A177" s="18"/>
      <c r="B177" s="21"/>
      <c r="C177" s="21"/>
      <c r="D177" s="21"/>
      <c r="E177" s="21"/>
      <c r="F177" s="21"/>
      <c r="G177" s="21"/>
      <c r="H177" s="21"/>
      <c r="I177" s="21"/>
      <c r="J177" s="21"/>
      <c r="K177" s="21"/>
      <c r="L177" s="21"/>
      <c r="M177" s="21"/>
      <c r="N177" s="21"/>
      <c r="O177" s="20"/>
    </row>
    <row r="178" spans="1:26" x14ac:dyDescent="0.3">
      <c r="A178" s="18"/>
      <c r="B178" s="21"/>
      <c r="C178" s="21"/>
      <c r="D178" s="21"/>
      <c r="E178" s="21"/>
      <c r="F178" s="21"/>
      <c r="G178" s="21"/>
      <c r="H178" s="21"/>
      <c r="I178" s="21"/>
      <c r="J178" s="21"/>
      <c r="K178" s="21"/>
      <c r="L178" s="21"/>
      <c r="M178" s="21"/>
      <c r="N178" s="21"/>
      <c r="O178" s="20"/>
      <c r="Q178" s="486" t="s">
        <v>3343</v>
      </c>
      <c r="R178" s="486"/>
      <c r="S178" s="486"/>
      <c r="T178" s="486"/>
      <c r="U178" s="486"/>
      <c r="V178" s="486"/>
      <c r="W178" s="486"/>
      <c r="X178" s="486"/>
      <c r="Y178" s="486"/>
      <c r="Z178" s="486"/>
    </row>
    <row r="179" spans="1:26" x14ac:dyDescent="0.3">
      <c r="A179" s="18"/>
      <c r="B179" s="21"/>
      <c r="C179" s="21"/>
      <c r="D179" s="21"/>
      <c r="E179" s="21"/>
      <c r="F179" s="21"/>
      <c r="G179" s="21"/>
      <c r="H179" s="21"/>
      <c r="I179" s="21"/>
      <c r="J179" s="21"/>
      <c r="K179" s="21"/>
      <c r="L179" s="21"/>
      <c r="M179" s="21"/>
      <c r="N179" s="21"/>
      <c r="O179" s="20"/>
      <c r="Q179" s="487" t="s">
        <v>333</v>
      </c>
      <c r="R179" s="487"/>
      <c r="S179" s="487" t="s">
        <v>3803</v>
      </c>
      <c r="T179" s="487"/>
      <c r="U179" s="487"/>
      <c r="V179" s="487"/>
      <c r="W179" s="487"/>
      <c r="X179" s="487"/>
      <c r="Y179" s="487"/>
      <c r="Z179" s="487"/>
    </row>
    <row r="180" spans="1:26" x14ac:dyDescent="0.3">
      <c r="A180" s="18"/>
      <c r="B180" s="21"/>
      <c r="C180" s="21"/>
      <c r="D180" s="21"/>
      <c r="E180" s="21"/>
      <c r="F180" s="21"/>
      <c r="G180" s="21"/>
      <c r="H180" s="21"/>
      <c r="I180" s="21"/>
      <c r="J180" s="21"/>
      <c r="K180" s="21"/>
      <c r="L180" s="21"/>
      <c r="M180" s="21"/>
      <c r="N180" s="21"/>
      <c r="O180" s="20"/>
      <c r="Q180" s="487"/>
      <c r="R180" s="487"/>
      <c r="S180" s="487"/>
      <c r="T180" s="487"/>
      <c r="U180" s="487"/>
      <c r="V180" s="487"/>
      <c r="W180" s="487"/>
      <c r="X180" s="487"/>
      <c r="Y180" s="487"/>
      <c r="Z180" s="487"/>
    </row>
    <row r="181" spans="1:26" x14ac:dyDescent="0.3">
      <c r="A181" s="18"/>
      <c r="B181" s="21"/>
      <c r="C181" s="21"/>
      <c r="D181" s="21"/>
      <c r="E181" s="21"/>
      <c r="F181" s="21"/>
      <c r="G181" s="21"/>
      <c r="H181" s="21"/>
      <c r="I181" s="21"/>
      <c r="J181" s="21"/>
      <c r="K181" s="21"/>
      <c r="L181" s="21"/>
      <c r="M181" s="21"/>
      <c r="N181" s="21"/>
      <c r="O181" s="20"/>
      <c r="Q181" s="487"/>
      <c r="R181" s="487"/>
      <c r="S181" s="487"/>
      <c r="T181" s="487"/>
      <c r="U181" s="487"/>
      <c r="V181" s="487"/>
      <c r="W181" s="487"/>
      <c r="X181" s="487"/>
      <c r="Y181" s="487"/>
      <c r="Z181" s="487"/>
    </row>
    <row r="182" spans="1:26" x14ac:dyDescent="0.3">
      <c r="A182" s="18"/>
      <c r="B182" s="21"/>
      <c r="C182" s="21"/>
      <c r="D182" s="21"/>
      <c r="E182" s="21"/>
      <c r="F182" s="21"/>
      <c r="G182" s="21"/>
      <c r="H182" s="21"/>
      <c r="I182" s="21"/>
      <c r="J182" s="21"/>
      <c r="K182" s="21"/>
      <c r="L182" s="21"/>
      <c r="M182" s="21"/>
      <c r="N182" s="21"/>
      <c r="O182" s="20"/>
      <c r="Q182" s="483" t="s">
        <v>323</v>
      </c>
      <c r="R182" s="483"/>
      <c r="S182" s="483" t="s">
        <v>1</v>
      </c>
      <c r="T182" s="483"/>
      <c r="U182" s="483"/>
      <c r="V182" s="483"/>
      <c r="W182" s="483"/>
      <c r="X182" s="483"/>
      <c r="Y182" s="483"/>
      <c r="Z182" s="85" t="s">
        <v>324</v>
      </c>
    </row>
    <row r="183" spans="1:26" x14ac:dyDescent="0.3">
      <c r="A183" s="490" t="s">
        <v>187</v>
      </c>
      <c r="B183" s="491"/>
      <c r="C183" s="491"/>
      <c r="D183" s="491"/>
      <c r="E183" s="491"/>
      <c r="F183" s="491"/>
      <c r="G183" s="491"/>
      <c r="H183" s="491"/>
      <c r="I183" s="491"/>
      <c r="J183" s="491"/>
      <c r="K183" s="491"/>
      <c r="L183" s="491"/>
      <c r="M183" s="491"/>
      <c r="N183" s="21"/>
      <c r="O183" s="20"/>
      <c r="Q183" s="484" t="s">
        <v>1200</v>
      </c>
      <c r="R183" s="484"/>
      <c r="S183" s="484" t="s">
        <v>1201</v>
      </c>
      <c r="T183" s="484"/>
      <c r="U183" s="484"/>
      <c r="V183" s="484"/>
      <c r="W183" s="484"/>
      <c r="X183" s="484"/>
      <c r="Y183" s="484"/>
      <c r="Z183" s="485" t="s">
        <v>326</v>
      </c>
    </row>
    <row r="184" spans="1:26" x14ac:dyDescent="0.3">
      <c r="A184" s="18"/>
      <c r="B184" s="21"/>
      <c r="C184" s="21"/>
      <c r="D184" s="21"/>
      <c r="E184" s="21"/>
      <c r="F184" s="21"/>
      <c r="G184" s="21"/>
      <c r="H184" s="21"/>
      <c r="I184" s="21"/>
      <c r="J184" s="21"/>
      <c r="K184" s="21"/>
      <c r="L184" s="21"/>
      <c r="M184" s="21"/>
      <c r="N184" s="21"/>
      <c r="O184" s="20"/>
      <c r="Q184" s="484"/>
      <c r="R184" s="484"/>
      <c r="S184" s="484"/>
      <c r="T184" s="484"/>
      <c r="U184" s="484"/>
      <c r="V184" s="484"/>
      <c r="W184" s="484"/>
      <c r="X184" s="484"/>
      <c r="Y184" s="484"/>
      <c r="Z184" s="485"/>
    </row>
    <row r="185" spans="1:26" x14ac:dyDescent="0.3">
      <c r="A185" s="18"/>
      <c r="B185" s="21"/>
      <c r="C185" s="21"/>
      <c r="D185" s="21"/>
      <c r="E185" s="21"/>
      <c r="F185" s="21"/>
      <c r="G185" s="21"/>
      <c r="H185" s="21"/>
      <c r="I185" s="21"/>
      <c r="J185" s="21"/>
      <c r="K185" s="21"/>
      <c r="L185" s="21"/>
      <c r="M185" s="21"/>
      <c r="N185" s="21"/>
      <c r="O185" s="20"/>
      <c r="Q185" s="484"/>
      <c r="R185" s="484"/>
      <c r="S185" s="484"/>
      <c r="T185" s="484"/>
      <c r="U185" s="484"/>
      <c r="V185" s="484"/>
      <c r="W185" s="484"/>
      <c r="X185" s="484"/>
      <c r="Y185" s="484"/>
      <c r="Z185" s="485"/>
    </row>
    <row r="186" spans="1:26" x14ac:dyDescent="0.3">
      <c r="A186" s="18"/>
      <c r="B186" s="21"/>
      <c r="C186" s="21"/>
      <c r="D186" s="21"/>
      <c r="E186" s="21"/>
      <c r="F186" s="21"/>
      <c r="G186" s="21"/>
      <c r="H186" s="21"/>
      <c r="I186" s="21"/>
      <c r="J186" s="21"/>
      <c r="K186" s="21"/>
      <c r="L186" s="21"/>
      <c r="M186" s="21"/>
      <c r="N186" s="21"/>
      <c r="O186" s="20"/>
      <c r="Q186" s="484" t="s">
        <v>321</v>
      </c>
      <c r="R186" s="484"/>
      <c r="S186" s="484" t="s">
        <v>3086</v>
      </c>
      <c r="T186" s="484"/>
      <c r="U186" s="484"/>
      <c r="V186" s="484"/>
      <c r="W186" s="484"/>
      <c r="X186" s="484"/>
      <c r="Y186" s="484"/>
      <c r="Z186" s="485" t="s">
        <v>326</v>
      </c>
    </row>
    <row r="187" spans="1:26" x14ac:dyDescent="0.3">
      <c r="A187" s="18"/>
      <c r="B187" s="492" t="s">
        <v>10</v>
      </c>
      <c r="C187" s="493"/>
      <c r="D187" s="21"/>
      <c r="E187" s="492" t="s">
        <v>3336</v>
      </c>
      <c r="F187" s="493"/>
      <c r="G187" s="21"/>
      <c r="H187" s="21"/>
      <c r="I187" s="21"/>
      <c r="J187" s="21"/>
      <c r="K187" s="21"/>
      <c r="L187" s="21"/>
      <c r="M187" s="21"/>
      <c r="N187" s="21"/>
      <c r="O187" s="20"/>
      <c r="Q187" s="484"/>
      <c r="R187" s="484"/>
      <c r="S187" s="484"/>
      <c r="T187" s="484"/>
      <c r="U187" s="484"/>
      <c r="V187" s="484"/>
      <c r="W187" s="484"/>
      <c r="X187" s="484"/>
      <c r="Y187" s="484"/>
      <c r="Z187" s="485"/>
    </row>
    <row r="188" spans="1:26" x14ac:dyDescent="0.3">
      <c r="A188" s="18"/>
      <c r="B188" s="3" t="s">
        <v>2</v>
      </c>
      <c r="C188" s="9" t="s">
        <v>8</v>
      </c>
      <c r="D188" s="21"/>
      <c r="E188" s="5" t="s">
        <v>11</v>
      </c>
      <c r="F188" s="42" t="s">
        <v>188</v>
      </c>
      <c r="G188" s="21"/>
      <c r="H188" s="21"/>
      <c r="I188" s="21"/>
      <c r="J188" s="21"/>
      <c r="K188" s="21"/>
      <c r="L188" s="21"/>
      <c r="M188" s="21"/>
      <c r="N188" s="21"/>
      <c r="O188" s="20"/>
      <c r="Q188" s="484"/>
      <c r="R188" s="484"/>
      <c r="S188" s="484"/>
      <c r="T188" s="484"/>
      <c r="U188" s="484"/>
      <c r="V188" s="484"/>
      <c r="W188" s="484"/>
      <c r="X188" s="484"/>
      <c r="Y188" s="484"/>
      <c r="Z188" s="485"/>
    </row>
    <row r="189" spans="1:26" x14ac:dyDescent="0.3">
      <c r="A189" s="18"/>
      <c r="B189" s="39" t="s">
        <v>3</v>
      </c>
      <c r="C189" s="40">
        <v>2500</v>
      </c>
      <c r="D189" s="21"/>
      <c r="E189" s="5" t="s">
        <v>12</v>
      </c>
      <c r="F189" s="42" t="s">
        <v>13</v>
      </c>
      <c r="G189" s="21"/>
      <c r="H189" s="21"/>
      <c r="I189" s="21"/>
      <c r="J189" s="21"/>
      <c r="K189" s="21"/>
      <c r="L189" s="21"/>
      <c r="M189" s="21"/>
      <c r="N189" s="21"/>
      <c r="O189" s="20"/>
      <c r="Q189" s="126" t="s">
        <v>328</v>
      </c>
    </row>
    <row r="190" spans="1:26" x14ac:dyDescent="0.3">
      <c r="A190" s="18"/>
      <c r="B190" s="39" t="s">
        <v>4</v>
      </c>
      <c r="C190" s="40">
        <v>-360</v>
      </c>
      <c r="D190" s="21"/>
      <c r="E190" s="7" t="s">
        <v>9</v>
      </c>
      <c r="F190" s="6" cm="1">
        <f t="array" ref="F190">_xll.U.PUBLISH(F188,F189,B188:C190,_xll.U.PUB_SNAPSHOT(,,B194:C196))</f>
        <v>46072.453056759259</v>
      </c>
      <c r="G190" s="21"/>
      <c r="H190" s="21"/>
      <c r="I190" s="21"/>
      <c r="J190" s="21"/>
      <c r="K190" s="21"/>
      <c r="L190" s="21"/>
      <c r="M190" s="21"/>
      <c r="N190" s="21"/>
      <c r="O190" s="20"/>
    </row>
    <row r="191" spans="1:26" x14ac:dyDescent="0.3">
      <c r="A191" s="18"/>
      <c r="B191" s="21"/>
      <c r="C191" s="21"/>
      <c r="D191" s="21"/>
      <c r="E191" s="21"/>
      <c r="F191" s="21"/>
      <c r="G191" s="21"/>
      <c r="H191" s="21"/>
      <c r="I191" s="21"/>
      <c r="J191" s="21"/>
      <c r="K191" s="21"/>
      <c r="L191" s="21"/>
      <c r="M191" s="21"/>
      <c r="N191" s="21"/>
      <c r="O191" s="20"/>
    </row>
    <row r="192" spans="1:26" x14ac:dyDescent="0.3">
      <c r="A192" s="18"/>
      <c r="B192" s="492" t="s">
        <v>15</v>
      </c>
      <c r="C192" s="493"/>
      <c r="D192" s="21"/>
      <c r="E192" s="492" t="s">
        <v>3336</v>
      </c>
      <c r="F192" s="493"/>
      <c r="G192" s="21"/>
      <c r="H192" s="21"/>
      <c r="I192" s="21"/>
      <c r="J192" s="21"/>
      <c r="K192" s="21"/>
      <c r="L192" s="21"/>
      <c r="M192" s="21"/>
      <c r="N192" s="21"/>
      <c r="O192" s="20"/>
      <c r="Q192" s="486" t="s">
        <v>3344</v>
      </c>
      <c r="R192" s="486"/>
      <c r="S192" s="486"/>
      <c r="T192" s="486"/>
      <c r="U192" s="486"/>
      <c r="V192" s="486"/>
      <c r="W192" s="486"/>
      <c r="X192" s="486"/>
      <c r="Y192" s="486"/>
      <c r="Z192" s="486"/>
    </row>
    <row r="193" spans="1:26" x14ac:dyDescent="0.3">
      <c r="A193" s="18"/>
      <c r="B193" s="3" t="s">
        <v>16</v>
      </c>
      <c r="C193" s="9" t="s">
        <v>17</v>
      </c>
      <c r="D193" s="21"/>
      <c r="E193" s="5" t="s">
        <v>11</v>
      </c>
      <c r="F193" s="42" t="s">
        <v>188</v>
      </c>
      <c r="G193" s="21"/>
      <c r="H193" s="21"/>
      <c r="I193" s="21"/>
      <c r="J193" s="21"/>
      <c r="K193" s="21"/>
      <c r="L193" s="21"/>
      <c r="M193" s="21"/>
      <c r="N193" s="21"/>
      <c r="O193" s="20"/>
      <c r="Q193" s="487" t="s">
        <v>333</v>
      </c>
      <c r="R193" s="487"/>
      <c r="S193" s="487" t="s">
        <v>3804</v>
      </c>
      <c r="T193" s="487"/>
      <c r="U193" s="487"/>
      <c r="V193" s="487"/>
      <c r="W193" s="487"/>
      <c r="X193" s="487"/>
      <c r="Y193" s="487"/>
      <c r="Z193" s="487"/>
    </row>
    <row r="194" spans="1:26" x14ac:dyDescent="0.3">
      <c r="A194" s="18"/>
      <c r="B194" s="39" t="s">
        <v>18</v>
      </c>
      <c r="C194" s="44" t="b">
        <v>0</v>
      </c>
      <c r="D194" s="21"/>
      <c r="E194" s="5" t="s">
        <v>12</v>
      </c>
      <c r="F194" s="42" t="s">
        <v>13</v>
      </c>
      <c r="G194" s="21"/>
      <c r="H194" s="21"/>
      <c r="I194" s="21"/>
      <c r="J194" s="21"/>
      <c r="K194" s="21"/>
      <c r="L194" s="21"/>
      <c r="M194" s="21"/>
      <c r="N194" s="21"/>
      <c r="O194" s="20"/>
      <c r="Q194" s="487"/>
      <c r="R194" s="487"/>
      <c r="S194" s="487"/>
      <c r="T194" s="487"/>
      <c r="U194" s="487"/>
      <c r="V194" s="487"/>
      <c r="W194" s="487"/>
      <c r="X194" s="487"/>
      <c r="Y194" s="487"/>
      <c r="Z194" s="487"/>
    </row>
    <row r="195" spans="1:26" x14ac:dyDescent="0.3">
      <c r="A195" s="18"/>
      <c r="B195" s="39" t="s">
        <v>22</v>
      </c>
      <c r="C195" s="44" t="b">
        <v>1</v>
      </c>
      <c r="D195" s="21"/>
      <c r="E195" s="5" t="s">
        <v>189</v>
      </c>
      <c r="F195" s="98">
        <v>0.66666666666666663</v>
      </c>
      <c r="G195" s="21"/>
      <c r="H195" s="21"/>
      <c r="I195" s="21"/>
      <c r="J195" s="21"/>
      <c r="K195" s="21"/>
      <c r="L195" s="21"/>
      <c r="M195" s="21"/>
      <c r="N195" s="21"/>
      <c r="O195" s="20"/>
      <c r="Q195" s="487"/>
      <c r="R195" s="487"/>
      <c r="S195" s="487"/>
      <c r="T195" s="487"/>
      <c r="U195" s="487"/>
      <c r="V195" s="487"/>
      <c r="W195" s="487"/>
      <c r="X195" s="487"/>
      <c r="Y195" s="487"/>
      <c r="Z195" s="487"/>
    </row>
    <row r="196" spans="1:26" x14ac:dyDescent="0.3">
      <c r="A196" s="18"/>
      <c r="B196" s="39" t="s">
        <v>19</v>
      </c>
      <c r="C196" s="44" t="s">
        <v>20</v>
      </c>
      <c r="D196" s="21"/>
      <c r="E196" s="5" t="s">
        <v>190</v>
      </c>
      <c r="F196" s="42">
        <v>1</v>
      </c>
      <c r="G196" s="21"/>
      <c r="H196" s="21"/>
      <c r="I196" s="21"/>
      <c r="J196" s="21"/>
      <c r="K196" s="21"/>
      <c r="L196" s="21"/>
      <c r="M196" s="21"/>
      <c r="N196" s="21"/>
      <c r="O196" s="20"/>
      <c r="Q196" s="483" t="s">
        <v>323</v>
      </c>
      <c r="R196" s="483"/>
      <c r="S196" s="483" t="s">
        <v>1</v>
      </c>
      <c r="T196" s="483"/>
      <c r="U196" s="483"/>
      <c r="V196" s="483"/>
      <c r="W196" s="483"/>
      <c r="X196" s="483"/>
      <c r="Y196" s="483"/>
      <c r="Z196" s="85" t="s">
        <v>324</v>
      </c>
    </row>
    <row r="197" spans="1:26" x14ac:dyDescent="0.3">
      <c r="A197" s="18"/>
      <c r="B197" s="21"/>
      <c r="C197" s="21"/>
      <c r="D197" s="21"/>
      <c r="E197" s="7" t="s">
        <v>9</v>
      </c>
      <c r="F197" s="6" cm="1">
        <f t="array" ref="F197">_xll.U.PUBLISH(F193,F194,B188:C190,_xll.U.PUB_SNAPSHOT(F195,F196,B194:C196))</f>
        <v>46072.453053472222</v>
      </c>
      <c r="G197" s="21"/>
      <c r="H197" s="21"/>
      <c r="I197" s="21"/>
      <c r="J197" s="21"/>
      <c r="K197" s="21"/>
      <c r="L197" s="21"/>
      <c r="M197" s="21"/>
      <c r="N197" s="21"/>
      <c r="O197" s="20"/>
      <c r="Q197" s="484" t="s">
        <v>949</v>
      </c>
      <c r="R197" s="484"/>
      <c r="S197" s="484" t="s">
        <v>3345</v>
      </c>
      <c r="T197" s="484"/>
      <c r="U197" s="484"/>
      <c r="V197" s="484"/>
      <c r="W197" s="484"/>
      <c r="X197" s="484"/>
      <c r="Y197" s="484"/>
      <c r="Z197" s="485" t="s">
        <v>326</v>
      </c>
    </row>
    <row r="198" spans="1:26" x14ac:dyDescent="0.3">
      <c r="A198" s="18"/>
      <c r="B198" s="21"/>
      <c r="C198" s="21"/>
      <c r="D198" s="21"/>
      <c r="E198" s="21"/>
      <c r="F198" s="21"/>
      <c r="G198" s="21"/>
      <c r="H198" s="21"/>
      <c r="I198" s="21"/>
      <c r="J198" s="21"/>
      <c r="K198" s="21"/>
      <c r="L198" s="21"/>
      <c r="M198" s="21"/>
      <c r="N198" s="21"/>
      <c r="O198" s="20"/>
      <c r="Q198" s="484"/>
      <c r="R198" s="484"/>
      <c r="S198" s="484"/>
      <c r="T198" s="484"/>
      <c r="U198" s="484"/>
      <c r="V198" s="484"/>
      <c r="W198" s="484"/>
      <c r="X198" s="484"/>
      <c r="Y198" s="484"/>
      <c r="Z198" s="485"/>
    </row>
    <row r="199" spans="1:26" x14ac:dyDescent="0.3">
      <c r="A199" s="18"/>
      <c r="B199" s="21"/>
      <c r="C199" s="21"/>
      <c r="D199" s="21"/>
      <c r="E199" s="21"/>
      <c r="F199" s="21"/>
      <c r="G199" s="21"/>
      <c r="H199" s="21"/>
      <c r="I199" s="21"/>
      <c r="J199" s="21"/>
      <c r="K199" s="21"/>
      <c r="L199" s="21"/>
      <c r="M199" s="21"/>
      <c r="N199" s="21"/>
      <c r="O199" s="20"/>
      <c r="Q199" s="484"/>
      <c r="R199" s="484"/>
      <c r="S199" s="484"/>
      <c r="T199" s="484"/>
      <c r="U199" s="484"/>
      <c r="V199" s="484"/>
      <c r="W199" s="484"/>
      <c r="X199" s="484"/>
      <c r="Y199" s="484"/>
      <c r="Z199" s="485"/>
    </row>
    <row r="200" spans="1:26" x14ac:dyDescent="0.3">
      <c r="A200" s="18"/>
      <c r="B200" s="21"/>
      <c r="C200" s="21"/>
      <c r="D200" s="21"/>
      <c r="E200" s="21"/>
      <c r="F200" s="21"/>
      <c r="G200" s="21"/>
      <c r="H200" s="21"/>
      <c r="I200" s="21"/>
      <c r="J200" s="21"/>
      <c r="K200" s="21"/>
      <c r="L200" s="21"/>
      <c r="M200" s="21"/>
      <c r="N200" s="21"/>
      <c r="O200" s="20"/>
      <c r="Q200" s="484" t="s">
        <v>1199</v>
      </c>
      <c r="R200" s="484"/>
      <c r="S200" s="484" t="s">
        <v>1208</v>
      </c>
      <c r="T200" s="484"/>
      <c r="U200" s="484"/>
      <c r="V200" s="484"/>
      <c r="W200" s="484"/>
      <c r="X200" s="484"/>
      <c r="Y200" s="484"/>
      <c r="Z200" s="485" t="s">
        <v>326</v>
      </c>
    </row>
    <row r="201" spans="1:26" x14ac:dyDescent="0.3">
      <c r="A201" s="18"/>
      <c r="B201" s="21"/>
      <c r="C201" s="21"/>
      <c r="D201" s="21"/>
      <c r="E201" s="21"/>
      <c r="F201" s="21"/>
      <c r="G201" s="21"/>
      <c r="H201" s="21"/>
      <c r="I201" s="21"/>
      <c r="J201" s="21"/>
      <c r="K201" s="21"/>
      <c r="L201" s="21"/>
      <c r="M201" s="21"/>
      <c r="N201" s="21"/>
      <c r="O201" s="20"/>
      <c r="Q201" s="484"/>
      <c r="R201" s="484"/>
      <c r="S201" s="484"/>
      <c r="T201" s="484"/>
      <c r="U201" s="484"/>
      <c r="V201" s="484"/>
      <c r="W201" s="484"/>
      <c r="X201" s="484"/>
      <c r="Y201" s="484"/>
      <c r="Z201" s="485"/>
    </row>
    <row r="202" spans="1:26" x14ac:dyDescent="0.3">
      <c r="A202" s="18"/>
      <c r="B202" s="21"/>
      <c r="C202" s="21"/>
      <c r="D202" s="21"/>
      <c r="E202" s="21"/>
      <c r="F202" s="21"/>
      <c r="G202" s="21"/>
      <c r="H202" s="21"/>
      <c r="I202" s="21"/>
      <c r="J202" s="21"/>
      <c r="K202" s="21"/>
      <c r="L202" s="21"/>
      <c r="M202" s="21"/>
      <c r="N202" s="21"/>
      <c r="O202" s="20"/>
      <c r="Q202" s="484"/>
      <c r="R202" s="484"/>
      <c r="S202" s="484"/>
      <c r="T202" s="484"/>
      <c r="U202" s="484"/>
      <c r="V202" s="484"/>
      <c r="W202" s="484"/>
      <c r="X202" s="484"/>
      <c r="Y202" s="484"/>
      <c r="Z202" s="485"/>
    </row>
    <row r="203" spans="1:26" x14ac:dyDescent="0.3">
      <c r="A203" s="18"/>
      <c r="B203" s="21"/>
      <c r="C203" s="21"/>
      <c r="D203" s="21"/>
      <c r="E203" s="21"/>
      <c r="F203" s="21"/>
      <c r="G203" s="21"/>
      <c r="H203" s="21"/>
      <c r="I203" s="21"/>
      <c r="J203" s="21"/>
      <c r="K203" s="21"/>
      <c r="L203" s="21"/>
      <c r="M203" s="21"/>
      <c r="N203" s="21"/>
      <c r="O203" s="20"/>
      <c r="Q203" s="484" t="s">
        <v>950</v>
      </c>
      <c r="R203" s="484"/>
      <c r="S203" s="484" t="s">
        <v>3635</v>
      </c>
      <c r="T203" s="484"/>
      <c r="U203" s="484"/>
      <c r="V203" s="484"/>
      <c r="W203" s="484"/>
      <c r="X203" s="484"/>
      <c r="Y203" s="484"/>
      <c r="Z203" s="485" t="s">
        <v>326</v>
      </c>
    </row>
    <row r="204" spans="1:26" x14ac:dyDescent="0.3">
      <c r="A204" s="18"/>
      <c r="B204" s="21"/>
      <c r="C204" s="21"/>
      <c r="D204" s="21"/>
      <c r="E204" s="21"/>
      <c r="F204" s="21"/>
      <c r="G204" s="21"/>
      <c r="H204" s="21"/>
      <c r="I204" s="21"/>
      <c r="J204" s="21"/>
      <c r="K204" s="21"/>
      <c r="L204" s="21"/>
      <c r="M204" s="21"/>
      <c r="N204" s="21"/>
      <c r="O204" s="20"/>
      <c r="Q204" s="484"/>
      <c r="R204" s="484"/>
      <c r="S204" s="484"/>
      <c r="T204" s="484"/>
      <c r="U204" s="484"/>
      <c r="V204" s="484"/>
      <c r="W204" s="484"/>
      <c r="X204" s="484"/>
      <c r="Y204" s="484"/>
      <c r="Z204" s="485"/>
    </row>
    <row r="205" spans="1:26" x14ac:dyDescent="0.3">
      <c r="A205" s="18"/>
      <c r="B205" s="21"/>
      <c r="C205" s="21"/>
      <c r="D205" s="21"/>
      <c r="E205" s="21"/>
      <c r="F205" s="21"/>
      <c r="G205" s="21"/>
      <c r="H205" s="21"/>
      <c r="I205" s="21"/>
      <c r="J205" s="21"/>
      <c r="K205" s="21"/>
      <c r="L205" s="21"/>
      <c r="M205" s="21"/>
      <c r="N205" s="21"/>
      <c r="O205" s="20"/>
      <c r="Q205" s="484"/>
      <c r="R205" s="484"/>
      <c r="S205" s="484"/>
      <c r="T205" s="484"/>
      <c r="U205" s="484"/>
      <c r="V205" s="484"/>
      <c r="W205" s="484"/>
      <c r="X205" s="484"/>
      <c r="Y205" s="484"/>
      <c r="Z205" s="485"/>
    </row>
    <row r="206" spans="1:26" x14ac:dyDescent="0.3">
      <c r="A206" s="18"/>
      <c r="B206" s="21"/>
      <c r="C206" s="21"/>
      <c r="D206" s="21"/>
      <c r="E206" s="21"/>
      <c r="F206" s="21"/>
      <c r="G206" s="21"/>
      <c r="H206" s="21"/>
      <c r="I206" s="21"/>
      <c r="J206" s="21"/>
      <c r="K206" s="21"/>
      <c r="L206" s="21"/>
      <c r="M206" s="21"/>
      <c r="N206" s="21"/>
      <c r="O206" s="20"/>
      <c r="Q206" s="126" t="s">
        <v>328</v>
      </c>
    </row>
    <row r="207" spans="1:26" x14ac:dyDescent="0.3">
      <c r="A207" s="18"/>
      <c r="B207" s="21"/>
      <c r="C207" s="21"/>
      <c r="D207" s="21"/>
      <c r="E207" s="21"/>
      <c r="F207" s="21"/>
      <c r="G207" s="21"/>
      <c r="H207" s="21"/>
      <c r="I207" s="21"/>
      <c r="J207" s="21"/>
      <c r="K207" s="21"/>
      <c r="L207" s="21"/>
      <c r="M207" s="21"/>
      <c r="N207" s="21"/>
      <c r="O207" s="20"/>
    </row>
    <row r="208" spans="1:26" x14ac:dyDescent="0.3">
      <c r="A208" s="18"/>
      <c r="B208" s="21"/>
      <c r="C208" s="21"/>
      <c r="D208" s="21"/>
      <c r="E208" s="21"/>
      <c r="F208" s="21"/>
      <c r="G208" s="21"/>
      <c r="H208" s="21"/>
      <c r="I208" s="21"/>
      <c r="J208" s="21"/>
      <c r="K208" s="21"/>
      <c r="L208" s="21"/>
      <c r="M208" s="21"/>
      <c r="N208" s="21"/>
      <c r="O208" s="20"/>
    </row>
    <row r="209" spans="1:26" x14ac:dyDescent="0.3">
      <c r="A209" s="490" t="s">
        <v>817</v>
      </c>
      <c r="B209" s="491"/>
      <c r="C209" s="491"/>
      <c r="D209" s="491"/>
      <c r="E209" s="491"/>
      <c r="F209" s="491"/>
      <c r="G209" s="491"/>
      <c r="H209" s="491"/>
      <c r="I209" s="491"/>
      <c r="J209" s="491"/>
      <c r="K209" s="491"/>
      <c r="L209" s="491"/>
      <c r="M209" s="491"/>
      <c r="N209" s="21"/>
      <c r="O209" s="20"/>
      <c r="Q209" s="486" t="s">
        <v>3346</v>
      </c>
      <c r="R209" s="486"/>
      <c r="S209" s="486"/>
      <c r="T209" s="486"/>
      <c r="U209" s="486"/>
      <c r="V209" s="486"/>
      <c r="W209" s="486"/>
      <c r="X209" s="486"/>
      <c r="Y209" s="486"/>
      <c r="Z209" s="486"/>
    </row>
    <row r="210" spans="1:26" x14ac:dyDescent="0.3">
      <c r="A210" s="18"/>
      <c r="B210" s="21"/>
      <c r="C210" s="21"/>
      <c r="D210" s="21"/>
      <c r="E210" s="21"/>
      <c r="F210" s="21"/>
      <c r="G210" s="21"/>
      <c r="H210" s="21"/>
      <c r="I210" s="21"/>
      <c r="J210" s="21"/>
      <c r="K210" s="21"/>
      <c r="L210" s="21"/>
      <c r="M210" s="21"/>
      <c r="N210" s="21"/>
      <c r="O210" s="20"/>
      <c r="Q210" s="487" t="s">
        <v>333</v>
      </c>
      <c r="R210" s="487"/>
      <c r="S210" s="487" t="s">
        <v>3805</v>
      </c>
      <c r="T210" s="487"/>
      <c r="U210" s="487"/>
      <c r="V210" s="487"/>
      <c r="W210" s="487"/>
      <c r="X210" s="487"/>
      <c r="Y210" s="487"/>
      <c r="Z210" s="487"/>
    </row>
    <row r="211" spans="1:26" x14ac:dyDescent="0.3">
      <c r="A211" s="18"/>
      <c r="B211" s="101" t="s">
        <v>3339</v>
      </c>
      <c r="C211" s="21"/>
      <c r="D211" s="21"/>
      <c r="E211" s="492" t="s">
        <v>3328</v>
      </c>
      <c r="F211" s="493"/>
      <c r="G211" s="21"/>
      <c r="H211" s="21"/>
      <c r="I211" s="21"/>
      <c r="J211" s="21"/>
      <c r="K211" s="21"/>
      <c r="L211" s="21"/>
      <c r="M211" s="21"/>
      <c r="N211" s="21"/>
      <c r="O211" s="20"/>
      <c r="Q211" s="487"/>
      <c r="R211" s="487"/>
      <c r="S211" s="487"/>
      <c r="T211" s="487"/>
      <c r="U211" s="487"/>
      <c r="V211" s="487"/>
      <c r="W211" s="487"/>
      <c r="X211" s="487"/>
      <c r="Y211" s="487"/>
      <c r="Z211" s="487"/>
    </row>
    <row r="212" spans="1:26" x14ac:dyDescent="0.3">
      <c r="A212" s="18"/>
      <c r="B212" s="3" t="s">
        <v>16</v>
      </c>
      <c r="C212" s="21"/>
      <c r="D212" s="21"/>
      <c r="E212" s="5" t="s">
        <v>11</v>
      </c>
      <c r="F212" s="42" t="s">
        <v>818</v>
      </c>
      <c r="G212" s="21"/>
      <c r="H212" s="21"/>
      <c r="I212" s="21"/>
      <c r="J212" s="21"/>
      <c r="K212" s="21"/>
      <c r="L212" s="21"/>
      <c r="M212" s="21"/>
      <c r="N212" s="21"/>
      <c r="O212" s="20"/>
      <c r="Q212" s="487"/>
      <c r="R212" s="487"/>
      <c r="S212" s="487"/>
      <c r="T212" s="487"/>
      <c r="U212" s="487"/>
      <c r="V212" s="487"/>
      <c r="W212" s="487"/>
      <c r="X212" s="487"/>
      <c r="Y212" s="487"/>
      <c r="Z212" s="487"/>
    </row>
    <row r="213" spans="1:26" x14ac:dyDescent="0.3">
      <c r="A213" s="18"/>
      <c r="B213" s="1" t="str" cm="1">
        <f t="array" ref="B213">_xll.U.DELETE_REPORT()</f>
        <v>U.DELETE_REPORT</v>
      </c>
      <c r="C213" s="21"/>
      <c r="D213" s="21"/>
      <c r="E213" s="5" t="s">
        <v>12</v>
      </c>
      <c r="F213" s="42" t="s">
        <v>819</v>
      </c>
      <c r="G213" s="21"/>
      <c r="H213" s="21"/>
      <c r="I213" s="21"/>
      <c r="J213" s="21"/>
      <c r="K213" s="21"/>
      <c r="L213" s="21"/>
      <c r="M213" s="21"/>
      <c r="N213" s="21"/>
      <c r="O213" s="20"/>
      <c r="Q213" s="483" t="s">
        <v>323</v>
      </c>
      <c r="R213" s="483"/>
      <c r="S213" s="483" t="s">
        <v>1</v>
      </c>
      <c r="T213" s="483"/>
      <c r="U213" s="483"/>
      <c r="V213" s="483"/>
      <c r="W213" s="483"/>
      <c r="X213" s="483"/>
      <c r="Y213" s="483"/>
      <c r="Z213" s="85" t="s">
        <v>324</v>
      </c>
    </row>
    <row r="214" spans="1:26" x14ac:dyDescent="0.3">
      <c r="A214" s="18"/>
      <c r="B214" s="21"/>
      <c r="C214" s="21"/>
      <c r="D214" s="21"/>
      <c r="E214" s="7" t="s">
        <v>820</v>
      </c>
      <c r="F214" s="178" cm="1">
        <f t="array" ref="F214">_xll.U.PUBLISH(F212,F213,,B213)</f>
        <v>46072.453154479168</v>
      </c>
      <c r="G214" s="21"/>
      <c r="H214" s="21"/>
      <c r="I214" s="21"/>
      <c r="J214" s="21"/>
      <c r="K214" s="21"/>
      <c r="L214" s="21"/>
      <c r="M214" s="21"/>
      <c r="N214" s="21"/>
      <c r="O214" s="20"/>
      <c r="Q214" s="484" t="s">
        <v>949</v>
      </c>
      <c r="R214" s="484"/>
      <c r="S214" s="484" t="s">
        <v>3347</v>
      </c>
      <c r="T214" s="484"/>
      <c r="U214" s="484"/>
      <c r="V214" s="484"/>
      <c r="W214" s="484"/>
      <c r="X214" s="484"/>
      <c r="Y214" s="484"/>
      <c r="Z214" s="485" t="s">
        <v>326</v>
      </c>
    </row>
    <row r="215" spans="1:26" x14ac:dyDescent="0.3">
      <c r="A215" s="18"/>
      <c r="B215" s="21"/>
      <c r="C215" s="21"/>
      <c r="D215" s="21"/>
      <c r="E215" s="21"/>
      <c r="F215" s="21"/>
      <c r="G215" s="21"/>
      <c r="H215" s="21"/>
      <c r="I215" s="21"/>
      <c r="J215" s="21"/>
      <c r="K215" s="21"/>
      <c r="L215" s="21"/>
      <c r="M215" s="21"/>
      <c r="N215" s="21"/>
      <c r="O215" s="20"/>
      <c r="Q215" s="484"/>
      <c r="R215" s="484"/>
      <c r="S215" s="484"/>
      <c r="T215" s="484"/>
      <c r="U215" s="484"/>
      <c r="V215" s="484"/>
      <c r="W215" s="484"/>
      <c r="X215" s="484"/>
      <c r="Y215" s="484"/>
      <c r="Z215" s="485"/>
    </row>
    <row r="216" spans="1:26" x14ac:dyDescent="0.3">
      <c r="A216" s="18"/>
      <c r="B216" s="21"/>
      <c r="C216" s="21"/>
      <c r="D216" s="21"/>
      <c r="E216" s="21"/>
      <c r="F216" s="21"/>
      <c r="G216" s="21"/>
      <c r="H216" s="21"/>
      <c r="I216" s="21"/>
      <c r="J216" s="21"/>
      <c r="K216" s="21"/>
      <c r="L216" s="21"/>
      <c r="M216" s="21"/>
      <c r="N216" s="21"/>
      <c r="O216" s="20"/>
      <c r="Q216" s="484"/>
      <c r="R216" s="484"/>
      <c r="S216" s="484"/>
      <c r="T216" s="484"/>
      <c r="U216" s="484"/>
      <c r="V216" s="484"/>
      <c r="W216" s="484"/>
      <c r="X216" s="484"/>
      <c r="Y216" s="484"/>
      <c r="Z216" s="485"/>
    </row>
    <row r="217" spans="1:26" x14ac:dyDescent="0.3">
      <c r="A217" s="18"/>
      <c r="B217" s="21"/>
      <c r="C217" s="21"/>
      <c r="D217" s="21"/>
      <c r="E217" s="21"/>
      <c r="F217" s="21"/>
      <c r="G217" s="21"/>
      <c r="H217" s="21"/>
      <c r="I217" s="21"/>
      <c r="J217" s="21"/>
      <c r="K217" s="21"/>
      <c r="L217" s="21"/>
      <c r="M217" s="21"/>
      <c r="N217" s="21"/>
      <c r="O217" s="20"/>
      <c r="Q217" s="484" t="s">
        <v>1199</v>
      </c>
      <c r="R217" s="484"/>
      <c r="S217" s="484" t="s">
        <v>1208</v>
      </c>
      <c r="T217" s="484"/>
      <c r="U217" s="484"/>
      <c r="V217" s="484"/>
      <c r="W217" s="484"/>
      <c r="X217" s="484"/>
      <c r="Y217" s="484"/>
      <c r="Z217" s="485" t="s">
        <v>326</v>
      </c>
    </row>
    <row r="218" spans="1:26" x14ac:dyDescent="0.3">
      <c r="A218" s="18"/>
      <c r="B218" s="21"/>
      <c r="C218" s="21"/>
      <c r="D218" s="21"/>
      <c r="E218" s="21"/>
      <c r="F218" s="21"/>
      <c r="G218" s="21"/>
      <c r="H218" s="21"/>
      <c r="I218" s="21"/>
      <c r="J218" s="21"/>
      <c r="K218" s="21"/>
      <c r="L218" s="21"/>
      <c r="M218" s="21"/>
      <c r="N218" s="21"/>
      <c r="O218" s="20"/>
      <c r="Q218" s="484"/>
      <c r="R218" s="484"/>
      <c r="S218" s="484"/>
      <c r="T218" s="484"/>
      <c r="U218" s="484"/>
      <c r="V218" s="484"/>
      <c r="W218" s="484"/>
      <c r="X218" s="484"/>
      <c r="Y218" s="484"/>
      <c r="Z218" s="485"/>
    </row>
    <row r="219" spans="1:26" x14ac:dyDescent="0.3">
      <c r="A219" s="18"/>
      <c r="B219" s="21"/>
      <c r="C219" s="21"/>
      <c r="D219" s="21"/>
      <c r="E219" s="21"/>
      <c r="F219" s="21"/>
      <c r="G219" s="21"/>
      <c r="H219" s="21"/>
      <c r="I219" s="21"/>
      <c r="J219" s="21"/>
      <c r="K219" s="21"/>
      <c r="L219" s="21"/>
      <c r="M219" s="21"/>
      <c r="N219" s="21"/>
      <c r="O219" s="20"/>
      <c r="Q219" s="484"/>
      <c r="R219" s="484"/>
      <c r="S219" s="484"/>
      <c r="T219" s="484"/>
      <c r="U219" s="484"/>
      <c r="V219" s="484"/>
      <c r="W219" s="484"/>
      <c r="X219" s="484"/>
      <c r="Y219" s="484"/>
      <c r="Z219" s="485"/>
    </row>
    <row r="220" spans="1:26" x14ac:dyDescent="0.3">
      <c r="A220" s="18"/>
      <c r="B220" s="21"/>
      <c r="C220" s="21"/>
      <c r="D220" s="21"/>
      <c r="E220" s="21"/>
      <c r="F220" s="21"/>
      <c r="G220" s="21"/>
      <c r="H220" s="21"/>
      <c r="I220" s="21"/>
      <c r="J220" s="21"/>
      <c r="K220" s="21"/>
      <c r="L220" s="21"/>
      <c r="M220" s="21"/>
      <c r="N220" s="21"/>
      <c r="O220" s="20"/>
      <c r="Q220" s="484" t="s">
        <v>950</v>
      </c>
      <c r="R220" s="484"/>
      <c r="S220" s="484" t="s">
        <v>3636</v>
      </c>
      <c r="T220" s="484"/>
      <c r="U220" s="484"/>
      <c r="V220" s="484"/>
      <c r="W220" s="484"/>
      <c r="X220" s="484"/>
      <c r="Y220" s="484"/>
      <c r="Z220" s="485" t="s">
        <v>326</v>
      </c>
    </row>
    <row r="221" spans="1:26" x14ac:dyDescent="0.3">
      <c r="A221" s="18"/>
      <c r="B221" s="21"/>
      <c r="C221" s="21"/>
      <c r="D221" s="21"/>
      <c r="E221" s="21"/>
      <c r="F221" s="21"/>
      <c r="G221" s="21"/>
      <c r="H221" s="21"/>
      <c r="I221" s="21"/>
      <c r="J221" s="21"/>
      <c r="K221" s="21"/>
      <c r="L221" s="21"/>
      <c r="M221" s="21"/>
      <c r="N221" s="21"/>
      <c r="O221" s="20"/>
      <c r="Q221" s="484"/>
      <c r="R221" s="484"/>
      <c r="S221" s="484"/>
      <c r="T221" s="484"/>
      <c r="U221" s="484"/>
      <c r="V221" s="484"/>
      <c r="W221" s="484"/>
      <c r="X221" s="484"/>
      <c r="Y221" s="484"/>
      <c r="Z221" s="485"/>
    </row>
    <row r="222" spans="1:26" x14ac:dyDescent="0.3">
      <c r="A222" s="18"/>
      <c r="B222" s="21"/>
      <c r="C222" s="21"/>
      <c r="D222" s="21"/>
      <c r="E222" s="21"/>
      <c r="F222" s="21"/>
      <c r="G222" s="21"/>
      <c r="H222" s="21"/>
      <c r="I222" s="21"/>
      <c r="J222" s="21"/>
      <c r="K222" s="21"/>
      <c r="L222" s="21"/>
      <c r="M222" s="21"/>
      <c r="N222" s="21"/>
      <c r="O222" s="20"/>
      <c r="Q222" s="484"/>
      <c r="R222" s="484"/>
      <c r="S222" s="484"/>
      <c r="T222" s="484"/>
      <c r="U222" s="484"/>
      <c r="V222" s="484"/>
      <c r="W222" s="484"/>
      <c r="X222" s="484"/>
      <c r="Y222" s="484"/>
      <c r="Z222" s="485"/>
    </row>
    <row r="223" spans="1:26" x14ac:dyDescent="0.3">
      <c r="A223" s="490" t="s">
        <v>1004</v>
      </c>
      <c r="B223" s="491"/>
      <c r="C223" s="491"/>
      <c r="D223" s="491"/>
      <c r="E223" s="491"/>
      <c r="F223" s="491"/>
      <c r="G223" s="491"/>
      <c r="H223" s="491"/>
      <c r="I223" s="491"/>
      <c r="J223" s="491"/>
      <c r="K223" s="491"/>
      <c r="L223" s="491"/>
      <c r="M223" s="491"/>
      <c r="N223" s="21"/>
      <c r="O223" s="20"/>
      <c r="Q223" s="126" t="s">
        <v>328</v>
      </c>
    </row>
    <row r="224" spans="1:26" x14ac:dyDescent="0.3">
      <c r="A224" s="18"/>
      <c r="B224" s="21"/>
      <c r="C224" s="21"/>
      <c r="D224" s="21"/>
      <c r="E224" s="21"/>
      <c r="F224" s="21"/>
      <c r="G224" s="21"/>
      <c r="H224" s="21"/>
      <c r="I224" s="21"/>
      <c r="J224" s="21"/>
      <c r="K224" s="21"/>
      <c r="L224" s="21"/>
      <c r="M224" s="21"/>
      <c r="N224" s="21"/>
      <c r="O224" s="20"/>
    </row>
    <row r="225" spans="1:26" x14ac:dyDescent="0.3">
      <c r="A225" s="18"/>
      <c r="B225" s="3" t="s">
        <v>1005</v>
      </c>
      <c r="C225" s="21"/>
      <c r="D225" s="21"/>
      <c r="E225" s="492" t="s">
        <v>3328</v>
      </c>
      <c r="F225" s="493"/>
      <c r="G225" s="21"/>
      <c r="H225" s="21"/>
      <c r="I225" s="21"/>
      <c r="J225" s="21"/>
      <c r="K225" s="21"/>
      <c r="L225" s="21"/>
      <c r="M225" s="21"/>
      <c r="N225" s="21"/>
      <c r="O225" s="20"/>
    </row>
    <row r="226" spans="1:26" x14ac:dyDescent="0.3">
      <c r="A226" s="18"/>
      <c r="B226" s="30">
        <f>6/7</f>
        <v>0.8571428571428571</v>
      </c>
      <c r="C226" s="21"/>
      <c r="D226" s="21"/>
      <c r="E226" s="192" t="s">
        <v>11</v>
      </c>
      <c r="F226" s="42" t="s">
        <v>1006</v>
      </c>
      <c r="G226" s="21"/>
      <c r="H226" s="21"/>
      <c r="I226" s="21"/>
      <c r="J226" s="21"/>
      <c r="K226" s="21"/>
      <c r="L226" s="21"/>
      <c r="M226" s="21"/>
      <c r="N226" s="21"/>
      <c r="O226" s="20"/>
      <c r="Q226" s="486" t="s">
        <v>3348</v>
      </c>
      <c r="R226" s="486"/>
      <c r="S226" s="486"/>
      <c r="T226" s="486"/>
      <c r="U226" s="486"/>
      <c r="V226" s="486"/>
      <c r="W226" s="486"/>
      <c r="X226" s="486"/>
      <c r="Y226" s="486"/>
      <c r="Z226" s="486"/>
    </row>
    <row r="227" spans="1:26" x14ac:dyDescent="0.3">
      <c r="A227" s="18"/>
      <c r="B227" s="30">
        <f>5/7</f>
        <v>0.7142857142857143</v>
      </c>
      <c r="C227" s="21"/>
      <c r="D227" s="21"/>
      <c r="E227" s="192" t="s">
        <v>12</v>
      </c>
      <c r="F227" s="42" t="s">
        <v>1007</v>
      </c>
      <c r="G227" s="21"/>
      <c r="H227" s="21"/>
      <c r="I227" s="21"/>
      <c r="J227" s="21"/>
      <c r="K227" s="21"/>
      <c r="L227" s="21"/>
      <c r="M227" s="21"/>
      <c r="N227" s="21"/>
      <c r="O227" s="20"/>
      <c r="Q227" s="487" t="s">
        <v>333</v>
      </c>
      <c r="R227" s="487"/>
      <c r="S227" s="487" t="s">
        <v>3806</v>
      </c>
      <c r="T227" s="487"/>
      <c r="U227" s="487"/>
      <c r="V227" s="487"/>
      <c r="W227" s="487"/>
      <c r="X227" s="487"/>
      <c r="Y227" s="487"/>
      <c r="Z227" s="487"/>
    </row>
    <row r="228" spans="1:26" x14ac:dyDescent="0.3">
      <c r="A228" s="18"/>
      <c r="B228" s="30">
        <f>1/3</f>
        <v>0.33333333333333331</v>
      </c>
      <c r="C228" s="21"/>
      <c r="D228" s="21"/>
      <c r="E228" s="193" t="s">
        <v>122</v>
      </c>
      <c r="F228" s="194" t="s">
        <v>3349</v>
      </c>
      <c r="G228" s="21"/>
      <c r="H228" s="21"/>
      <c r="I228" s="21"/>
      <c r="J228" s="21"/>
      <c r="K228" s="21"/>
      <c r="L228" s="21"/>
      <c r="M228" s="21"/>
      <c r="N228" s="21"/>
      <c r="O228" s="20"/>
      <c r="Q228" s="487"/>
      <c r="R228" s="487"/>
      <c r="S228" s="487"/>
      <c r="T228" s="487"/>
      <c r="U228" s="487"/>
      <c r="V228" s="487"/>
      <c r="W228" s="487"/>
      <c r="X228" s="487"/>
      <c r="Y228" s="487"/>
      <c r="Z228" s="487"/>
    </row>
    <row r="229" spans="1:26" x14ac:dyDescent="0.3">
      <c r="A229" s="18"/>
      <c r="B229" s="21"/>
      <c r="C229" s="21"/>
      <c r="D229" s="21"/>
      <c r="E229" s="21"/>
      <c r="F229" s="21"/>
      <c r="G229" s="21"/>
      <c r="H229" s="21"/>
      <c r="I229" s="21"/>
      <c r="J229" s="21"/>
      <c r="K229" s="21"/>
      <c r="L229" s="21"/>
      <c r="M229" s="21"/>
      <c r="N229" s="21"/>
      <c r="O229" s="20"/>
      <c r="Q229" s="487"/>
      <c r="R229" s="487"/>
      <c r="S229" s="487"/>
      <c r="T229" s="487"/>
      <c r="U229" s="487"/>
      <c r="V229" s="487"/>
      <c r="W229" s="487"/>
      <c r="X229" s="487"/>
      <c r="Y229" s="487"/>
      <c r="Z229" s="487"/>
    </row>
    <row r="230" spans="1:26" x14ac:dyDescent="0.3">
      <c r="A230" s="18"/>
      <c r="B230" s="494" t="s">
        <v>15</v>
      </c>
      <c r="C230" s="495"/>
      <c r="D230" s="21"/>
      <c r="E230" s="21"/>
      <c r="F230" s="21"/>
      <c r="G230" s="21"/>
      <c r="H230" s="21"/>
      <c r="I230" s="21"/>
      <c r="J230" s="21"/>
      <c r="K230" s="21"/>
      <c r="L230" s="21"/>
      <c r="M230" s="21"/>
      <c r="N230" s="21"/>
      <c r="O230" s="20"/>
      <c r="Q230" s="483" t="s">
        <v>323</v>
      </c>
      <c r="R230" s="483"/>
      <c r="S230" s="483" t="s">
        <v>1</v>
      </c>
      <c r="T230" s="483"/>
      <c r="U230" s="483"/>
      <c r="V230" s="483"/>
      <c r="W230" s="483"/>
      <c r="X230" s="483"/>
      <c r="Y230" s="483"/>
      <c r="Z230" s="85" t="s">
        <v>324</v>
      </c>
    </row>
    <row r="231" spans="1:26" x14ac:dyDescent="0.3">
      <c r="A231" s="18"/>
      <c r="B231" s="30" t="str">
        <f t="array" ref="B231:C231">_xll.U.MAX_PRECISION(2)</f>
        <v>U.MAX_PRECISION</v>
      </c>
      <c r="C231" s="30" t="str">
        <v>2|dates</v>
      </c>
      <c r="D231" s="21"/>
      <c r="E231" s="21"/>
      <c r="F231" s="21"/>
      <c r="G231" s="21"/>
      <c r="H231" s="21"/>
      <c r="I231" s="21"/>
      <c r="J231" s="21"/>
      <c r="K231" s="21"/>
      <c r="L231" s="21"/>
      <c r="M231" s="21"/>
      <c r="N231" s="21"/>
      <c r="O231" s="20"/>
      <c r="Q231" s="484" t="s">
        <v>949</v>
      </c>
      <c r="R231" s="484"/>
      <c r="S231" s="484" t="s">
        <v>3350</v>
      </c>
      <c r="T231" s="484"/>
      <c r="U231" s="484"/>
      <c r="V231" s="484"/>
      <c r="W231" s="484"/>
      <c r="X231" s="484"/>
      <c r="Y231" s="484"/>
      <c r="Z231" s="485" t="s">
        <v>326</v>
      </c>
    </row>
    <row r="232" spans="1:26" x14ac:dyDescent="0.3">
      <c r="A232" s="18"/>
      <c r="B232" s="21"/>
      <c r="C232" s="21"/>
      <c r="D232" s="21"/>
      <c r="E232" s="21"/>
      <c r="F232" s="21"/>
      <c r="G232" s="21"/>
      <c r="H232" s="21"/>
      <c r="I232" s="21"/>
      <c r="J232" s="21"/>
      <c r="K232" s="21"/>
      <c r="L232" s="21"/>
      <c r="M232" s="21"/>
      <c r="N232" s="21"/>
      <c r="O232" s="20"/>
      <c r="Q232" s="484"/>
      <c r="R232" s="484"/>
      <c r="S232" s="484"/>
      <c r="T232" s="484"/>
      <c r="U232" s="484"/>
      <c r="V232" s="484"/>
      <c r="W232" s="484"/>
      <c r="X232" s="484"/>
      <c r="Y232" s="484"/>
      <c r="Z232" s="485"/>
    </row>
    <row r="233" spans="1:26" x14ac:dyDescent="0.3">
      <c r="A233" s="18"/>
      <c r="B233" s="21"/>
      <c r="C233" s="21"/>
      <c r="D233" s="21"/>
      <c r="E233" s="21"/>
      <c r="F233" s="21"/>
      <c r="G233" s="21"/>
      <c r="H233" s="21"/>
      <c r="I233" s="21"/>
      <c r="J233" s="21"/>
      <c r="K233" s="21"/>
      <c r="L233" s="21"/>
      <c r="M233" s="21"/>
      <c r="N233" s="21"/>
      <c r="O233" s="20"/>
      <c r="Q233" s="484"/>
      <c r="R233" s="484"/>
      <c r="S233" s="484"/>
      <c r="T233" s="484"/>
      <c r="U233" s="484"/>
      <c r="V233" s="484"/>
      <c r="W233" s="484"/>
      <c r="X233" s="484"/>
      <c r="Y233" s="484"/>
      <c r="Z233" s="485"/>
    </row>
    <row r="234" spans="1:26" x14ac:dyDescent="0.3">
      <c r="A234" s="18"/>
      <c r="B234" s="21"/>
      <c r="C234" s="21"/>
      <c r="D234" s="21"/>
      <c r="E234" s="21"/>
      <c r="F234" s="21"/>
      <c r="G234" s="21"/>
      <c r="H234" s="21"/>
      <c r="I234" s="21"/>
      <c r="J234" s="21"/>
      <c r="K234" s="21"/>
      <c r="L234" s="21"/>
      <c r="M234" s="21"/>
      <c r="N234" s="21"/>
      <c r="O234" s="20"/>
      <c r="Q234" s="484" t="s">
        <v>1199</v>
      </c>
      <c r="R234" s="484"/>
      <c r="S234" s="484" t="s">
        <v>1208</v>
      </c>
      <c r="T234" s="484"/>
      <c r="U234" s="484"/>
      <c r="V234" s="484"/>
      <c r="W234" s="484"/>
      <c r="X234" s="484"/>
      <c r="Y234" s="484"/>
      <c r="Z234" s="485" t="s">
        <v>326</v>
      </c>
    </row>
    <row r="235" spans="1:26" x14ac:dyDescent="0.3">
      <c r="A235" s="18"/>
      <c r="B235" s="21"/>
      <c r="C235" s="21"/>
      <c r="D235" s="21"/>
      <c r="E235" s="21"/>
      <c r="F235" s="21"/>
      <c r="G235" s="21"/>
      <c r="H235" s="21"/>
      <c r="I235" s="21"/>
      <c r="J235" s="21"/>
      <c r="K235" s="21"/>
      <c r="L235" s="21"/>
      <c r="M235" s="21"/>
      <c r="N235" s="21"/>
      <c r="O235" s="20"/>
      <c r="Q235" s="484"/>
      <c r="R235" s="484"/>
      <c r="S235" s="484"/>
      <c r="T235" s="484"/>
      <c r="U235" s="484"/>
      <c r="V235" s="484"/>
      <c r="W235" s="484"/>
      <c r="X235" s="484"/>
      <c r="Y235" s="484"/>
      <c r="Z235" s="485"/>
    </row>
    <row r="236" spans="1:26" x14ac:dyDescent="0.3">
      <c r="A236" s="18"/>
      <c r="B236" s="21"/>
      <c r="C236" s="21"/>
      <c r="D236" s="21"/>
      <c r="E236" s="21"/>
      <c r="F236" s="21"/>
      <c r="G236" s="21"/>
      <c r="H236" s="21"/>
      <c r="I236" s="21"/>
      <c r="J236" s="21"/>
      <c r="K236" s="21"/>
      <c r="L236" s="21"/>
      <c r="M236" s="21"/>
      <c r="N236" s="21"/>
      <c r="O236" s="20"/>
      <c r="Q236" s="484"/>
      <c r="R236" s="484"/>
      <c r="S236" s="484"/>
      <c r="T236" s="484"/>
      <c r="U236" s="484"/>
      <c r="V236" s="484"/>
      <c r="W236" s="484"/>
      <c r="X236" s="484"/>
      <c r="Y236" s="484"/>
      <c r="Z236" s="485"/>
    </row>
    <row r="237" spans="1:26" x14ac:dyDescent="0.3">
      <c r="A237" s="18"/>
      <c r="B237" s="21"/>
      <c r="C237" s="21"/>
      <c r="D237" s="21"/>
      <c r="E237" s="21"/>
      <c r="F237" s="21"/>
      <c r="G237" s="21"/>
      <c r="H237" s="21"/>
      <c r="I237" s="21"/>
      <c r="J237" s="21"/>
      <c r="K237" s="21"/>
      <c r="L237" s="21"/>
      <c r="M237" s="21"/>
      <c r="N237" s="21"/>
      <c r="O237" s="20"/>
      <c r="Q237" s="484" t="s">
        <v>950</v>
      </c>
      <c r="R237" s="484"/>
      <c r="S237" s="484" t="s">
        <v>3637</v>
      </c>
      <c r="T237" s="484"/>
      <c r="U237" s="484"/>
      <c r="V237" s="484"/>
      <c r="W237" s="484"/>
      <c r="X237" s="484"/>
      <c r="Y237" s="484"/>
      <c r="Z237" s="485" t="s">
        <v>326</v>
      </c>
    </row>
    <row r="238" spans="1:26" x14ac:dyDescent="0.3">
      <c r="A238" s="18"/>
      <c r="B238" s="21"/>
      <c r="C238" s="21"/>
      <c r="D238" s="21"/>
      <c r="E238" s="21"/>
      <c r="F238" s="21"/>
      <c r="G238" s="21"/>
      <c r="H238" s="21"/>
      <c r="I238" s="21"/>
      <c r="J238" s="21"/>
      <c r="K238" s="21"/>
      <c r="L238" s="21"/>
      <c r="M238" s="21"/>
      <c r="N238" s="21"/>
      <c r="O238" s="20"/>
      <c r="Q238" s="484"/>
      <c r="R238" s="484"/>
      <c r="S238" s="484"/>
      <c r="T238" s="484"/>
      <c r="U238" s="484"/>
      <c r="V238" s="484"/>
      <c r="W238" s="484"/>
      <c r="X238" s="484"/>
      <c r="Y238" s="484"/>
      <c r="Z238" s="485"/>
    </row>
    <row r="239" spans="1:26" x14ac:dyDescent="0.3">
      <c r="A239" s="18"/>
      <c r="B239" s="21"/>
      <c r="C239" s="21"/>
      <c r="D239" s="21"/>
      <c r="E239" s="21"/>
      <c r="F239" s="21"/>
      <c r="G239" s="21"/>
      <c r="H239" s="21"/>
      <c r="I239" s="21"/>
      <c r="J239" s="21"/>
      <c r="K239" s="21"/>
      <c r="L239" s="21"/>
      <c r="M239" s="21"/>
      <c r="N239" s="21"/>
      <c r="O239" s="20"/>
      <c r="Q239" s="484"/>
      <c r="R239" s="484"/>
      <c r="S239" s="484"/>
      <c r="T239" s="484"/>
      <c r="U239" s="484"/>
      <c r="V239" s="484"/>
      <c r="W239" s="484"/>
      <c r="X239" s="484"/>
      <c r="Y239" s="484"/>
      <c r="Z239" s="485"/>
    </row>
    <row r="240" spans="1:26" x14ac:dyDescent="0.3">
      <c r="A240" s="18"/>
      <c r="B240" s="21"/>
      <c r="C240" s="21"/>
      <c r="D240" s="21"/>
      <c r="E240" s="21"/>
      <c r="F240" s="21"/>
      <c r="G240" s="21"/>
      <c r="H240" s="21"/>
      <c r="I240" s="21"/>
      <c r="J240" s="21"/>
      <c r="K240" s="21"/>
      <c r="L240" s="21"/>
      <c r="M240" s="21"/>
      <c r="N240" s="21"/>
      <c r="O240" s="20"/>
      <c r="Q240" s="126" t="s">
        <v>328</v>
      </c>
    </row>
    <row r="241" spans="1:26" x14ac:dyDescent="0.3">
      <c r="A241" s="18"/>
      <c r="B241" s="21"/>
      <c r="C241" s="21"/>
      <c r="D241" s="21"/>
      <c r="E241" s="21"/>
      <c r="F241" s="21"/>
      <c r="G241" s="21"/>
      <c r="H241" s="21"/>
      <c r="I241" s="21"/>
      <c r="J241" s="21"/>
      <c r="K241" s="21"/>
      <c r="L241" s="21"/>
      <c r="M241" s="21"/>
      <c r="N241" s="21"/>
      <c r="O241" s="20"/>
    </row>
    <row r="242" spans="1:26" x14ac:dyDescent="0.3">
      <c r="A242" s="18"/>
      <c r="B242" s="21"/>
      <c r="C242" s="21"/>
      <c r="D242" s="21"/>
      <c r="E242" s="21"/>
      <c r="F242" s="21"/>
      <c r="G242" s="21"/>
      <c r="H242" s="21"/>
      <c r="I242" s="21"/>
      <c r="J242" s="21"/>
      <c r="K242" s="21"/>
      <c r="L242" s="21"/>
      <c r="M242" s="21"/>
      <c r="N242" s="21"/>
      <c r="O242" s="20"/>
    </row>
    <row r="243" spans="1:26" x14ac:dyDescent="0.3">
      <c r="A243" s="490" t="s">
        <v>930</v>
      </c>
      <c r="B243" s="491"/>
      <c r="C243" s="491"/>
      <c r="D243" s="491"/>
      <c r="E243" s="491"/>
      <c r="F243" s="491"/>
      <c r="G243" s="491"/>
      <c r="H243" s="491"/>
      <c r="I243" s="491"/>
      <c r="J243" s="491"/>
      <c r="K243" s="491"/>
      <c r="L243" s="491"/>
      <c r="M243" s="491"/>
      <c r="N243" s="21"/>
      <c r="O243" s="20"/>
      <c r="Q243" s="486" t="s">
        <v>3351</v>
      </c>
      <c r="R243" s="486"/>
      <c r="S243" s="486"/>
      <c r="T243" s="486"/>
      <c r="U243" s="486"/>
      <c r="V243" s="486"/>
      <c r="W243" s="486"/>
      <c r="X243" s="486"/>
      <c r="Y243" s="486"/>
      <c r="Z243" s="486"/>
    </row>
    <row r="244" spans="1:26" x14ac:dyDescent="0.3">
      <c r="A244" s="18"/>
      <c r="B244" s="21"/>
      <c r="C244" s="21"/>
      <c r="D244" s="21"/>
      <c r="E244" s="21"/>
      <c r="F244" s="21"/>
      <c r="G244" s="21"/>
      <c r="H244" s="21"/>
      <c r="I244" s="21"/>
      <c r="J244" s="21"/>
      <c r="K244" s="21"/>
      <c r="L244" s="21"/>
      <c r="M244" s="21"/>
      <c r="N244" s="21"/>
      <c r="O244" s="20"/>
      <c r="Q244" s="487" t="s">
        <v>333</v>
      </c>
      <c r="R244" s="487"/>
      <c r="S244" s="487" t="s">
        <v>3807</v>
      </c>
      <c r="T244" s="487"/>
      <c r="U244" s="487"/>
      <c r="V244" s="487"/>
      <c r="W244" s="487"/>
      <c r="X244" s="487"/>
      <c r="Y244" s="487"/>
      <c r="Z244" s="487"/>
    </row>
    <row r="245" spans="1:26" x14ac:dyDescent="0.3">
      <c r="A245" s="18"/>
      <c r="B245" s="21"/>
      <c r="C245" s="21"/>
      <c r="D245" s="21"/>
      <c r="E245" s="21"/>
      <c r="F245" s="21"/>
      <c r="G245" s="21"/>
      <c r="H245" s="21"/>
      <c r="I245" s="21"/>
      <c r="J245" s="21"/>
      <c r="K245" s="21"/>
      <c r="L245" s="21"/>
      <c r="M245" s="21"/>
      <c r="N245" s="21"/>
      <c r="O245" s="20"/>
      <c r="Q245" s="487"/>
      <c r="R245" s="487"/>
      <c r="S245" s="487"/>
      <c r="T245" s="487"/>
      <c r="U245" s="487"/>
      <c r="V245" s="487"/>
      <c r="W245" s="487"/>
      <c r="X245" s="487"/>
      <c r="Y245" s="487"/>
      <c r="Z245" s="487"/>
    </row>
    <row r="246" spans="1:26" x14ac:dyDescent="0.3">
      <c r="A246" s="18"/>
      <c r="B246" s="21"/>
      <c r="C246" s="21"/>
      <c r="D246" s="21"/>
      <c r="E246" s="21"/>
      <c r="F246" s="21"/>
      <c r="G246" s="21"/>
      <c r="H246" s="21"/>
      <c r="I246" s="21"/>
      <c r="J246" s="21"/>
      <c r="K246" s="21"/>
      <c r="L246" s="21"/>
      <c r="M246" s="21"/>
      <c r="N246" s="21"/>
      <c r="O246" s="20"/>
      <c r="Q246" s="487"/>
      <c r="R246" s="487"/>
      <c r="S246" s="487"/>
      <c r="T246" s="487"/>
      <c r="U246" s="487"/>
      <c r="V246" s="487"/>
      <c r="W246" s="487"/>
      <c r="X246" s="487"/>
      <c r="Y246" s="487"/>
      <c r="Z246" s="487"/>
    </row>
    <row r="247" spans="1:26" x14ac:dyDescent="0.3">
      <c r="A247" s="18"/>
      <c r="B247" s="21"/>
      <c r="C247" s="21"/>
      <c r="D247" s="21"/>
      <c r="E247" s="21"/>
      <c r="F247" s="21"/>
      <c r="G247" s="21"/>
      <c r="H247" s="21"/>
      <c r="I247" s="21"/>
      <c r="J247" s="21"/>
      <c r="K247" s="21"/>
      <c r="L247" s="21"/>
      <c r="M247" s="21"/>
      <c r="N247" s="21"/>
      <c r="O247" s="20"/>
      <c r="Q247" s="483" t="s">
        <v>323</v>
      </c>
      <c r="R247" s="483"/>
      <c r="S247" s="483" t="s">
        <v>1</v>
      </c>
      <c r="T247" s="483"/>
      <c r="U247" s="483"/>
      <c r="V247" s="483"/>
      <c r="W247" s="483"/>
      <c r="X247" s="483"/>
      <c r="Y247" s="483"/>
      <c r="Z247" s="85" t="s">
        <v>324</v>
      </c>
    </row>
    <row r="248" spans="1:26" x14ac:dyDescent="0.3">
      <c r="A248" s="18"/>
      <c r="B248" s="7" t="s">
        <v>3341</v>
      </c>
      <c r="C248" s="21"/>
      <c r="D248" s="21"/>
      <c r="E248" s="21"/>
      <c r="F248" s="21"/>
      <c r="G248" s="21"/>
      <c r="H248" s="21"/>
      <c r="I248" s="21"/>
      <c r="J248" s="21"/>
      <c r="K248" s="21"/>
      <c r="L248" s="21"/>
      <c r="M248" s="21"/>
      <c r="N248" s="21"/>
      <c r="O248" s="20"/>
      <c r="Q248" s="488" t="s">
        <v>1209</v>
      </c>
      <c r="R248" s="488"/>
      <c r="S248" s="488" t="s">
        <v>3652</v>
      </c>
      <c r="T248" s="488"/>
      <c r="U248" s="488"/>
      <c r="V248" s="488"/>
      <c r="W248" s="488"/>
      <c r="X248" s="488"/>
      <c r="Y248" s="488"/>
      <c r="Z248" s="489" t="s">
        <v>325</v>
      </c>
    </row>
    <row r="249" spans="1:26" x14ac:dyDescent="0.3">
      <c r="A249" s="18"/>
      <c r="B249" s="150" t="str">
        <f t="array" ref="B249">_xll.U.WEB_STYLE()</f>
        <v>U.WEB_STYLE</v>
      </c>
      <c r="C249" s="21"/>
      <c r="D249" s="21"/>
      <c r="E249" s="21"/>
      <c r="F249" s="21"/>
      <c r="G249" s="21"/>
      <c r="H249" s="21"/>
      <c r="I249" s="21"/>
      <c r="J249" s="21"/>
      <c r="K249" s="21"/>
      <c r="L249" s="21"/>
      <c r="M249" s="21"/>
      <c r="N249" s="21"/>
      <c r="O249" s="20"/>
      <c r="Q249" s="488"/>
      <c r="R249" s="488"/>
      <c r="S249" s="488"/>
      <c r="T249" s="488"/>
      <c r="U249" s="488"/>
      <c r="V249" s="488"/>
      <c r="W249" s="488"/>
      <c r="X249" s="488"/>
      <c r="Y249" s="488"/>
      <c r="Z249" s="489"/>
    </row>
    <row r="250" spans="1:26" x14ac:dyDescent="0.3">
      <c r="A250" s="18"/>
      <c r="B250" s="21"/>
      <c r="C250" s="21"/>
      <c r="D250" s="21"/>
      <c r="E250" s="21"/>
      <c r="F250" s="21"/>
      <c r="G250" s="21"/>
      <c r="H250" s="21"/>
      <c r="I250" s="21"/>
      <c r="J250" s="21"/>
      <c r="K250" s="21"/>
      <c r="L250" s="21"/>
      <c r="M250" s="21"/>
      <c r="N250" s="21"/>
      <c r="O250" s="20"/>
      <c r="Q250" s="488"/>
      <c r="R250" s="488"/>
      <c r="S250" s="488"/>
      <c r="T250" s="488"/>
      <c r="U250" s="488"/>
      <c r="V250" s="488"/>
      <c r="W250" s="488"/>
      <c r="X250" s="488"/>
      <c r="Y250" s="488"/>
      <c r="Z250" s="489"/>
    </row>
    <row r="251" spans="1:26" x14ac:dyDescent="0.3">
      <c r="A251" s="18"/>
      <c r="B251" s="21"/>
      <c r="C251" s="21"/>
      <c r="D251" s="21"/>
      <c r="E251" s="21"/>
      <c r="F251" s="21"/>
      <c r="G251" s="21"/>
      <c r="H251" s="21"/>
      <c r="I251" s="21"/>
      <c r="J251" s="21"/>
      <c r="K251" s="21"/>
      <c r="L251" s="21"/>
      <c r="M251" s="21"/>
      <c r="N251" s="21"/>
      <c r="O251" s="20"/>
      <c r="Q251" s="484" t="s">
        <v>949</v>
      </c>
      <c r="R251" s="484"/>
      <c r="S251" s="484" t="s">
        <v>3352</v>
      </c>
      <c r="T251" s="484"/>
      <c r="U251" s="484"/>
      <c r="V251" s="484"/>
      <c r="W251" s="484"/>
      <c r="X251" s="484"/>
      <c r="Y251" s="484"/>
      <c r="Z251" s="485" t="s">
        <v>326</v>
      </c>
    </row>
    <row r="252" spans="1:26" x14ac:dyDescent="0.3">
      <c r="A252" s="18"/>
      <c r="B252" s="21"/>
      <c r="C252" s="21"/>
      <c r="D252" s="21"/>
      <c r="E252" s="21"/>
      <c r="F252" s="21"/>
      <c r="G252" s="21"/>
      <c r="H252" s="21"/>
      <c r="I252" s="21"/>
      <c r="J252" s="21"/>
      <c r="K252" s="21"/>
      <c r="L252" s="21"/>
      <c r="M252" s="21"/>
      <c r="N252" s="21"/>
      <c r="O252" s="20"/>
      <c r="Q252" s="484"/>
      <c r="R252" s="484"/>
      <c r="S252" s="484"/>
      <c r="T252" s="484"/>
      <c r="U252" s="484"/>
      <c r="V252" s="484"/>
      <c r="W252" s="484"/>
      <c r="X252" s="484"/>
      <c r="Y252" s="484"/>
      <c r="Z252" s="485"/>
    </row>
    <row r="253" spans="1:26" x14ac:dyDescent="0.3">
      <c r="A253" s="18"/>
      <c r="B253" s="21"/>
      <c r="C253" s="21"/>
      <c r="D253" s="21"/>
      <c r="E253" s="21"/>
      <c r="F253" s="21"/>
      <c r="G253" s="21"/>
      <c r="H253" s="21"/>
      <c r="I253" s="21"/>
      <c r="J253" s="21"/>
      <c r="K253" s="21"/>
      <c r="L253" s="21"/>
      <c r="M253" s="21"/>
      <c r="N253" s="21"/>
      <c r="O253" s="20"/>
      <c r="Q253" s="484"/>
      <c r="R253" s="484"/>
      <c r="S253" s="484"/>
      <c r="T253" s="484"/>
      <c r="U253" s="484"/>
      <c r="V253" s="484"/>
      <c r="W253" s="484"/>
      <c r="X253" s="484"/>
      <c r="Y253" s="484"/>
      <c r="Z253" s="485"/>
    </row>
    <row r="254" spans="1:26" x14ac:dyDescent="0.3">
      <c r="A254" s="18"/>
      <c r="B254" s="21"/>
      <c r="C254" s="21"/>
      <c r="D254" s="21"/>
      <c r="E254" s="21"/>
      <c r="F254" s="21"/>
      <c r="G254" s="21"/>
      <c r="H254" s="21"/>
      <c r="I254" s="21"/>
      <c r="J254" s="21"/>
      <c r="K254" s="21"/>
      <c r="L254" s="21"/>
      <c r="M254" s="21"/>
      <c r="N254" s="21"/>
      <c r="O254" s="20"/>
      <c r="Q254" s="484" t="s">
        <v>1199</v>
      </c>
      <c r="R254" s="484"/>
      <c r="S254" s="484" t="s">
        <v>1208</v>
      </c>
      <c r="T254" s="484"/>
      <c r="U254" s="484"/>
      <c r="V254" s="484"/>
      <c r="W254" s="484"/>
      <c r="X254" s="484"/>
      <c r="Y254" s="484"/>
      <c r="Z254" s="485" t="s">
        <v>326</v>
      </c>
    </row>
    <row r="255" spans="1:26" x14ac:dyDescent="0.3">
      <c r="A255" s="18"/>
      <c r="B255" s="508" t="s">
        <v>3341</v>
      </c>
      <c r="C255" s="508"/>
      <c r="D255" s="21"/>
      <c r="E255" s="21"/>
      <c r="F255" s="21"/>
      <c r="G255" s="21"/>
      <c r="H255" s="21"/>
      <c r="I255" s="21"/>
      <c r="J255" s="21"/>
      <c r="K255" s="21"/>
      <c r="L255" s="21"/>
      <c r="M255" s="21"/>
      <c r="N255" s="21"/>
      <c r="O255" s="20"/>
      <c r="Q255" s="484"/>
      <c r="R255" s="484"/>
      <c r="S255" s="484"/>
      <c r="T255" s="484"/>
      <c r="U255" s="484"/>
      <c r="V255" s="484"/>
      <c r="W255" s="484"/>
      <c r="X255" s="484"/>
      <c r="Y255" s="484"/>
      <c r="Z255" s="485"/>
    </row>
    <row r="256" spans="1:26" x14ac:dyDescent="0.3">
      <c r="A256" s="18"/>
      <c r="B256" s="406" t="str" cm="1">
        <f t="array" ref="B256:C256">_xll.U.WEB_STYLE("color(green),center")</f>
        <v>U.WEB_STYLE</v>
      </c>
      <c r="C256" s="30" t="str">
        <v>color(green),center</v>
      </c>
      <c r="D256" s="21"/>
      <c r="E256" s="21"/>
      <c r="F256" s="21"/>
      <c r="G256" s="21"/>
      <c r="H256" s="21"/>
      <c r="I256" s="21"/>
      <c r="J256" s="21"/>
      <c r="K256" s="21"/>
      <c r="L256" s="21"/>
      <c r="M256" s="21"/>
      <c r="N256" s="21"/>
      <c r="O256" s="20"/>
      <c r="Q256" s="484"/>
      <c r="R256" s="484"/>
      <c r="S256" s="484"/>
      <c r="T256" s="484"/>
      <c r="U256" s="484"/>
      <c r="V256" s="484"/>
      <c r="W256" s="484"/>
      <c r="X256" s="484"/>
      <c r="Y256" s="484"/>
      <c r="Z256" s="485"/>
    </row>
    <row r="257" spans="1:26" x14ac:dyDescent="0.3">
      <c r="A257" s="18"/>
      <c r="B257" s="21"/>
      <c r="C257" s="21"/>
      <c r="D257" s="21"/>
      <c r="E257" s="21"/>
      <c r="F257" s="21"/>
      <c r="G257" s="21"/>
      <c r="H257" s="21"/>
      <c r="I257" s="21"/>
      <c r="J257" s="21"/>
      <c r="K257" s="21"/>
      <c r="L257" s="21"/>
      <c r="M257" s="21"/>
      <c r="N257" s="21"/>
      <c r="O257" s="20"/>
      <c r="Q257" s="484" t="s">
        <v>950</v>
      </c>
      <c r="R257" s="484"/>
      <c r="S257" s="484" t="s">
        <v>3638</v>
      </c>
      <c r="T257" s="484"/>
      <c r="U257" s="484"/>
      <c r="V257" s="484"/>
      <c r="W257" s="484"/>
      <c r="X257" s="484"/>
      <c r="Y257" s="484"/>
      <c r="Z257" s="485" t="s">
        <v>326</v>
      </c>
    </row>
    <row r="258" spans="1:26" x14ac:dyDescent="0.3">
      <c r="A258" s="18"/>
      <c r="B258" s="21"/>
      <c r="C258" s="21"/>
      <c r="D258" s="21"/>
      <c r="E258" s="21"/>
      <c r="F258" s="21"/>
      <c r="G258" s="21"/>
      <c r="H258" s="21"/>
      <c r="I258" s="21"/>
      <c r="J258" s="21"/>
      <c r="K258" s="21"/>
      <c r="L258" s="21"/>
      <c r="M258" s="21"/>
      <c r="N258" s="21"/>
      <c r="O258" s="20"/>
      <c r="Q258" s="484"/>
      <c r="R258" s="484"/>
      <c r="S258" s="484"/>
      <c r="T258" s="484"/>
      <c r="U258" s="484"/>
      <c r="V258" s="484"/>
      <c r="W258" s="484"/>
      <c r="X258" s="484"/>
      <c r="Y258" s="484"/>
      <c r="Z258" s="485"/>
    </row>
    <row r="259" spans="1:26" x14ac:dyDescent="0.3">
      <c r="A259" s="18"/>
      <c r="B259" s="21"/>
      <c r="C259" s="21"/>
      <c r="D259" s="21"/>
      <c r="E259" s="21"/>
      <c r="F259" s="21"/>
      <c r="G259" s="21"/>
      <c r="H259" s="21"/>
      <c r="I259" s="21"/>
      <c r="J259" s="21"/>
      <c r="K259" s="21"/>
      <c r="L259" s="21"/>
      <c r="M259" s="21"/>
      <c r="N259" s="21"/>
      <c r="O259" s="20"/>
      <c r="Q259" s="484"/>
      <c r="R259" s="484"/>
      <c r="S259" s="484"/>
      <c r="T259" s="484"/>
      <c r="U259" s="484"/>
      <c r="V259" s="484"/>
      <c r="W259" s="484"/>
      <c r="X259" s="484"/>
      <c r="Y259" s="484"/>
      <c r="Z259" s="485"/>
    </row>
    <row r="260" spans="1:26" x14ac:dyDescent="0.3">
      <c r="A260" s="18"/>
      <c r="B260" s="483" t="s">
        <v>2745</v>
      </c>
      <c r="C260" s="483"/>
      <c r="D260" s="483"/>
      <c r="E260" s="483"/>
      <c r="F260" s="483"/>
      <c r="G260" s="483"/>
      <c r="H260" s="483"/>
      <c r="I260" s="483"/>
      <c r="J260" s="483"/>
      <c r="K260" s="483"/>
      <c r="L260" s="483"/>
      <c r="M260" s="483"/>
      <c r="N260" s="21"/>
      <c r="O260" s="20"/>
      <c r="Q260" s="126" t="s">
        <v>328</v>
      </c>
    </row>
    <row r="261" spans="1:26" x14ac:dyDescent="0.3">
      <c r="A261" s="18"/>
      <c r="B261" s="183" t="s">
        <v>2703</v>
      </c>
      <c r="C261" s="263"/>
      <c r="D261" s="183" t="s">
        <v>1</v>
      </c>
      <c r="E261" s="262"/>
      <c r="F261" s="262"/>
      <c r="G261" s="262"/>
      <c r="H261" s="262"/>
      <c r="I261" s="262"/>
      <c r="J261" s="262"/>
      <c r="K261" s="262"/>
      <c r="L261" s="262"/>
      <c r="M261" s="263"/>
      <c r="N261" s="21"/>
      <c r="O261" s="20"/>
    </row>
    <row r="262" spans="1:26" x14ac:dyDescent="0.3">
      <c r="A262" s="18"/>
      <c r="B262" s="250" t="s">
        <v>2752</v>
      </c>
      <c r="C262" s="113"/>
      <c r="D262" s="250" t="s">
        <v>2721</v>
      </c>
      <c r="E262" s="112"/>
      <c r="F262" s="112"/>
      <c r="G262" s="112"/>
      <c r="H262" s="112"/>
      <c r="I262" s="112"/>
      <c r="J262" s="112"/>
      <c r="K262" s="112"/>
      <c r="L262" s="112"/>
      <c r="M262" s="113"/>
      <c r="N262" s="21"/>
      <c r="O262" s="20"/>
    </row>
    <row r="263" spans="1:26" x14ac:dyDescent="0.3">
      <c r="A263" s="18"/>
      <c r="B263" s="250" t="s">
        <v>2719</v>
      </c>
      <c r="C263" s="113"/>
      <c r="D263" s="250" t="s">
        <v>2722</v>
      </c>
      <c r="E263" s="112"/>
      <c r="F263" s="112"/>
      <c r="G263" s="112"/>
      <c r="H263" s="112"/>
      <c r="I263" s="112"/>
      <c r="J263" s="112"/>
      <c r="K263" s="112"/>
      <c r="L263" s="112"/>
      <c r="M263" s="113"/>
      <c r="N263" s="21"/>
      <c r="O263" s="20"/>
      <c r="Q263" s="486" t="s">
        <v>3353</v>
      </c>
      <c r="R263" s="486"/>
      <c r="S263" s="486"/>
      <c r="T263" s="486"/>
      <c r="U263" s="486"/>
      <c r="V263" s="486"/>
      <c r="W263" s="486"/>
      <c r="X263" s="486"/>
      <c r="Y263" s="486"/>
      <c r="Z263" s="486"/>
    </row>
    <row r="264" spans="1:26" x14ac:dyDescent="0.3">
      <c r="A264" s="18"/>
      <c r="B264" s="250" t="s">
        <v>2711</v>
      </c>
      <c r="C264" s="113"/>
      <c r="D264" s="250" t="s">
        <v>2723</v>
      </c>
      <c r="E264" s="112"/>
      <c r="F264" s="112"/>
      <c r="G264" s="112"/>
      <c r="H264" s="112"/>
      <c r="I264" s="112"/>
      <c r="J264" s="112"/>
      <c r="K264" s="112"/>
      <c r="L264" s="112"/>
      <c r="M264" s="113"/>
      <c r="N264" s="21"/>
      <c r="O264" s="20"/>
      <c r="Q264" s="487" t="s">
        <v>333</v>
      </c>
      <c r="R264" s="487"/>
      <c r="S264" s="487" t="s">
        <v>3808</v>
      </c>
      <c r="T264" s="487"/>
      <c r="U264" s="487"/>
      <c r="V264" s="487"/>
      <c r="W264" s="487"/>
      <c r="X264" s="487"/>
      <c r="Y264" s="487"/>
      <c r="Z264" s="487"/>
    </row>
    <row r="265" spans="1:26" x14ac:dyDescent="0.3">
      <c r="A265" s="18"/>
      <c r="B265" s="250" t="s">
        <v>2720</v>
      </c>
      <c r="C265" s="113"/>
      <c r="D265" s="250" t="s">
        <v>2727</v>
      </c>
      <c r="E265" s="112"/>
      <c r="F265" s="112"/>
      <c r="G265" s="112"/>
      <c r="H265" s="112"/>
      <c r="I265" s="112"/>
      <c r="J265" s="112"/>
      <c r="K265" s="112"/>
      <c r="L265" s="112"/>
      <c r="M265" s="113"/>
      <c r="N265" s="21"/>
      <c r="O265" s="20"/>
      <c r="Q265" s="487"/>
      <c r="R265" s="487"/>
      <c r="S265" s="487"/>
      <c r="T265" s="487"/>
      <c r="U265" s="487"/>
      <c r="V265" s="487"/>
      <c r="W265" s="487"/>
      <c r="X265" s="487"/>
      <c r="Y265" s="487"/>
      <c r="Z265" s="487"/>
    </row>
    <row r="266" spans="1:26" x14ac:dyDescent="0.3">
      <c r="A266" s="18"/>
      <c r="B266" s="250" t="s">
        <v>2714</v>
      </c>
      <c r="C266" s="113"/>
      <c r="D266" s="250" t="s">
        <v>2750</v>
      </c>
      <c r="E266" s="112"/>
      <c r="F266" s="112"/>
      <c r="G266" s="112"/>
      <c r="H266" s="112"/>
      <c r="I266" s="112"/>
      <c r="J266" s="112"/>
      <c r="K266" s="112"/>
      <c r="L266" s="112"/>
      <c r="M266" s="113"/>
      <c r="N266" s="21"/>
      <c r="O266" s="20"/>
      <c r="Q266" s="487"/>
      <c r="R266" s="487"/>
      <c r="S266" s="487"/>
      <c r="T266" s="487"/>
      <c r="U266" s="487"/>
      <c r="V266" s="487"/>
      <c r="W266" s="487"/>
      <c r="X266" s="487"/>
      <c r="Y266" s="487"/>
      <c r="Z266" s="487"/>
    </row>
    <row r="267" spans="1:26" x14ac:dyDescent="0.3">
      <c r="A267" s="18"/>
      <c r="B267" s="250" t="s">
        <v>2715</v>
      </c>
      <c r="C267" s="113"/>
      <c r="D267" s="250" t="s">
        <v>2751</v>
      </c>
      <c r="E267" s="112"/>
      <c r="F267" s="112"/>
      <c r="G267" s="112"/>
      <c r="H267" s="112"/>
      <c r="I267" s="112"/>
      <c r="J267" s="112"/>
      <c r="K267" s="112"/>
      <c r="L267" s="112"/>
      <c r="M267" s="113"/>
      <c r="N267" s="21"/>
      <c r="O267" s="20"/>
      <c r="Q267" s="483" t="s">
        <v>323</v>
      </c>
      <c r="R267" s="483"/>
      <c r="S267" s="483" t="s">
        <v>1</v>
      </c>
      <c r="T267" s="483"/>
      <c r="U267" s="483"/>
      <c r="V267" s="483"/>
      <c r="W267" s="483"/>
      <c r="X267" s="483"/>
      <c r="Y267" s="483"/>
      <c r="Z267" s="85" t="s">
        <v>324</v>
      </c>
    </row>
    <row r="268" spans="1:26" x14ac:dyDescent="0.3">
      <c r="A268" s="18"/>
      <c r="B268" s="250" t="s">
        <v>2716</v>
      </c>
      <c r="C268" s="113"/>
      <c r="D268" s="250" t="s">
        <v>2728</v>
      </c>
      <c r="E268" s="112"/>
      <c r="F268" s="112"/>
      <c r="G268" s="112"/>
      <c r="H268" s="112"/>
      <c r="I268" s="112"/>
      <c r="J268" s="112"/>
      <c r="K268" s="112"/>
      <c r="L268" s="112"/>
      <c r="M268" s="113"/>
      <c r="N268" s="21"/>
      <c r="O268" s="20"/>
      <c r="Q268" s="484" t="s">
        <v>949</v>
      </c>
      <c r="R268" s="484"/>
      <c r="S268" s="484" t="s">
        <v>3354</v>
      </c>
      <c r="T268" s="484"/>
      <c r="U268" s="484"/>
      <c r="V268" s="484"/>
      <c r="W268" s="484"/>
      <c r="X268" s="484"/>
      <c r="Y268" s="484"/>
      <c r="Z268" s="485" t="s">
        <v>326</v>
      </c>
    </row>
    <row r="269" spans="1:26" x14ac:dyDescent="0.3">
      <c r="A269" s="18"/>
      <c r="B269" s="250" t="s">
        <v>2717</v>
      </c>
      <c r="C269" s="113"/>
      <c r="D269" s="250" t="s">
        <v>2729</v>
      </c>
      <c r="E269" s="112"/>
      <c r="F269" s="112"/>
      <c r="G269" s="112"/>
      <c r="H269" s="112"/>
      <c r="I269" s="112"/>
      <c r="J269" s="112"/>
      <c r="K269" s="112"/>
      <c r="L269" s="112"/>
      <c r="M269" s="113"/>
      <c r="N269" s="21"/>
      <c r="O269" s="20"/>
      <c r="Q269" s="484"/>
      <c r="R269" s="484"/>
      <c r="S269" s="484"/>
      <c r="T269" s="484"/>
      <c r="U269" s="484"/>
      <c r="V269" s="484"/>
      <c r="W269" s="484"/>
      <c r="X269" s="484"/>
      <c r="Y269" s="484"/>
      <c r="Z269" s="485"/>
    </row>
    <row r="270" spans="1:26" x14ac:dyDescent="0.3">
      <c r="A270" s="18"/>
      <c r="B270" s="250" t="s">
        <v>2761</v>
      </c>
      <c r="C270" s="113"/>
      <c r="D270" s="250" t="s">
        <v>2730</v>
      </c>
      <c r="E270" s="112"/>
      <c r="F270" s="112"/>
      <c r="G270" s="112"/>
      <c r="H270" s="112"/>
      <c r="I270" s="112"/>
      <c r="J270" s="112"/>
      <c r="K270" s="112"/>
      <c r="L270" s="112"/>
      <c r="M270" s="113"/>
      <c r="N270" s="21"/>
      <c r="O270" s="20"/>
      <c r="Q270" s="484"/>
      <c r="R270" s="484"/>
      <c r="S270" s="484"/>
      <c r="T270" s="484"/>
      <c r="U270" s="484"/>
      <c r="V270" s="484"/>
      <c r="W270" s="484"/>
      <c r="X270" s="484"/>
      <c r="Y270" s="484"/>
      <c r="Z270" s="485"/>
    </row>
    <row r="271" spans="1:26" x14ac:dyDescent="0.3">
      <c r="A271" s="18"/>
      <c r="B271" s="250" t="s">
        <v>2704</v>
      </c>
      <c r="C271" s="113"/>
      <c r="D271" s="250" t="s">
        <v>2732</v>
      </c>
      <c r="E271" s="112"/>
      <c r="F271" s="112"/>
      <c r="G271" s="112"/>
      <c r="H271" s="112"/>
      <c r="I271" s="112"/>
      <c r="J271" s="112"/>
      <c r="K271" s="112"/>
      <c r="L271" s="112"/>
      <c r="M271" s="113"/>
      <c r="N271" s="21"/>
      <c r="O271" s="20"/>
      <c r="Q271" s="484" t="s">
        <v>1199</v>
      </c>
      <c r="R271" s="484"/>
      <c r="S271" s="484" t="s">
        <v>1208</v>
      </c>
      <c r="T271" s="484"/>
      <c r="U271" s="484"/>
      <c r="V271" s="484"/>
      <c r="W271" s="484"/>
      <c r="X271" s="484"/>
      <c r="Y271" s="484"/>
      <c r="Z271" s="485" t="s">
        <v>326</v>
      </c>
    </row>
    <row r="272" spans="1:26" x14ac:dyDescent="0.3">
      <c r="A272" s="18"/>
      <c r="B272" s="250" t="s">
        <v>2705</v>
      </c>
      <c r="C272" s="113"/>
      <c r="D272" s="250" t="s">
        <v>2733</v>
      </c>
      <c r="E272" s="112"/>
      <c r="F272" s="112"/>
      <c r="G272" s="112"/>
      <c r="H272" s="112"/>
      <c r="I272" s="112"/>
      <c r="J272" s="112"/>
      <c r="K272" s="112"/>
      <c r="L272" s="112"/>
      <c r="M272" s="113"/>
      <c r="N272" s="21"/>
      <c r="O272" s="20"/>
      <c r="Q272" s="484"/>
      <c r="R272" s="484"/>
      <c r="S272" s="484"/>
      <c r="T272" s="484"/>
      <c r="U272" s="484"/>
      <c r="V272" s="484"/>
      <c r="W272" s="484"/>
      <c r="X272" s="484"/>
      <c r="Y272" s="484"/>
      <c r="Z272" s="485"/>
    </row>
    <row r="273" spans="1:26" x14ac:dyDescent="0.3">
      <c r="A273" s="18"/>
      <c r="B273" s="250" t="s">
        <v>2706</v>
      </c>
      <c r="C273" s="113"/>
      <c r="D273" s="250" t="s">
        <v>2734</v>
      </c>
      <c r="E273" s="112"/>
      <c r="F273" s="112"/>
      <c r="G273" s="112"/>
      <c r="H273" s="112"/>
      <c r="I273" s="112"/>
      <c r="J273" s="112"/>
      <c r="K273" s="112"/>
      <c r="L273" s="112"/>
      <c r="M273" s="113"/>
      <c r="N273" s="21"/>
      <c r="O273" s="20"/>
      <c r="Q273" s="484"/>
      <c r="R273" s="484"/>
      <c r="S273" s="484"/>
      <c r="T273" s="484"/>
      <c r="U273" s="484"/>
      <c r="V273" s="484"/>
      <c r="W273" s="484"/>
      <c r="X273" s="484"/>
      <c r="Y273" s="484"/>
      <c r="Z273" s="485"/>
    </row>
    <row r="274" spans="1:26" x14ac:dyDescent="0.3">
      <c r="A274" s="18"/>
      <c r="B274" s="250" t="s">
        <v>2707</v>
      </c>
      <c r="C274" s="113"/>
      <c r="D274" s="250" t="s">
        <v>2731</v>
      </c>
      <c r="E274" s="112"/>
      <c r="F274" s="112"/>
      <c r="G274" s="112"/>
      <c r="H274" s="112"/>
      <c r="I274" s="112"/>
      <c r="J274" s="112"/>
      <c r="K274" s="112"/>
      <c r="L274" s="112"/>
      <c r="M274" s="113"/>
      <c r="N274" s="21"/>
      <c r="O274" s="20"/>
      <c r="Q274" s="484" t="s">
        <v>950</v>
      </c>
      <c r="R274" s="484"/>
      <c r="S274" s="484" t="s">
        <v>3639</v>
      </c>
      <c r="T274" s="484"/>
      <c r="U274" s="484"/>
      <c r="V274" s="484"/>
      <c r="W274" s="484"/>
      <c r="X274" s="484"/>
      <c r="Y274" s="484"/>
      <c r="Z274" s="485" t="s">
        <v>326</v>
      </c>
    </row>
    <row r="275" spans="1:26" x14ac:dyDescent="0.3">
      <c r="A275" s="18"/>
      <c r="B275" s="250" t="s">
        <v>2709</v>
      </c>
      <c r="C275" s="113"/>
      <c r="D275" s="250" t="s">
        <v>2735</v>
      </c>
      <c r="E275" s="112"/>
      <c r="F275" s="112"/>
      <c r="G275" s="112"/>
      <c r="H275" s="112"/>
      <c r="I275" s="112"/>
      <c r="J275" s="112"/>
      <c r="K275" s="112"/>
      <c r="L275" s="112"/>
      <c r="M275" s="113"/>
      <c r="N275" s="21"/>
      <c r="O275" s="20"/>
      <c r="Q275" s="484"/>
      <c r="R275" s="484"/>
      <c r="S275" s="484"/>
      <c r="T275" s="484"/>
      <c r="U275" s="484"/>
      <c r="V275" s="484"/>
      <c r="W275" s="484"/>
      <c r="X275" s="484"/>
      <c r="Y275" s="484"/>
      <c r="Z275" s="485"/>
    </row>
    <row r="276" spans="1:26" x14ac:dyDescent="0.3">
      <c r="A276" s="18"/>
      <c r="B276" s="250" t="s">
        <v>2708</v>
      </c>
      <c r="C276" s="113"/>
      <c r="D276" s="250" t="s">
        <v>2736</v>
      </c>
      <c r="E276" s="112"/>
      <c r="F276" s="112"/>
      <c r="G276" s="112"/>
      <c r="H276" s="112"/>
      <c r="I276" s="112"/>
      <c r="J276" s="112"/>
      <c r="K276" s="112"/>
      <c r="L276" s="112"/>
      <c r="M276" s="113"/>
      <c r="N276" s="21"/>
      <c r="O276" s="20"/>
      <c r="Q276" s="484"/>
      <c r="R276" s="484"/>
      <c r="S276" s="484"/>
      <c r="T276" s="484"/>
      <c r="U276" s="484"/>
      <c r="V276" s="484"/>
      <c r="W276" s="484"/>
      <c r="X276" s="484"/>
      <c r="Y276" s="484"/>
      <c r="Z276" s="485"/>
    </row>
    <row r="277" spans="1:26" x14ac:dyDescent="0.3">
      <c r="A277" s="18"/>
      <c r="B277" s="250" t="s">
        <v>2710</v>
      </c>
      <c r="C277" s="113"/>
      <c r="D277" s="250" t="s">
        <v>2737</v>
      </c>
      <c r="E277" s="112"/>
      <c r="F277" s="112"/>
      <c r="G277" s="112"/>
      <c r="H277" s="112"/>
      <c r="I277" s="112"/>
      <c r="J277" s="112"/>
      <c r="K277" s="112"/>
      <c r="L277" s="112"/>
      <c r="M277" s="113"/>
      <c r="N277" s="21"/>
      <c r="O277" s="20"/>
      <c r="Q277" s="126" t="s">
        <v>328</v>
      </c>
    </row>
    <row r="278" spans="1:26" x14ac:dyDescent="0.3">
      <c r="A278" s="18"/>
      <c r="B278" s="250" t="s">
        <v>2724</v>
      </c>
      <c r="C278" s="113"/>
      <c r="D278" s="250" t="s">
        <v>2738</v>
      </c>
      <c r="E278" s="112"/>
      <c r="F278" s="112"/>
      <c r="G278" s="112"/>
      <c r="H278" s="112"/>
      <c r="I278" s="112"/>
      <c r="J278" s="112"/>
      <c r="K278" s="112"/>
      <c r="L278" s="112"/>
      <c r="M278" s="113"/>
      <c r="N278" s="21"/>
      <c r="O278" s="20"/>
    </row>
    <row r="279" spans="1:26" x14ac:dyDescent="0.3">
      <c r="A279" s="18"/>
      <c r="B279" s="250" t="s">
        <v>2725</v>
      </c>
      <c r="C279" s="113"/>
      <c r="D279" s="250" t="s">
        <v>2739</v>
      </c>
      <c r="E279" s="112"/>
      <c r="F279" s="112"/>
      <c r="G279" s="112"/>
      <c r="H279" s="112"/>
      <c r="I279" s="112"/>
      <c r="J279" s="112"/>
      <c r="K279" s="112"/>
      <c r="L279" s="112"/>
      <c r="M279" s="113"/>
      <c r="N279" s="21"/>
      <c r="O279" s="20"/>
    </row>
    <row r="280" spans="1:26" x14ac:dyDescent="0.3">
      <c r="A280" s="18"/>
      <c r="B280" s="250" t="s">
        <v>2760</v>
      </c>
      <c r="C280" s="113"/>
      <c r="D280" s="250" t="s">
        <v>2762</v>
      </c>
      <c r="E280" s="112"/>
      <c r="F280" s="112"/>
      <c r="G280" s="112"/>
      <c r="H280" s="112"/>
      <c r="I280" s="112"/>
      <c r="J280" s="112"/>
      <c r="K280" s="112"/>
      <c r="L280" s="112"/>
      <c r="M280" s="113"/>
      <c r="N280" s="21"/>
      <c r="O280" s="20"/>
      <c r="Q280" s="486" t="s">
        <v>3649</v>
      </c>
      <c r="R280" s="486"/>
      <c r="S280" s="486"/>
      <c r="T280" s="486"/>
      <c r="U280" s="486"/>
      <c r="V280" s="486"/>
      <c r="W280" s="486"/>
      <c r="X280" s="486"/>
      <c r="Y280" s="486"/>
      <c r="Z280" s="486"/>
    </row>
    <row r="281" spans="1:26" x14ac:dyDescent="0.3">
      <c r="A281" s="18"/>
      <c r="B281" s="250" t="s">
        <v>2726</v>
      </c>
      <c r="C281" s="113"/>
      <c r="D281" s="250" t="s">
        <v>2740</v>
      </c>
      <c r="E281" s="112"/>
      <c r="F281" s="112"/>
      <c r="G281" s="112"/>
      <c r="H281" s="112"/>
      <c r="I281" s="112"/>
      <c r="J281" s="112"/>
      <c r="K281" s="112"/>
      <c r="L281" s="112"/>
      <c r="M281" s="113"/>
      <c r="N281" s="21"/>
      <c r="O281" s="20"/>
      <c r="Q281" s="487" t="s">
        <v>333</v>
      </c>
      <c r="R281" s="487"/>
      <c r="S281" s="487" t="s">
        <v>3809</v>
      </c>
      <c r="T281" s="487"/>
      <c r="U281" s="487"/>
      <c r="V281" s="487"/>
      <c r="W281" s="487"/>
      <c r="X281" s="487"/>
      <c r="Y281" s="487"/>
      <c r="Z281" s="487"/>
    </row>
    <row r="282" spans="1:26" x14ac:dyDescent="0.3">
      <c r="A282" s="18"/>
      <c r="B282" s="250" t="s">
        <v>2741</v>
      </c>
      <c r="C282" s="113"/>
      <c r="D282" s="250" t="s">
        <v>2742</v>
      </c>
      <c r="E282" s="112"/>
      <c r="F282" s="112"/>
      <c r="G282" s="112"/>
      <c r="H282" s="112"/>
      <c r="I282" s="112"/>
      <c r="J282" s="112"/>
      <c r="K282" s="112"/>
      <c r="L282" s="112"/>
      <c r="M282" s="113"/>
      <c r="N282" s="21"/>
      <c r="O282" s="20"/>
      <c r="Q282" s="487"/>
      <c r="R282" s="487"/>
      <c r="S282" s="487"/>
      <c r="T282" s="487"/>
      <c r="U282" s="487"/>
      <c r="V282" s="487"/>
      <c r="W282" s="487"/>
      <c r="X282" s="487"/>
      <c r="Y282" s="487"/>
      <c r="Z282" s="487"/>
    </row>
    <row r="283" spans="1:26" x14ac:dyDescent="0.3">
      <c r="A283" s="18"/>
      <c r="B283" s="250" t="s">
        <v>2718</v>
      </c>
      <c r="C283" s="113"/>
      <c r="D283" s="250" t="s">
        <v>2749</v>
      </c>
      <c r="E283" s="112"/>
      <c r="F283" s="112"/>
      <c r="G283" s="112"/>
      <c r="H283" s="112"/>
      <c r="I283" s="112"/>
      <c r="J283" s="112"/>
      <c r="K283" s="112"/>
      <c r="L283" s="112"/>
      <c r="M283" s="113"/>
      <c r="N283" s="21"/>
      <c r="O283" s="20"/>
      <c r="Q283" s="487"/>
      <c r="R283" s="487"/>
      <c r="S283" s="487"/>
      <c r="T283" s="487"/>
      <c r="U283" s="487"/>
      <c r="V283" s="487"/>
      <c r="W283" s="487"/>
      <c r="X283" s="487"/>
      <c r="Y283" s="487"/>
      <c r="Z283" s="487"/>
    </row>
    <row r="284" spans="1:26" x14ac:dyDescent="0.3">
      <c r="A284" s="18"/>
      <c r="B284" s="250" t="s">
        <v>2712</v>
      </c>
      <c r="C284" s="113"/>
      <c r="D284" s="250" t="s">
        <v>2743</v>
      </c>
      <c r="E284" s="112"/>
      <c r="F284" s="112"/>
      <c r="G284" s="112"/>
      <c r="H284" s="112"/>
      <c r="I284" s="112"/>
      <c r="J284" s="112"/>
      <c r="K284" s="112"/>
      <c r="L284" s="112"/>
      <c r="M284" s="113"/>
      <c r="N284" s="21"/>
      <c r="O284" s="20"/>
      <c r="Q284" s="483" t="s">
        <v>323</v>
      </c>
      <c r="R284" s="483"/>
      <c r="S284" s="483" t="s">
        <v>1</v>
      </c>
      <c r="T284" s="483"/>
      <c r="U284" s="483"/>
      <c r="V284" s="483"/>
      <c r="W284" s="483"/>
      <c r="X284" s="483"/>
      <c r="Y284" s="483"/>
      <c r="Z284" s="85" t="s">
        <v>324</v>
      </c>
    </row>
    <row r="285" spans="1:26" x14ac:dyDescent="0.3">
      <c r="A285" s="18"/>
      <c r="B285" s="250" t="s">
        <v>2713</v>
      </c>
      <c r="C285" s="113"/>
      <c r="D285" s="250" t="s">
        <v>2744</v>
      </c>
      <c r="E285" s="112"/>
      <c r="F285" s="112"/>
      <c r="G285" s="112"/>
      <c r="H285" s="112"/>
      <c r="I285" s="112"/>
      <c r="J285" s="112"/>
      <c r="K285" s="112"/>
      <c r="L285" s="112"/>
      <c r="M285" s="113"/>
      <c r="N285" s="21"/>
      <c r="O285" s="20"/>
      <c r="Q285" s="484" t="s">
        <v>949</v>
      </c>
      <c r="R285" s="484"/>
      <c r="S285" s="484" t="s">
        <v>3653</v>
      </c>
      <c r="T285" s="484"/>
      <c r="U285" s="484"/>
      <c r="V285" s="484"/>
      <c r="W285" s="484"/>
      <c r="X285" s="484"/>
      <c r="Y285" s="484"/>
      <c r="Z285" s="485" t="s">
        <v>326</v>
      </c>
    </row>
    <row r="286" spans="1:26" x14ac:dyDescent="0.3">
      <c r="A286" s="18"/>
      <c r="B286" s="250" t="s">
        <v>2747</v>
      </c>
      <c r="C286" s="113"/>
      <c r="D286" s="250" t="s">
        <v>2748</v>
      </c>
      <c r="E286" s="112"/>
      <c r="F286" s="112"/>
      <c r="G286" s="112"/>
      <c r="H286" s="112"/>
      <c r="I286" s="112"/>
      <c r="J286" s="112"/>
      <c r="K286" s="112"/>
      <c r="L286" s="112"/>
      <c r="M286" s="113"/>
      <c r="N286" s="21"/>
      <c r="O286" s="20"/>
      <c r="Q286" s="484"/>
      <c r="R286" s="484"/>
      <c r="S286" s="484"/>
      <c r="T286" s="484"/>
      <c r="U286" s="484"/>
      <c r="V286" s="484"/>
      <c r="W286" s="484"/>
      <c r="X286" s="484"/>
      <c r="Y286" s="484"/>
      <c r="Z286" s="485"/>
    </row>
    <row r="287" spans="1:26" x14ac:dyDescent="0.3">
      <c r="A287" s="18"/>
      <c r="B287" s="21"/>
      <c r="C287" s="21"/>
      <c r="D287" s="21"/>
      <c r="E287" s="21"/>
      <c r="F287" s="21"/>
      <c r="G287" s="21"/>
      <c r="H287" s="21"/>
      <c r="I287" s="21"/>
      <c r="J287" s="21"/>
      <c r="K287" s="21"/>
      <c r="L287" s="21"/>
      <c r="M287" s="21"/>
      <c r="N287" s="21"/>
      <c r="O287" s="20"/>
      <c r="Q287" s="484"/>
      <c r="R287" s="484"/>
      <c r="S287" s="484"/>
      <c r="T287" s="484"/>
      <c r="U287" s="484"/>
      <c r="V287" s="484"/>
      <c r="W287" s="484"/>
      <c r="X287" s="484"/>
      <c r="Y287" s="484"/>
      <c r="Z287" s="485"/>
    </row>
    <row r="288" spans="1:26" x14ac:dyDescent="0.3">
      <c r="A288" s="490" t="s">
        <v>929</v>
      </c>
      <c r="B288" s="491"/>
      <c r="C288" s="491"/>
      <c r="D288" s="491"/>
      <c r="E288" s="491"/>
      <c r="F288" s="491"/>
      <c r="G288" s="491"/>
      <c r="H288" s="491"/>
      <c r="I288" s="491"/>
      <c r="J288" s="491"/>
      <c r="K288" s="491"/>
      <c r="L288" s="491"/>
      <c r="M288" s="491"/>
      <c r="N288" s="21"/>
      <c r="O288" s="20"/>
      <c r="Q288" s="484" t="s">
        <v>1199</v>
      </c>
      <c r="R288" s="484"/>
      <c r="S288" s="484" t="s">
        <v>3654</v>
      </c>
      <c r="T288" s="484"/>
      <c r="U288" s="484"/>
      <c r="V288" s="484"/>
      <c r="W288" s="484"/>
      <c r="X288" s="484"/>
      <c r="Y288" s="484"/>
      <c r="Z288" s="485" t="s">
        <v>326</v>
      </c>
    </row>
    <row r="289" spans="1:26" x14ac:dyDescent="0.3">
      <c r="A289" s="18"/>
      <c r="B289" s="21"/>
      <c r="C289" s="21"/>
      <c r="D289" s="21"/>
      <c r="E289" s="21"/>
      <c r="F289" s="21"/>
      <c r="G289" s="21"/>
      <c r="H289" s="21"/>
      <c r="I289" s="21"/>
      <c r="J289" s="21"/>
      <c r="K289" s="21"/>
      <c r="L289" s="21"/>
      <c r="M289" s="21"/>
      <c r="N289" s="21"/>
      <c r="O289" s="20"/>
      <c r="Q289" s="484"/>
      <c r="R289" s="484"/>
      <c r="S289" s="484"/>
      <c r="T289" s="484"/>
      <c r="U289" s="484"/>
      <c r="V289" s="484"/>
      <c r="W289" s="484"/>
      <c r="X289" s="484"/>
      <c r="Y289" s="484"/>
      <c r="Z289" s="485"/>
    </row>
    <row r="290" spans="1:26" x14ac:dyDescent="0.3">
      <c r="A290" s="18"/>
      <c r="B290" s="508" t="s">
        <v>3343</v>
      </c>
      <c r="C290" s="508"/>
      <c r="D290" s="21"/>
      <c r="E290" s="21"/>
      <c r="F290" s="21"/>
      <c r="G290" s="21"/>
      <c r="H290" s="21"/>
      <c r="I290" s="21"/>
      <c r="J290" s="21"/>
      <c r="K290" s="21"/>
      <c r="L290" s="21"/>
      <c r="M290" s="21"/>
      <c r="N290" s="21"/>
      <c r="O290" s="20"/>
      <c r="Q290" s="484"/>
      <c r="R290" s="484"/>
      <c r="S290" s="484"/>
      <c r="T290" s="484"/>
      <c r="U290" s="484"/>
      <c r="V290" s="484"/>
      <c r="W290" s="484"/>
      <c r="X290" s="484"/>
      <c r="Y290" s="484"/>
      <c r="Z290" s="485"/>
    </row>
    <row r="291" spans="1:26" x14ac:dyDescent="0.3">
      <c r="A291" s="18"/>
      <c r="B291" s="150" t="str">
        <f t="array" ref="B291:C291">_xll.U.HAS_WEB_CONTROLS()</f>
        <v>U.HAS_WEB_CONTROLS</v>
      </c>
      <c r="C291" s="150" t="str">
        <v>c</v>
      </c>
      <c r="D291" s="21"/>
      <c r="E291" s="21"/>
      <c r="F291" s="21"/>
      <c r="G291" s="21"/>
      <c r="H291" s="21"/>
      <c r="I291" s="21"/>
      <c r="J291" s="21"/>
      <c r="K291" s="21"/>
      <c r="L291" s="21"/>
      <c r="M291" s="21"/>
      <c r="N291" s="21"/>
      <c r="O291" s="20"/>
      <c r="Q291" s="484" t="s">
        <v>950</v>
      </c>
      <c r="R291" s="484"/>
      <c r="S291" s="484" t="s">
        <v>3655</v>
      </c>
      <c r="T291" s="484"/>
      <c r="U291" s="484"/>
      <c r="V291" s="484"/>
      <c r="W291" s="484"/>
      <c r="X291" s="484"/>
      <c r="Y291" s="484"/>
      <c r="Z291" s="485" t="s">
        <v>326</v>
      </c>
    </row>
    <row r="292" spans="1:26" x14ac:dyDescent="0.3">
      <c r="A292" s="18"/>
      <c r="B292" s="21"/>
      <c r="C292" s="21"/>
      <c r="D292" s="21"/>
      <c r="E292" s="21"/>
      <c r="F292" s="21"/>
      <c r="G292" s="21"/>
      <c r="H292" s="21"/>
      <c r="I292" s="21"/>
      <c r="J292" s="21"/>
      <c r="K292" s="21"/>
      <c r="L292" s="21"/>
      <c r="M292" s="21"/>
      <c r="N292" s="21"/>
      <c r="O292" s="20"/>
      <c r="Q292" s="484"/>
      <c r="R292" s="484"/>
      <c r="S292" s="484"/>
      <c r="T292" s="484"/>
      <c r="U292" s="484"/>
      <c r="V292" s="484"/>
      <c r="W292" s="484"/>
      <c r="X292" s="484"/>
      <c r="Y292" s="484"/>
      <c r="Z292" s="485"/>
    </row>
    <row r="293" spans="1:26" x14ac:dyDescent="0.3">
      <c r="A293" s="18"/>
      <c r="B293" s="21"/>
      <c r="C293" s="21"/>
      <c r="D293" s="21"/>
      <c r="E293" s="21"/>
      <c r="F293" s="21"/>
      <c r="G293" s="21"/>
      <c r="H293" s="21"/>
      <c r="I293" s="21"/>
      <c r="J293" s="21"/>
      <c r="K293" s="21"/>
      <c r="L293" s="21"/>
      <c r="M293" s="21"/>
      <c r="N293" s="21"/>
      <c r="O293" s="20"/>
      <c r="Q293" s="484"/>
      <c r="R293" s="484"/>
      <c r="S293" s="484"/>
      <c r="T293" s="484"/>
      <c r="U293" s="484"/>
      <c r="V293" s="484"/>
      <c r="W293" s="484"/>
      <c r="X293" s="484"/>
      <c r="Y293" s="484"/>
      <c r="Z293" s="485"/>
    </row>
    <row r="294" spans="1:26" x14ac:dyDescent="0.3">
      <c r="A294" s="18"/>
      <c r="B294" s="508" t="s">
        <v>3343</v>
      </c>
      <c r="C294" s="508"/>
      <c r="D294" s="21"/>
      <c r="E294" s="21"/>
      <c r="F294" s="21"/>
      <c r="G294" s="21"/>
      <c r="H294" s="21"/>
      <c r="I294" s="21"/>
      <c r="J294" s="21"/>
      <c r="K294" s="21"/>
      <c r="L294" s="21"/>
      <c r="M294" s="21"/>
      <c r="N294" s="21"/>
      <c r="O294" s="20"/>
      <c r="Q294" s="126" t="s">
        <v>328</v>
      </c>
    </row>
    <row r="295" spans="1:26" x14ac:dyDescent="0.3">
      <c r="A295" s="18"/>
      <c r="B295" s="150" t="str">
        <f t="array" ref="B295:C295">_xll.U.HAS_WEB_CONTROLS(TRUE)</f>
        <v>U.HAS_WEB_CONTROLS</v>
      </c>
      <c r="C295" s="30" t="str">
        <v>r</v>
      </c>
      <c r="D295" s="21"/>
      <c r="E295" s="21"/>
      <c r="F295" s="21"/>
      <c r="G295" s="21"/>
      <c r="H295" s="21"/>
      <c r="I295" s="21"/>
      <c r="J295" s="21"/>
      <c r="K295" s="21"/>
      <c r="L295" s="21"/>
      <c r="M295" s="21"/>
      <c r="N295" s="21"/>
      <c r="O295" s="20"/>
    </row>
    <row r="296" spans="1:26" x14ac:dyDescent="0.3">
      <c r="A296" s="18"/>
      <c r="B296" s="21"/>
      <c r="C296" s="21"/>
      <c r="D296" s="21"/>
      <c r="E296" s="21"/>
      <c r="F296" s="21"/>
      <c r="G296" s="21"/>
      <c r="H296" s="21"/>
      <c r="I296" s="21"/>
      <c r="J296" s="21"/>
      <c r="K296" s="21"/>
      <c r="L296" s="21"/>
      <c r="M296" s="21"/>
      <c r="N296" s="21"/>
      <c r="O296" s="20"/>
    </row>
    <row r="297" spans="1:26" x14ac:dyDescent="0.3">
      <c r="A297" s="18"/>
      <c r="B297" s="21"/>
      <c r="C297" s="21"/>
      <c r="D297" s="21"/>
      <c r="E297" s="21"/>
      <c r="F297" s="21"/>
      <c r="G297" s="21"/>
      <c r="H297" s="21"/>
      <c r="I297" s="21"/>
      <c r="J297" s="21"/>
      <c r="K297" s="21"/>
      <c r="L297" s="21"/>
      <c r="M297" s="21"/>
      <c r="N297" s="21"/>
      <c r="O297" s="20"/>
      <c r="Q297" s="486" t="s">
        <v>3650</v>
      </c>
      <c r="R297" s="486"/>
      <c r="S297" s="486"/>
      <c r="T297" s="486"/>
      <c r="U297" s="486"/>
      <c r="V297" s="486"/>
      <c r="W297" s="486"/>
      <c r="X297" s="486"/>
      <c r="Y297" s="486"/>
      <c r="Z297" s="486"/>
    </row>
    <row r="298" spans="1:26" x14ac:dyDescent="0.3">
      <c r="A298" s="18"/>
      <c r="B298" s="21"/>
      <c r="C298" s="21"/>
      <c r="D298" s="21"/>
      <c r="E298" s="21"/>
      <c r="F298" s="21"/>
      <c r="G298" s="21"/>
      <c r="H298" s="21"/>
      <c r="I298" s="21"/>
      <c r="J298" s="21"/>
      <c r="K298" s="21"/>
      <c r="L298" s="21"/>
      <c r="M298" s="21"/>
      <c r="N298" s="21"/>
      <c r="O298" s="20"/>
      <c r="Q298" s="487" t="s">
        <v>333</v>
      </c>
      <c r="R298" s="487"/>
      <c r="S298" s="487" t="s">
        <v>3810</v>
      </c>
      <c r="T298" s="487"/>
      <c r="U298" s="487"/>
      <c r="V298" s="487"/>
      <c r="W298" s="487"/>
      <c r="X298" s="487"/>
      <c r="Y298" s="487"/>
      <c r="Z298" s="487"/>
    </row>
    <row r="299" spans="1:26" x14ac:dyDescent="0.3">
      <c r="A299" s="18"/>
      <c r="B299" s="21"/>
      <c r="C299" s="21"/>
      <c r="D299" s="21"/>
      <c r="E299" s="21"/>
      <c r="F299" s="21"/>
      <c r="G299" s="21"/>
      <c r="H299" s="21"/>
      <c r="I299" s="21"/>
      <c r="J299" s="21"/>
      <c r="K299" s="21"/>
      <c r="L299" s="21"/>
      <c r="M299" s="21"/>
      <c r="N299" s="21"/>
      <c r="O299" s="20"/>
      <c r="Q299" s="487"/>
      <c r="R299" s="487"/>
      <c r="S299" s="487"/>
      <c r="T299" s="487"/>
      <c r="U299" s="487"/>
      <c r="V299" s="487"/>
      <c r="W299" s="487"/>
      <c r="X299" s="487"/>
      <c r="Y299" s="487"/>
      <c r="Z299" s="487"/>
    </row>
    <row r="300" spans="1:26" x14ac:dyDescent="0.3">
      <c r="A300" s="18"/>
      <c r="B300" s="21"/>
      <c r="C300" s="21"/>
      <c r="D300" s="21"/>
      <c r="E300" s="21"/>
      <c r="F300" s="21"/>
      <c r="G300" s="21"/>
      <c r="H300" s="21"/>
      <c r="I300" s="21"/>
      <c r="J300" s="21"/>
      <c r="K300" s="21"/>
      <c r="L300" s="21"/>
      <c r="M300" s="21"/>
      <c r="N300" s="21"/>
      <c r="O300" s="20"/>
      <c r="Q300" s="487"/>
      <c r="R300" s="487"/>
      <c r="S300" s="487"/>
      <c r="T300" s="487"/>
      <c r="U300" s="487"/>
      <c r="V300" s="487"/>
      <c r="W300" s="487"/>
      <c r="X300" s="487"/>
      <c r="Y300" s="487"/>
      <c r="Z300" s="487"/>
    </row>
    <row r="301" spans="1:26" x14ac:dyDescent="0.3">
      <c r="A301" s="18"/>
      <c r="B301" s="21"/>
      <c r="C301" s="21"/>
      <c r="D301" s="21"/>
      <c r="E301" s="21"/>
      <c r="F301" s="21"/>
      <c r="G301" s="21"/>
      <c r="H301" s="21"/>
      <c r="I301" s="21"/>
      <c r="J301" s="21"/>
      <c r="K301" s="21"/>
      <c r="L301" s="21"/>
      <c r="M301" s="21"/>
      <c r="N301" s="21"/>
      <c r="O301" s="20"/>
      <c r="Q301" s="483" t="s">
        <v>323</v>
      </c>
      <c r="R301" s="483"/>
      <c r="S301" s="483" t="s">
        <v>1</v>
      </c>
      <c r="T301" s="483"/>
      <c r="U301" s="483"/>
      <c r="V301" s="483"/>
      <c r="W301" s="483"/>
      <c r="X301" s="483"/>
      <c r="Y301" s="483"/>
      <c r="Z301" s="85" t="s">
        <v>324</v>
      </c>
    </row>
    <row r="302" spans="1:26" ht="15" customHeight="1" x14ac:dyDescent="0.3">
      <c r="A302" s="18"/>
      <c r="B302" s="21"/>
      <c r="C302" s="21"/>
      <c r="D302" s="21"/>
      <c r="E302" s="21"/>
      <c r="F302" s="21"/>
      <c r="G302" s="21"/>
      <c r="H302" s="21"/>
      <c r="I302" s="21"/>
      <c r="J302" s="21"/>
      <c r="K302" s="21"/>
      <c r="L302" s="21"/>
      <c r="M302" s="21"/>
      <c r="N302" s="21"/>
      <c r="O302" s="20"/>
      <c r="Q302" s="484" t="s">
        <v>949</v>
      </c>
      <c r="R302" s="484"/>
      <c r="S302" s="484" t="s">
        <v>3656</v>
      </c>
      <c r="T302" s="484"/>
      <c r="U302" s="484"/>
      <c r="V302" s="484"/>
      <c r="W302" s="484"/>
      <c r="X302" s="484"/>
      <c r="Y302" s="484"/>
      <c r="Z302" s="485" t="s">
        <v>326</v>
      </c>
    </row>
    <row r="303" spans="1:26" x14ac:dyDescent="0.3">
      <c r="A303" s="18"/>
      <c r="B303" s="21"/>
      <c r="C303" s="21"/>
      <c r="D303" s="21"/>
      <c r="E303" s="21"/>
      <c r="F303" s="21"/>
      <c r="G303" s="21"/>
      <c r="H303" s="21"/>
      <c r="I303" s="21"/>
      <c r="J303" s="21"/>
      <c r="K303" s="21"/>
      <c r="L303" s="21"/>
      <c r="M303" s="21"/>
      <c r="N303" s="21"/>
      <c r="O303" s="20"/>
      <c r="Q303" s="484"/>
      <c r="R303" s="484"/>
      <c r="S303" s="484"/>
      <c r="T303" s="484"/>
      <c r="U303" s="484"/>
      <c r="V303" s="484"/>
      <c r="W303" s="484"/>
      <c r="X303" s="484"/>
      <c r="Y303" s="484"/>
      <c r="Z303" s="485"/>
    </row>
    <row r="304" spans="1:26" ht="15" customHeight="1" x14ac:dyDescent="0.3">
      <c r="A304" s="18"/>
      <c r="B304" s="21"/>
      <c r="C304" s="21"/>
      <c r="D304" s="21"/>
      <c r="E304" s="21"/>
      <c r="F304" s="21"/>
      <c r="G304" s="21"/>
      <c r="H304" s="21"/>
      <c r="I304" s="21"/>
      <c r="J304" s="21"/>
      <c r="K304" s="21"/>
      <c r="L304" s="21"/>
      <c r="M304" s="21"/>
      <c r="N304" s="21"/>
      <c r="O304" s="20"/>
      <c r="Q304" s="484"/>
      <c r="R304" s="484"/>
      <c r="S304" s="484"/>
      <c r="T304" s="484"/>
      <c r="U304" s="484"/>
      <c r="V304" s="484"/>
      <c r="W304" s="484"/>
      <c r="X304" s="484"/>
      <c r="Y304" s="484"/>
      <c r="Z304" s="485"/>
    </row>
    <row r="305" spans="1:26" x14ac:dyDescent="0.3">
      <c r="A305" s="18"/>
      <c r="B305" s="21"/>
      <c r="C305" s="21"/>
      <c r="D305" s="21"/>
      <c r="E305" s="21"/>
      <c r="F305" s="21"/>
      <c r="G305" s="21"/>
      <c r="H305" s="21"/>
      <c r="I305" s="21"/>
      <c r="J305" s="21"/>
      <c r="K305" s="21"/>
      <c r="L305" s="21"/>
      <c r="M305" s="21"/>
      <c r="N305" s="21"/>
      <c r="O305" s="20"/>
      <c r="Q305" s="484" t="s">
        <v>1199</v>
      </c>
      <c r="R305" s="484"/>
      <c r="S305" s="484" t="s">
        <v>3657</v>
      </c>
      <c r="T305" s="484"/>
      <c r="U305" s="484"/>
      <c r="V305" s="484"/>
      <c r="W305" s="484"/>
      <c r="X305" s="484"/>
      <c r="Y305" s="484"/>
      <c r="Z305" s="485" t="s">
        <v>326</v>
      </c>
    </row>
    <row r="306" spans="1:26" x14ac:dyDescent="0.3">
      <c r="A306" s="18"/>
      <c r="B306" s="21"/>
      <c r="C306" s="21"/>
      <c r="D306" s="21"/>
      <c r="E306" s="21"/>
      <c r="F306" s="21"/>
      <c r="G306" s="21"/>
      <c r="H306" s="21"/>
      <c r="I306" s="21"/>
      <c r="J306" s="21"/>
      <c r="K306" s="21"/>
      <c r="L306" s="21"/>
      <c r="M306" s="21"/>
      <c r="N306" s="21"/>
      <c r="O306" s="20"/>
      <c r="Q306" s="484"/>
      <c r="R306" s="484"/>
      <c r="S306" s="484"/>
      <c r="T306" s="484"/>
      <c r="U306" s="484"/>
      <c r="V306" s="484"/>
      <c r="W306" s="484"/>
      <c r="X306" s="484"/>
      <c r="Y306" s="484"/>
      <c r="Z306" s="485"/>
    </row>
    <row r="307" spans="1:26" ht="15" customHeight="1" x14ac:dyDescent="0.3">
      <c r="A307" s="18"/>
      <c r="B307" s="21"/>
      <c r="C307" s="21"/>
      <c r="D307" s="21"/>
      <c r="E307" s="21"/>
      <c r="F307" s="21"/>
      <c r="G307" s="21"/>
      <c r="H307" s="21"/>
      <c r="I307" s="21"/>
      <c r="J307" s="21"/>
      <c r="K307" s="21"/>
      <c r="L307" s="21"/>
      <c r="M307" s="21"/>
      <c r="N307" s="21"/>
      <c r="O307" s="20"/>
      <c r="Q307" s="484"/>
      <c r="R307" s="484"/>
      <c r="S307" s="484"/>
      <c r="T307" s="484"/>
      <c r="U307" s="484"/>
      <c r="V307" s="484"/>
      <c r="W307" s="484"/>
      <c r="X307" s="484"/>
      <c r="Y307" s="484"/>
      <c r="Z307" s="485"/>
    </row>
    <row r="308" spans="1:26" x14ac:dyDescent="0.3">
      <c r="A308" s="18"/>
      <c r="B308" s="21"/>
      <c r="C308" s="21"/>
      <c r="D308" s="21"/>
      <c r="E308" s="21"/>
      <c r="F308" s="21"/>
      <c r="G308" s="21"/>
      <c r="H308" s="21"/>
      <c r="I308" s="21"/>
      <c r="J308" s="21"/>
      <c r="K308" s="21"/>
      <c r="L308" s="21"/>
      <c r="M308" s="21"/>
      <c r="N308" s="21"/>
      <c r="O308" s="20"/>
      <c r="Q308" s="484" t="s">
        <v>950</v>
      </c>
      <c r="R308" s="484"/>
      <c r="S308" s="484" t="s">
        <v>3639</v>
      </c>
      <c r="T308" s="484"/>
      <c r="U308" s="484"/>
      <c r="V308" s="484"/>
      <c r="W308" s="484"/>
      <c r="X308" s="484"/>
      <c r="Y308" s="484"/>
      <c r="Z308" s="485" t="s">
        <v>326</v>
      </c>
    </row>
    <row r="309" spans="1:26" x14ac:dyDescent="0.3">
      <c r="A309" s="18"/>
      <c r="B309" s="21"/>
      <c r="C309" s="21"/>
      <c r="D309" s="21"/>
      <c r="E309" s="21"/>
      <c r="F309" s="21"/>
      <c r="G309" s="21"/>
      <c r="H309" s="21"/>
      <c r="I309" s="21"/>
      <c r="J309" s="21"/>
      <c r="K309" s="21"/>
      <c r="L309" s="21"/>
      <c r="M309" s="21"/>
      <c r="N309" s="21"/>
      <c r="O309" s="20"/>
      <c r="Q309" s="484"/>
      <c r="R309" s="484"/>
      <c r="S309" s="484"/>
      <c r="T309" s="484"/>
      <c r="U309" s="484"/>
      <c r="V309" s="484"/>
      <c r="W309" s="484"/>
      <c r="X309" s="484"/>
      <c r="Y309" s="484"/>
      <c r="Z309" s="485"/>
    </row>
    <row r="310" spans="1:26" x14ac:dyDescent="0.3">
      <c r="A310" s="18"/>
      <c r="B310" s="492" t="s">
        <v>3344</v>
      </c>
      <c r="C310" s="493"/>
      <c r="D310" s="21"/>
      <c r="E310" s="21"/>
      <c r="F310" s="21"/>
      <c r="G310" s="21"/>
      <c r="H310" s="21"/>
      <c r="I310" s="21"/>
      <c r="J310" s="21"/>
      <c r="K310" s="21"/>
      <c r="L310" s="21"/>
      <c r="M310" s="21"/>
      <c r="N310" s="21"/>
      <c r="O310" s="20"/>
      <c r="Q310" s="484"/>
      <c r="R310" s="484"/>
      <c r="S310" s="484"/>
      <c r="T310" s="484"/>
      <c r="U310" s="484"/>
      <c r="V310" s="484"/>
      <c r="W310" s="484"/>
      <c r="X310" s="484"/>
      <c r="Y310" s="484"/>
      <c r="Z310" s="485"/>
    </row>
    <row r="311" spans="1:26" x14ac:dyDescent="0.3">
      <c r="A311" s="18"/>
      <c r="B311" s="3" t="s">
        <v>934</v>
      </c>
      <c r="C311" s="9" t="s">
        <v>933</v>
      </c>
      <c r="D311" s="30"/>
      <c r="E311" s="21"/>
      <c r="F311" s="21"/>
      <c r="G311" s="21"/>
      <c r="H311" s="21"/>
      <c r="I311" s="21"/>
      <c r="J311" s="21"/>
      <c r="K311" s="21"/>
      <c r="L311" s="21"/>
      <c r="M311" s="21"/>
      <c r="N311" s="21"/>
      <c r="O311" s="20"/>
      <c r="Q311" s="126" t="s">
        <v>328</v>
      </c>
    </row>
    <row r="312" spans="1:26" x14ac:dyDescent="0.3">
      <c r="A312" s="18"/>
      <c r="B312" s="39" t="s">
        <v>936</v>
      </c>
      <c r="C312" s="40" t="b">
        <v>1</v>
      </c>
      <c r="D312" s="30" t="str" cm="1">
        <f t="array" ref="D312">_xll.U.WEB_CONTROL.CHECKBOX()</f>
        <v>[HTML::CHECKBOX]</v>
      </c>
      <c r="E312" s="21"/>
      <c r="F312" s="21"/>
      <c r="G312" s="21"/>
      <c r="H312" s="21"/>
      <c r="I312" s="21"/>
      <c r="J312" s="21"/>
      <c r="K312" s="21"/>
      <c r="L312" s="21"/>
      <c r="M312" s="21"/>
      <c r="N312" s="21"/>
      <c r="O312" s="20"/>
    </row>
    <row r="313" spans="1:26" x14ac:dyDescent="0.3">
      <c r="A313" s="18"/>
      <c r="B313" s="39" t="s">
        <v>935</v>
      </c>
      <c r="C313" s="40" t="b">
        <v>0</v>
      </c>
      <c r="D313" s="30" t="str" cm="1">
        <f t="array" ref="D313">_xll.U.WEB_CONTROL.CHECKBOX()</f>
        <v>[HTML::CHECKBOX]</v>
      </c>
      <c r="E313" s="21"/>
      <c r="F313" s="21"/>
      <c r="G313" s="21"/>
      <c r="H313" s="21"/>
      <c r="I313" s="21"/>
      <c r="J313" s="21"/>
      <c r="K313" s="21"/>
      <c r="L313" s="21"/>
      <c r="M313" s="21"/>
      <c r="N313" s="21"/>
      <c r="O313" s="20"/>
    </row>
    <row r="314" spans="1:26" x14ac:dyDescent="0.3">
      <c r="A314" s="18"/>
      <c r="B314" s="21"/>
      <c r="C314" s="21"/>
      <c r="D314" s="21"/>
      <c r="E314" s="21"/>
      <c r="F314" s="21"/>
      <c r="G314" s="21"/>
      <c r="H314" s="21"/>
      <c r="I314" s="21"/>
      <c r="J314" s="21"/>
      <c r="K314" s="21"/>
      <c r="L314" s="21"/>
      <c r="M314" s="21"/>
      <c r="N314" s="21"/>
      <c r="O314" s="20"/>
      <c r="Q314" s="486" t="s">
        <v>3355</v>
      </c>
      <c r="R314" s="486"/>
      <c r="S314" s="486"/>
      <c r="T314" s="486"/>
      <c r="U314" s="486"/>
      <c r="V314" s="486"/>
      <c r="W314" s="486"/>
      <c r="X314" s="486"/>
      <c r="Y314" s="486"/>
      <c r="Z314" s="486"/>
    </row>
    <row r="315" spans="1:26" x14ac:dyDescent="0.3">
      <c r="A315" s="18"/>
      <c r="B315" s="21"/>
      <c r="C315" s="21"/>
      <c r="D315" s="21"/>
      <c r="E315" s="21"/>
      <c r="F315" s="21"/>
      <c r="G315" s="21"/>
      <c r="H315" s="21"/>
      <c r="I315" s="21"/>
      <c r="J315" s="21"/>
      <c r="K315" s="21"/>
      <c r="L315" s="21"/>
      <c r="M315" s="21"/>
      <c r="N315" s="21"/>
      <c r="O315" s="20"/>
      <c r="Q315" s="487" t="s">
        <v>333</v>
      </c>
      <c r="R315" s="487"/>
      <c r="S315" s="487" t="s">
        <v>3811</v>
      </c>
      <c r="T315" s="487"/>
      <c r="U315" s="487"/>
      <c r="V315" s="487"/>
      <c r="W315" s="487"/>
      <c r="X315" s="487"/>
      <c r="Y315" s="487"/>
      <c r="Z315" s="487"/>
    </row>
    <row r="316" spans="1:26" x14ac:dyDescent="0.3">
      <c r="A316" s="18"/>
      <c r="B316" s="21"/>
      <c r="C316" s="21"/>
      <c r="D316" s="21"/>
      <c r="E316" s="21"/>
      <c r="F316" s="21"/>
      <c r="G316" s="21"/>
      <c r="H316" s="21"/>
      <c r="I316" s="21"/>
      <c r="J316" s="21"/>
      <c r="K316" s="21"/>
      <c r="L316" s="21"/>
      <c r="M316" s="21"/>
      <c r="N316" s="21"/>
      <c r="O316" s="20"/>
      <c r="Q316" s="487"/>
      <c r="R316" s="487"/>
      <c r="S316" s="487"/>
      <c r="T316" s="487"/>
      <c r="U316" s="487"/>
      <c r="V316" s="487"/>
      <c r="W316" s="487"/>
      <c r="X316" s="487"/>
      <c r="Y316" s="487"/>
      <c r="Z316" s="487"/>
    </row>
    <row r="317" spans="1:26" x14ac:dyDescent="0.3">
      <c r="A317" s="18"/>
      <c r="B317" s="21"/>
      <c r="C317" s="21"/>
      <c r="D317" s="21"/>
      <c r="E317" s="21"/>
      <c r="F317" s="21"/>
      <c r="G317" s="21"/>
      <c r="H317" s="21"/>
      <c r="I317" s="21"/>
      <c r="J317" s="21"/>
      <c r="K317" s="21"/>
      <c r="L317" s="21"/>
      <c r="M317" s="21"/>
      <c r="N317" s="21"/>
      <c r="O317" s="20"/>
      <c r="Q317" s="487"/>
      <c r="R317" s="487"/>
      <c r="S317" s="487"/>
      <c r="T317" s="487"/>
      <c r="U317" s="487"/>
      <c r="V317" s="487"/>
      <c r="W317" s="487"/>
      <c r="X317" s="487"/>
      <c r="Y317" s="487"/>
      <c r="Z317" s="487"/>
    </row>
    <row r="318" spans="1:26" x14ac:dyDescent="0.3">
      <c r="A318" s="18"/>
      <c r="B318" s="21"/>
      <c r="C318" s="21"/>
      <c r="D318" s="21"/>
      <c r="E318" s="21"/>
      <c r="F318" s="21"/>
      <c r="G318" s="21"/>
      <c r="H318" s="21"/>
      <c r="I318" s="21"/>
      <c r="J318" s="21"/>
      <c r="K318" s="21"/>
      <c r="L318" s="21"/>
      <c r="M318" s="21"/>
      <c r="N318" s="21"/>
      <c r="O318" s="20"/>
      <c r="Q318" s="483" t="s">
        <v>323</v>
      </c>
      <c r="R318" s="483"/>
      <c r="S318" s="483" t="s">
        <v>1</v>
      </c>
      <c r="T318" s="483"/>
      <c r="U318" s="483"/>
      <c r="V318" s="483"/>
      <c r="W318" s="483"/>
      <c r="X318" s="483"/>
      <c r="Y318" s="483"/>
      <c r="Z318" s="85" t="s">
        <v>324</v>
      </c>
    </row>
    <row r="319" spans="1:26" x14ac:dyDescent="0.3">
      <c r="A319" s="18"/>
      <c r="B319" s="21"/>
      <c r="C319" s="21"/>
      <c r="D319" s="21"/>
      <c r="E319" s="21"/>
      <c r="F319" s="21"/>
      <c r="G319" s="21"/>
      <c r="H319" s="21"/>
      <c r="I319" s="21"/>
      <c r="J319" s="21"/>
      <c r="K319" s="21"/>
      <c r="L319" s="21"/>
      <c r="M319" s="21"/>
      <c r="N319" s="21"/>
      <c r="O319" s="20"/>
      <c r="Q319" s="487" t="s">
        <v>969</v>
      </c>
      <c r="R319" s="487"/>
      <c r="S319" s="487" t="s">
        <v>943</v>
      </c>
      <c r="T319" s="487"/>
      <c r="U319" s="487"/>
      <c r="V319" s="487"/>
      <c r="W319" s="487"/>
      <c r="X319" s="487"/>
      <c r="Y319" s="487"/>
      <c r="Z319" s="509" t="s">
        <v>325</v>
      </c>
    </row>
    <row r="320" spans="1:26" x14ac:dyDescent="0.3">
      <c r="A320" s="18"/>
      <c r="B320" s="21"/>
      <c r="C320" s="21"/>
      <c r="D320" s="21"/>
      <c r="E320" s="21"/>
      <c r="F320" s="21"/>
      <c r="G320" s="21"/>
      <c r="H320" s="21"/>
      <c r="I320" s="21"/>
      <c r="J320" s="21"/>
      <c r="K320" s="21"/>
      <c r="L320" s="21"/>
      <c r="M320" s="21"/>
      <c r="N320" s="21"/>
      <c r="O320" s="20"/>
      <c r="Q320" s="487"/>
      <c r="R320" s="487"/>
      <c r="S320" s="487"/>
      <c r="T320" s="487"/>
      <c r="U320" s="487"/>
      <c r="V320" s="487"/>
      <c r="W320" s="487"/>
      <c r="X320" s="487"/>
      <c r="Y320" s="487"/>
      <c r="Z320" s="509"/>
    </row>
    <row r="321" spans="1:26" x14ac:dyDescent="0.3">
      <c r="A321" s="18"/>
      <c r="B321" s="21"/>
      <c r="C321" s="21"/>
      <c r="D321" s="21"/>
      <c r="E321" s="21"/>
      <c r="F321" s="21"/>
      <c r="G321" s="21"/>
      <c r="H321" s="21"/>
      <c r="I321" s="21"/>
      <c r="J321" s="21"/>
      <c r="K321" s="21"/>
      <c r="L321" s="21"/>
      <c r="M321" s="21"/>
      <c r="N321" s="21"/>
      <c r="O321" s="20"/>
      <c r="Q321" s="487"/>
      <c r="R321" s="487"/>
      <c r="S321" s="487"/>
      <c r="T321" s="487"/>
      <c r="U321" s="487"/>
      <c r="V321" s="487"/>
      <c r="W321" s="487"/>
      <c r="X321" s="487"/>
      <c r="Y321" s="487"/>
      <c r="Z321" s="509"/>
    </row>
    <row r="322" spans="1:26" x14ac:dyDescent="0.3">
      <c r="A322" s="18"/>
      <c r="B322" s="21"/>
      <c r="C322" s="483" t="s">
        <v>938</v>
      </c>
      <c r="D322" s="483"/>
      <c r="E322" s="483"/>
      <c r="F322" s="21"/>
      <c r="G322" s="21"/>
      <c r="H322" s="21"/>
      <c r="I322" s="21"/>
      <c r="J322" s="21"/>
      <c r="K322" s="21"/>
      <c r="L322" s="21"/>
      <c r="M322" s="21"/>
      <c r="N322" s="21"/>
      <c r="O322" s="20"/>
      <c r="Q322" s="484" t="s">
        <v>948</v>
      </c>
      <c r="R322" s="484"/>
      <c r="S322" s="484" t="s">
        <v>1207</v>
      </c>
      <c r="T322" s="484"/>
      <c r="U322" s="484"/>
      <c r="V322" s="484"/>
      <c r="W322" s="484"/>
      <c r="X322" s="484"/>
      <c r="Y322" s="484"/>
      <c r="Z322" s="485" t="s">
        <v>326</v>
      </c>
    </row>
    <row r="323" spans="1:26" x14ac:dyDescent="0.3">
      <c r="A323" s="18"/>
      <c r="B323" s="21"/>
      <c r="C323" s="3" t="s">
        <v>940</v>
      </c>
      <c r="D323" s="3" t="s">
        <v>937</v>
      </c>
      <c r="E323" s="3" t="s">
        <v>939</v>
      </c>
      <c r="F323" s="21"/>
      <c r="G323" s="21"/>
      <c r="H323" s="21"/>
      <c r="I323" s="21"/>
      <c r="J323" s="21"/>
      <c r="K323" s="21"/>
      <c r="L323" s="21"/>
      <c r="M323" s="21"/>
      <c r="N323" s="21"/>
      <c r="O323" s="20"/>
      <c r="Q323" s="484"/>
      <c r="R323" s="484"/>
      <c r="S323" s="484"/>
      <c r="T323" s="484"/>
      <c r="U323" s="484"/>
      <c r="V323" s="484"/>
      <c r="W323" s="484"/>
      <c r="X323" s="484"/>
      <c r="Y323" s="484"/>
      <c r="Z323" s="485"/>
    </row>
    <row r="324" spans="1:26" ht="15" customHeight="1" x14ac:dyDescent="0.3">
      <c r="A324" s="18"/>
      <c r="B324" s="183" t="s">
        <v>872</v>
      </c>
      <c r="C324" s="30" t="b">
        <v>0</v>
      </c>
      <c r="D324" s="30" t="b">
        <v>1</v>
      </c>
      <c r="E324" s="30" t="b">
        <v>1</v>
      </c>
      <c r="F324" s="21"/>
      <c r="G324" s="21"/>
      <c r="H324" s="21"/>
      <c r="I324" s="21"/>
      <c r="J324" s="21"/>
      <c r="K324" s="21"/>
      <c r="L324" s="21"/>
      <c r="M324" s="21"/>
      <c r="N324" s="21"/>
      <c r="O324" s="20"/>
      <c r="Q324" s="484"/>
      <c r="R324" s="484"/>
      <c r="S324" s="484"/>
      <c r="T324" s="484"/>
      <c r="U324" s="484"/>
      <c r="V324" s="484"/>
      <c r="W324" s="484"/>
      <c r="X324" s="484"/>
      <c r="Y324" s="484"/>
      <c r="Z324" s="485"/>
    </row>
    <row r="325" spans="1:26" x14ac:dyDescent="0.3">
      <c r="A325" s="18"/>
      <c r="B325" s="30"/>
      <c r="C325" s="30" t="str" cm="1">
        <f t="array" ref="C325">_xll.U.WEB_CONTROL.CHECKBOX()</f>
        <v>[HTML::CHECKBOX]</v>
      </c>
      <c r="D325" s="30" t="str" cm="1">
        <f t="array" ref="D325">_xll.U.WEB_CONTROL.CHECKBOX()</f>
        <v>[HTML::CHECKBOX]</v>
      </c>
      <c r="E325" s="30" t="str" cm="1">
        <f t="array" ref="E325">_xll.U.WEB_CONTROL.CHECKBOX()</f>
        <v>[HTML::CHECKBOX]</v>
      </c>
      <c r="F325" s="21"/>
      <c r="G325" s="21"/>
      <c r="H325" s="21"/>
      <c r="I325" s="21"/>
      <c r="J325" s="21"/>
      <c r="K325" s="21"/>
      <c r="L325" s="21"/>
      <c r="M325" s="21"/>
      <c r="N325" s="21"/>
      <c r="O325" s="20"/>
      <c r="Q325" s="126" t="s">
        <v>328</v>
      </c>
    </row>
    <row r="326" spans="1:26" x14ac:dyDescent="0.3">
      <c r="A326" s="18"/>
      <c r="B326" s="183" t="s">
        <v>913</v>
      </c>
      <c r="C326" s="30" t="b">
        <v>0</v>
      </c>
      <c r="D326" s="30" t="b">
        <v>1</v>
      </c>
      <c r="E326" s="30" t="b">
        <v>1</v>
      </c>
      <c r="F326" s="21"/>
      <c r="G326" s="21"/>
      <c r="H326" s="21"/>
      <c r="I326" s="21"/>
      <c r="J326" s="21"/>
      <c r="K326" s="21"/>
      <c r="L326" s="21"/>
      <c r="M326" s="21"/>
      <c r="N326" s="21"/>
      <c r="O326" s="20"/>
    </row>
    <row r="327" spans="1:26" x14ac:dyDescent="0.3">
      <c r="A327" s="18"/>
      <c r="B327" s="30"/>
      <c r="C327" s="30" t="str" cm="1">
        <f t="array" ref="C327">_xll.U.WEB_CONTROL.CHECKBOX()</f>
        <v>[HTML::CHECKBOX]</v>
      </c>
      <c r="D327" s="30" t="str" cm="1">
        <f t="array" ref="D327">_xll.U.WEB_CONTROL.CHECKBOX()</f>
        <v>[HTML::CHECKBOX]</v>
      </c>
      <c r="E327" s="30" t="str" cm="1">
        <f t="array" ref="E327">_xll.U.WEB_CONTROL.CHECKBOX()</f>
        <v>[HTML::CHECKBOX]</v>
      </c>
      <c r="F327" s="21"/>
      <c r="G327" s="21"/>
      <c r="H327" s="21"/>
      <c r="I327" s="21"/>
      <c r="J327" s="21"/>
      <c r="K327" s="21"/>
      <c r="L327" s="21"/>
      <c r="M327" s="21"/>
      <c r="N327" s="21"/>
      <c r="O327" s="20"/>
    </row>
    <row r="328" spans="1:26" x14ac:dyDescent="0.3">
      <c r="A328" s="18"/>
      <c r="B328" s="21"/>
      <c r="C328" s="21"/>
      <c r="D328" s="21"/>
      <c r="E328" s="21"/>
      <c r="F328" s="21"/>
      <c r="G328" s="21"/>
      <c r="H328" s="21"/>
      <c r="I328" s="21"/>
      <c r="J328" s="21"/>
      <c r="K328" s="21"/>
      <c r="L328" s="21"/>
      <c r="M328" s="21"/>
      <c r="N328" s="21"/>
      <c r="O328" s="20"/>
      <c r="Q328" s="486" t="s">
        <v>3356</v>
      </c>
      <c r="R328" s="486"/>
      <c r="S328" s="486"/>
      <c r="T328" s="486"/>
      <c r="U328" s="486"/>
      <c r="V328" s="486"/>
      <c r="W328" s="486"/>
      <c r="X328" s="486"/>
      <c r="Y328" s="486"/>
      <c r="Z328" s="486"/>
    </row>
    <row r="329" spans="1:26" x14ac:dyDescent="0.3">
      <c r="A329" s="18"/>
      <c r="B329" s="21"/>
      <c r="C329" s="21"/>
      <c r="D329" s="21"/>
      <c r="E329" s="21"/>
      <c r="F329" s="21"/>
      <c r="G329" s="21"/>
      <c r="H329" s="21"/>
      <c r="I329" s="21"/>
      <c r="J329" s="21"/>
      <c r="K329" s="21"/>
      <c r="L329" s="21"/>
      <c r="M329" s="21"/>
      <c r="N329" s="21"/>
      <c r="O329" s="20"/>
      <c r="Q329" s="487" t="s">
        <v>333</v>
      </c>
      <c r="R329" s="487"/>
      <c r="S329" s="487" t="s">
        <v>3651</v>
      </c>
      <c r="T329" s="487"/>
      <c r="U329" s="487"/>
      <c r="V329" s="487"/>
      <c r="W329" s="487"/>
      <c r="X329" s="487"/>
      <c r="Y329" s="487"/>
      <c r="Z329" s="487"/>
    </row>
    <row r="330" spans="1:26" x14ac:dyDescent="0.3">
      <c r="A330" s="18"/>
      <c r="B330" s="513" t="s">
        <v>3355</v>
      </c>
      <c r="C330" s="514"/>
      <c r="D330" s="515"/>
      <c r="E330" s="21"/>
      <c r="F330" s="21"/>
      <c r="G330" s="21"/>
      <c r="H330" s="21"/>
      <c r="I330" s="21"/>
      <c r="J330" s="21"/>
      <c r="K330" s="21"/>
      <c r="L330" s="21"/>
      <c r="M330" s="21"/>
      <c r="N330" s="21"/>
      <c r="O330" s="20"/>
      <c r="Q330" s="487"/>
      <c r="R330" s="487"/>
      <c r="S330" s="487"/>
      <c r="T330" s="487"/>
      <c r="U330" s="487"/>
      <c r="V330" s="487"/>
      <c r="W330" s="487"/>
      <c r="X330" s="487"/>
      <c r="Y330" s="487"/>
      <c r="Z330" s="487"/>
    </row>
    <row r="331" spans="1:26" x14ac:dyDescent="0.3">
      <c r="A331" s="18"/>
      <c r="B331" s="21"/>
      <c r="C331" s="512" t="s">
        <v>938</v>
      </c>
      <c r="D331" s="512"/>
      <c r="E331" s="21"/>
      <c r="F331" s="21"/>
      <c r="G331" s="21"/>
      <c r="H331" s="21"/>
      <c r="I331" s="21"/>
      <c r="J331" s="21"/>
      <c r="K331" s="21"/>
      <c r="L331" s="21"/>
      <c r="M331" s="21"/>
      <c r="N331" s="21"/>
      <c r="O331" s="20"/>
      <c r="Q331" s="487"/>
      <c r="R331" s="487"/>
      <c r="S331" s="487"/>
      <c r="T331" s="487"/>
      <c r="U331" s="487"/>
      <c r="V331" s="487"/>
      <c r="W331" s="487"/>
      <c r="X331" s="487"/>
      <c r="Y331" s="487"/>
      <c r="Z331" s="487"/>
    </row>
    <row r="332" spans="1:26" x14ac:dyDescent="0.3">
      <c r="A332" s="18"/>
      <c r="B332" s="21"/>
      <c r="C332" s="3" t="s">
        <v>940</v>
      </c>
      <c r="D332" s="3" t="s">
        <v>937</v>
      </c>
      <c r="E332" s="21"/>
      <c r="F332" s="3" t="s">
        <v>946</v>
      </c>
      <c r="G332" s="21"/>
      <c r="H332" s="21"/>
      <c r="I332" s="21"/>
      <c r="J332" s="21"/>
      <c r="K332" s="21"/>
      <c r="L332" s="21"/>
      <c r="M332" s="21"/>
      <c r="N332" s="21"/>
      <c r="O332" s="20"/>
      <c r="Q332" s="483" t="s">
        <v>323</v>
      </c>
      <c r="R332" s="483"/>
      <c r="S332" s="483" t="s">
        <v>1</v>
      </c>
      <c r="T332" s="483"/>
      <c r="U332" s="483"/>
      <c r="V332" s="483"/>
      <c r="W332" s="483"/>
      <c r="X332" s="483"/>
      <c r="Y332" s="483"/>
      <c r="Z332" s="85" t="s">
        <v>324</v>
      </c>
    </row>
    <row r="333" spans="1:26" x14ac:dyDescent="0.3">
      <c r="A333" s="18"/>
      <c r="B333" s="183" t="s">
        <v>872</v>
      </c>
      <c r="C333" s="30" t="b">
        <v>0</v>
      </c>
      <c r="D333" s="30" t="b">
        <v>1</v>
      </c>
      <c r="E333" s="21"/>
      <c r="F333" s="30" t="str" cm="1">
        <f t="array" ref="F333">_xll.U.WEB_CONTROL_LOCATION($B$331:$D$336,D333)</f>
        <v>[R3C3]</v>
      </c>
      <c r="G333" s="21"/>
      <c r="H333" s="21"/>
      <c r="I333" s="21"/>
      <c r="J333" s="21"/>
      <c r="K333" s="21"/>
      <c r="L333" s="21"/>
      <c r="M333" s="21"/>
      <c r="N333" s="21"/>
      <c r="O333" s="20"/>
      <c r="Q333" s="487" t="s">
        <v>499</v>
      </c>
      <c r="R333" s="487"/>
      <c r="S333" s="487" t="s">
        <v>953</v>
      </c>
      <c r="T333" s="487"/>
      <c r="U333" s="487"/>
      <c r="V333" s="487"/>
      <c r="W333" s="487"/>
      <c r="X333" s="487"/>
      <c r="Y333" s="487"/>
      <c r="Z333" s="509" t="s">
        <v>325</v>
      </c>
    </row>
    <row r="334" spans="1:26" x14ac:dyDescent="0.3">
      <c r="A334" s="18"/>
      <c r="B334" s="183" t="s">
        <v>944</v>
      </c>
      <c r="C334" s="30" t="b">
        <v>1</v>
      </c>
      <c r="D334" s="30" t="b">
        <v>1</v>
      </c>
      <c r="E334" s="21"/>
      <c r="F334" s="30" t="str" cm="1">
        <f t="array" ref="F334">_xll.U.WEB_CONTROL_LOCATION($B$331:$D$336,D334)</f>
        <v>[R4C3]</v>
      </c>
      <c r="G334" s="21"/>
      <c r="H334" s="21"/>
      <c r="I334" s="21"/>
      <c r="J334" s="21"/>
      <c r="K334" s="21"/>
      <c r="L334" s="21"/>
      <c r="M334" s="21"/>
      <c r="N334" s="21"/>
      <c r="O334" s="20"/>
      <c r="Q334" s="487"/>
      <c r="R334" s="487"/>
      <c r="S334" s="487"/>
      <c r="T334" s="487"/>
      <c r="U334" s="487"/>
      <c r="V334" s="487"/>
      <c r="W334" s="487"/>
      <c r="X334" s="487"/>
      <c r="Y334" s="487"/>
      <c r="Z334" s="509"/>
    </row>
    <row r="335" spans="1:26" x14ac:dyDescent="0.3">
      <c r="A335" s="18"/>
      <c r="B335" s="183" t="s">
        <v>913</v>
      </c>
      <c r="C335" s="30" t="b">
        <v>0</v>
      </c>
      <c r="D335" s="30" t="b">
        <v>1</v>
      </c>
      <c r="E335" s="21"/>
      <c r="F335" s="30" t="str" cm="1">
        <f t="array" ref="F335">_xll.U.WEB_CONTROL_LOCATION($B$331:$D$336,D335)</f>
        <v>[R5C3]</v>
      </c>
      <c r="G335" s="21"/>
      <c r="H335" s="21"/>
      <c r="I335" s="21"/>
      <c r="J335" s="21"/>
      <c r="K335" s="21"/>
      <c r="L335" s="21"/>
      <c r="M335" s="21"/>
      <c r="N335" s="21"/>
      <c r="O335" s="20"/>
      <c r="Q335" s="487"/>
      <c r="R335" s="487"/>
      <c r="S335" s="487"/>
      <c r="T335" s="487"/>
      <c r="U335" s="487"/>
      <c r="V335" s="487"/>
      <c r="W335" s="487"/>
      <c r="X335" s="487"/>
      <c r="Y335" s="487"/>
      <c r="Z335" s="509"/>
    </row>
    <row r="336" spans="1:26" x14ac:dyDescent="0.3">
      <c r="A336" s="18"/>
      <c r="B336" s="183" t="s">
        <v>945</v>
      </c>
      <c r="C336" s="30" t="b">
        <v>0</v>
      </c>
      <c r="D336" s="30" t="b">
        <v>1</v>
      </c>
      <c r="E336" s="21"/>
      <c r="F336" s="30" t="str" cm="1">
        <f t="array" ref="F336">_xll.U.WEB_CONTROL_LOCATION($B$331:$D$336,D336)</f>
        <v>[R6C3]</v>
      </c>
      <c r="G336" s="21"/>
      <c r="H336" s="21"/>
      <c r="I336" s="21"/>
      <c r="J336" s="21"/>
      <c r="K336" s="21"/>
      <c r="L336" s="21"/>
      <c r="M336" s="21"/>
      <c r="N336" s="21"/>
      <c r="O336" s="20"/>
      <c r="Q336" s="126" t="s">
        <v>328</v>
      </c>
    </row>
    <row r="337" spans="1:26" x14ac:dyDescent="0.3">
      <c r="A337" s="18"/>
      <c r="B337" s="21"/>
      <c r="C337" s="21"/>
      <c r="D337" s="21"/>
      <c r="E337" s="21"/>
      <c r="F337" s="21"/>
      <c r="G337" s="21"/>
      <c r="H337" s="21"/>
      <c r="I337" s="21"/>
      <c r="J337" s="21"/>
      <c r="K337" s="21"/>
      <c r="L337" s="21"/>
      <c r="M337" s="21"/>
      <c r="N337" s="21"/>
      <c r="O337" s="20"/>
    </row>
    <row r="338" spans="1:26" x14ac:dyDescent="0.3">
      <c r="A338" s="18"/>
      <c r="B338" s="21"/>
      <c r="C338" s="21"/>
      <c r="D338" s="21"/>
      <c r="E338" s="21"/>
      <c r="F338" s="21"/>
      <c r="G338" s="21"/>
      <c r="H338" s="21"/>
      <c r="I338" s="21"/>
      <c r="J338" s="21"/>
      <c r="K338" s="21"/>
      <c r="L338" s="21"/>
      <c r="M338" s="21"/>
      <c r="N338" s="21"/>
      <c r="O338" s="20"/>
    </row>
    <row r="339" spans="1:26" x14ac:dyDescent="0.3">
      <c r="A339" s="18"/>
      <c r="B339" s="21"/>
      <c r="C339" s="21"/>
      <c r="D339" s="21"/>
      <c r="E339" s="21"/>
      <c r="F339" s="21"/>
      <c r="G339" s="21"/>
      <c r="H339" s="21"/>
      <c r="I339" s="21"/>
      <c r="J339" s="21"/>
      <c r="K339" s="21"/>
      <c r="L339" s="21"/>
      <c r="M339" s="21"/>
      <c r="N339" s="21"/>
      <c r="O339" s="20"/>
      <c r="Q339" s="486" t="s">
        <v>3357</v>
      </c>
      <c r="R339" s="486"/>
      <c r="S339" s="486"/>
      <c r="T339" s="486"/>
      <c r="U339" s="486"/>
      <c r="V339" s="486"/>
      <c r="W339" s="486"/>
      <c r="X339" s="486"/>
      <c r="Y339" s="486"/>
      <c r="Z339" s="486"/>
    </row>
    <row r="340" spans="1:26" x14ac:dyDescent="0.3">
      <c r="A340" s="18"/>
      <c r="B340" s="21"/>
      <c r="C340" s="21"/>
      <c r="D340" s="21"/>
      <c r="E340" s="21"/>
      <c r="F340" s="21"/>
      <c r="G340" s="21"/>
      <c r="H340" s="21"/>
      <c r="I340" s="21"/>
      <c r="J340" s="21"/>
      <c r="K340" s="21"/>
      <c r="L340" s="21"/>
      <c r="M340" s="21"/>
      <c r="N340" s="21"/>
      <c r="O340" s="20"/>
      <c r="Q340" s="487" t="s">
        <v>333</v>
      </c>
      <c r="R340" s="487"/>
      <c r="S340" s="487" t="s">
        <v>2058</v>
      </c>
      <c r="T340" s="487"/>
      <c r="U340" s="487"/>
      <c r="V340" s="487"/>
      <c r="W340" s="487"/>
      <c r="X340" s="487"/>
      <c r="Y340" s="487"/>
      <c r="Z340" s="487"/>
    </row>
    <row r="341" spans="1:26" x14ac:dyDescent="0.3">
      <c r="A341" s="18"/>
      <c r="B341" s="492" t="s">
        <v>932</v>
      </c>
      <c r="C341" s="493"/>
      <c r="D341" s="21"/>
      <c r="E341" s="21"/>
      <c r="F341" s="21"/>
      <c r="G341" s="21"/>
      <c r="H341" s="21"/>
      <c r="I341" s="21"/>
      <c r="J341" s="21"/>
      <c r="K341" s="21"/>
      <c r="L341" s="21"/>
      <c r="M341" s="21"/>
      <c r="N341" s="21"/>
      <c r="O341" s="20"/>
      <c r="Q341" s="487"/>
      <c r="R341" s="487"/>
      <c r="S341" s="487"/>
      <c r="T341" s="487"/>
      <c r="U341" s="487"/>
      <c r="V341" s="487"/>
      <c r="W341" s="487"/>
      <c r="X341" s="487"/>
      <c r="Y341" s="487"/>
      <c r="Z341" s="487"/>
    </row>
    <row r="342" spans="1:26" x14ac:dyDescent="0.3">
      <c r="A342" s="18"/>
      <c r="B342" s="9" t="s">
        <v>933</v>
      </c>
      <c r="C342" s="9" t="s">
        <v>934</v>
      </c>
      <c r="D342" s="30"/>
      <c r="E342" s="21"/>
      <c r="F342" s="21"/>
      <c r="G342" s="21"/>
      <c r="H342" s="21"/>
      <c r="I342" s="21"/>
      <c r="J342" s="21"/>
      <c r="K342" s="21"/>
      <c r="L342" s="21"/>
      <c r="M342" s="21"/>
      <c r="N342" s="21"/>
      <c r="O342" s="20"/>
      <c r="Q342" s="487"/>
      <c r="R342" s="487"/>
      <c r="S342" s="487"/>
      <c r="T342" s="487"/>
      <c r="U342" s="487"/>
      <c r="V342" s="487"/>
      <c r="W342" s="487"/>
      <c r="X342" s="487"/>
      <c r="Y342" s="487"/>
      <c r="Z342" s="487"/>
    </row>
    <row r="343" spans="1:26" x14ac:dyDescent="0.3">
      <c r="A343" s="18"/>
      <c r="B343" s="40" t="b">
        <v>1</v>
      </c>
      <c r="C343" s="40" t="s">
        <v>941</v>
      </c>
      <c r="D343" s="30" t="str" cm="1">
        <f t="array" ref="D343">_xll.U.WEB_CONTROL.CHECKBOX(,,_xll.U.WEB_CONTROL_LOCATION($B$342:$C$344,B343))</f>
        <v>[HTML::CHECKBOX][R2C1]</v>
      </c>
      <c r="E343" s="21"/>
      <c r="F343" s="21"/>
      <c r="G343" s="21"/>
      <c r="H343" s="21"/>
      <c r="I343" s="21"/>
      <c r="J343" s="21"/>
      <c r="K343" s="21"/>
      <c r="L343" s="21"/>
      <c r="M343" s="21"/>
      <c r="N343" s="21"/>
      <c r="O343" s="20"/>
      <c r="Q343" s="483" t="s">
        <v>323</v>
      </c>
      <c r="R343" s="483"/>
      <c r="S343" s="483" t="s">
        <v>1</v>
      </c>
      <c r="T343" s="483"/>
      <c r="U343" s="483"/>
      <c r="V343" s="483"/>
      <c r="W343" s="483"/>
      <c r="X343" s="483"/>
      <c r="Y343" s="483"/>
      <c r="Z343" s="85" t="s">
        <v>324</v>
      </c>
    </row>
    <row r="344" spans="1:26" x14ac:dyDescent="0.3">
      <c r="A344" s="18"/>
      <c r="B344" s="40" t="b">
        <v>0</v>
      </c>
      <c r="C344" s="40" t="s">
        <v>942</v>
      </c>
      <c r="D344" s="30" t="str" cm="1">
        <f t="array" ref="D344">_xll.U.WEB_CONTROL.CHECKBOX(,,_xll.U.WEB_CONTROL_LOCATION($B$342:$C$344,B344))</f>
        <v>[HTML::CHECKBOX][R3C1]</v>
      </c>
      <c r="E344" s="21"/>
      <c r="F344" s="21"/>
      <c r="G344" s="21"/>
      <c r="H344" s="21"/>
      <c r="I344" s="21"/>
      <c r="J344" s="21"/>
      <c r="K344" s="21"/>
      <c r="L344" s="21"/>
      <c r="M344" s="21"/>
      <c r="N344" s="21"/>
      <c r="O344" s="20"/>
      <c r="Q344" s="484" t="s">
        <v>2057</v>
      </c>
      <c r="R344" s="484"/>
      <c r="S344" s="484" t="s">
        <v>2060</v>
      </c>
      <c r="T344" s="484"/>
      <c r="U344" s="484"/>
      <c r="V344" s="484"/>
      <c r="W344" s="484"/>
      <c r="X344" s="484"/>
      <c r="Y344" s="484"/>
      <c r="Z344" s="485" t="s">
        <v>326</v>
      </c>
    </row>
    <row r="345" spans="1:26" x14ac:dyDescent="0.3">
      <c r="A345" s="18"/>
      <c r="B345" s="21"/>
      <c r="C345" s="21"/>
      <c r="D345" s="21"/>
      <c r="E345" s="21"/>
      <c r="F345" s="21"/>
      <c r="G345" s="21"/>
      <c r="H345" s="21"/>
      <c r="I345" s="21"/>
      <c r="J345" s="21"/>
      <c r="K345" s="21"/>
      <c r="L345" s="21"/>
      <c r="M345" s="21"/>
      <c r="N345" s="21"/>
      <c r="O345" s="20"/>
      <c r="Q345" s="484"/>
      <c r="R345" s="484"/>
      <c r="S345" s="484"/>
      <c r="T345" s="484"/>
      <c r="U345" s="484"/>
      <c r="V345" s="484"/>
      <c r="W345" s="484"/>
      <c r="X345" s="484"/>
      <c r="Y345" s="484"/>
      <c r="Z345" s="485"/>
    </row>
    <row r="346" spans="1:26" x14ac:dyDescent="0.3">
      <c r="A346" s="18"/>
      <c r="B346" s="21"/>
      <c r="C346" s="21"/>
      <c r="D346" s="21"/>
      <c r="E346" s="21"/>
      <c r="F346" s="21"/>
      <c r="G346" s="21"/>
      <c r="H346" s="21"/>
      <c r="I346" s="21"/>
      <c r="J346" s="21"/>
      <c r="K346" s="21"/>
      <c r="L346" s="21"/>
      <c r="M346" s="21"/>
      <c r="N346" s="21"/>
      <c r="O346" s="20"/>
      <c r="Q346" s="484"/>
      <c r="R346" s="484"/>
      <c r="S346" s="484"/>
      <c r="T346" s="484"/>
      <c r="U346" s="484"/>
      <c r="V346" s="484"/>
      <c r="W346" s="484"/>
      <c r="X346" s="484"/>
      <c r="Y346" s="484"/>
      <c r="Z346" s="485"/>
    </row>
    <row r="347" spans="1:26" x14ac:dyDescent="0.3">
      <c r="A347" s="18"/>
      <c r="B347" s="21"/>
      <c r="C347" s="21"/>
      <c r="D347" s="21"/>
      <c r="E347" s="21"/>
      <c r="F347" s="21"/>
      <c r="G347" s="21"/>
      <c r="H347" s="21"/>
      <c r="I347" s="21"/>
      <c r="J347" s="21"/>
      <c r="K347" s="21"/>
      <c r="L347" s="21"/>
      <c r="M347" s="21"/>
      <c r="N347" s="21"/>
      <c r="O347" s="20"/>
      <c r="Q347" s="126" t="s">
        <v>328</v>
      </c>
    </row>
    <row r="348" spans="1:26" x14ac:dyDescent="0.3">
      <c r="A348" s="18"/>
      <c r="B348" s="21"/>
      <c r="C348" s="21"/>
      <c r="D348" s="21"/>
      <c r="E348" s="21"/>
      <c r="F348" s="21"/>
      <c r="G348" s="21"/>
      <c r="H348" s="21"/>
      <c r="I348" s="21"/>
      <c r="J348" s="21"/>
      <c r="K348" s="21"/>
      <c r="L348" s="21"/>
      <c r="M348" s="21"/>
      <c r="N348" s="21"/>
      <c r="O348" s="20"/>
    </row>
    <row r="349" spans="1:26" x14ac:dyDescent="0.3">
      <c r="A349" s="18"/>
      <c r="B349" s="21"/>
      <c r="C349" s="21"/>
      <c r="D349" s="21"/>
      <c r="E349" s="21"/>
      <c r="F349" s="21"/>
      <c r="G349" s="21"/>
      <c r="H349" s="21"/>
      <c r="I349" s="21"/>
      <c r="J349" s="21"/>
      <c r="K349" s="21"/>
      <c r="L349" s="21"/>
      <c r="M349" s="21"/>
      <c r="N349" s="21"/>
      <c r="O349" s="20"/>
    </row>
    <row r="350" spans="1:26" x14ac:dyDescent="0.3">
      <c r="A350" s="18"/>
      <c r="B350" s="492" t="s">
        <v>932</v>
      </c>
      <c r="C350" s="493"/>
      <c r="D350" s="21"/>
      <c r="E350" s="21"/>
      <c r="F350" s="21"/>
      <c r="G350" s="21"/>
      <c r="H350" s="21"/>
      <c r="I350" s="21"/>
      <c r="J350" s="21"/>
      <c r="K350" s="21"/>
      <c r="L350" s="21"/>
      <c r="M350" s="21"/>
      <c r="N350" s="21"/>
      <c r="O350" s="20"/>
      <c r="Q350" s="486" t="s">
        <v>3358</v>
      </c>
      <c r="R350" s="486"/>
      <c r="S350" s="486"/>
      <c r="T350" s="486"/>
      <c r="U350" s="486"/>
      <c r="V350" s="486"/>
      <c r="W350" s="486"/>
      <c r="X350" s="486"/>
      <c r="Y350" s="486"/>
      <c r="Z350" s="486"/>
    </row>
    <row r="351" spans="1:26" x14ac:dyDescent="0.3">
      <c r="A351" s="18"/>
      <c r="B351" s="9" t="s">
        <v>933</v>
      </c>
      <c r="C351" s="9" t="s">
        <v>934</v>
      </c>
      <c r="D351" s="30"/>
      <c r="E351" s="21"/>
      <c r="F351" s="21"/>
      <c r="G351" s="21"/>
      <c r="H351" s="21"/>
      <c r="I351" s="21"/>
      <c r="J351" s="21"/>
      <c r="K351" s="21"/>
      <c r="L351" s="21"/>
      <c r="M351" s="21"/>
      <c r="N351" s="21"/>
      <c r="O351" s="20"/>
      <c r="Q351" s="487" t="s">
        <v>333</v>
      </c>
      <c r="R351" s="487"/>
      <c r="S351" s="487" t="s">
        <v>3830</v>
      </c>
      <c r="T351" s="487"/>
      <c r="U351" s="487"/>
      <c r="V351" s="487"/>
      <c r="W351" s="487"/>
      <c r="X351" s="487"/>
      <c r="Y351" s="487"/>
      <c r="Z351" s="487"/>
    </row>
    <row r="352" spans="1:26" x14ac:dyDescent="0.3">
      <c r="A352" s="18"/>
      <c r="B352" s="40" t="b">
        <v>1</v>
      </c>
      <c r="C352" s="40" t="s">
        <v>941</v>
      </c>
      <c r="D352" s="30" t="str" cm="1">
        <f t="array" ref="D352">_xll.U.WEB_CONTROL.CHECKBOX(,$B$355:$C$355,_xll.U.WEB_CONTROL_LOCATION($B$351:$C$353,B352))</f>
        <v>[HTML::CHECKBOX SCALE=2][R2C1]</v>
      </c>
      <c r="E352" s="21"/>
      <c r="F352" s="21"/>
      <c r="G352" s="21"/>
      <c r="H352" s="21"/>
      <c r="I352" s="21"/>
      <c r="J352" s="21"/>
      <c r="K352" s="21"/>
      <c r="L352" s="21"/>
      <c r="M352" s="21"/>
      <c r="N352" s="21"/>
      <c r="O352" s="20"/>
      <c r="Q352" s="487"/>
      <c r="R352" s="487"/>
      <c r="S352" s="487"/>
      <c r="T352" s="487"/>
      <c r="U352" s="487"/>
      <c r="V352" s="487"/>
      <c r="W352" s="487"/>
      <c r="X352" s="487"/>
      <c r="Y352" s="487"/>
      <c r="Z352" s="487"/>
    </row>
    <row r="353" spans="1:26" x14ac:dyDescent="0.3">
      <c r="A353" s="18"/>
      <c r="B353" s="40" t="b">
        <v>0</v>
      </c>
      <c r="C353" s="40" t="s">
        <v>942</v>
      </c>
      <c r="D353" s="30" t="str">
        <f t="array" ref="D353">_xll.U.WEB_CONTROL.CHECKBOX(,B355:C355,_xll.U.WEB_CONTROL_LOCATION($B$351:$C$353,B353))</f>
        <v>[HTML::CHECKBOX SCALE=2][R3C1]</v>
      </c>
      <c r="E353" s="21"/>
      <c r="F353" s="21"/>
      <c r="G353" s="21"/>
      <c r="H353" s="21"/>
      <c r="I353" s="21"/>
      <c r="J353" s="21"/>
      <c r="K353" s="21"/>
      <c r="L353" s="21"/>
      <c r="M353" s="21"/>
      <c r="N353" s="21"/>
      <c r="O353" s="20"/>
      <c r="Q353" s="487"/>
      <c r="R353" s="487"/>
      <c r="S353" s="487"/>
      <c r="T353" s="487"/>
      <c r="U353" s="487"/>
      <c r="V353" s="487"/>
      <c r="W353" s="487"/>
      <c r="X353" s="487"/>
      <c r="Y353" s="487"/>
      <c r="Z353" s="487"/>
    </row>
    <row r="354" spans="1:26" x14ac:dyDescent="0.3">
      <c r="A354" s="18"/>
      <c r="B354" s="21"/>
      <c r="C354" s="21"/>
      <c r="D354" s="21"/>
      <c r="E354" s="21"/>
      <c r="F354" s="21"/>
      <c r="G354" s="21"/>
      <c r="H354" s="21"/>
      <c r="I354" s="21"/>
      <c r="J354" s="21"/>
      <c r="K354" s="21"/>
      <c r="L354" s="21"/>
      <c r="M354" s="21"/>
      <c r="N354" s="21"/>
      <c r="O354" s="20"/>
      <c r="Q354" s="483" t="s">
        <v>323</v>
      </c>
      <c r="R354" s="483"/>
      <c r="S354" s="483" t="s">
        <v>1</v>
      </c>
      <c r="T354" s="483"/>
      <c r="U354" s="483"/>
      <c r="V354" s="483"/>
      <c r="W354" s="483"/>
      <c r="X354" s="483"/>
      <c r="Y354" s="483"/>
      <c r="Z354" s="85" t="s">
        <v>324</v>
      </c>
    </row>
    <row r="355" spans="1:26" x14ac:dyDescent="0.3">
      <c r="A355" s="18"/>
      <c r="B355" s="3" t="s">
        <v>947</v>
      </c>
      <c r="C355" s="181">
        <v>2</v>
      </c>
      <c r="D355" s="21"/>
      <c r="E355" s="21"/>
      <c r="F355" s="21"/>
      <c r="G355" s="21"/>
      <c r="H355" s="21"/>
      <c r="I355" s="21"/>
      <c r="J355" s="21"/>
      <c r="K355" s="21"/>
      <c r="L355" s="21"/>
      <c r="M355" s="21"/>
      <c r="N355" s="21"/>
      <c r="O355" s="20"/>
      <c r="Q355" s="487" t="s">
        <v>2270</v>
      </c>
      <c r="R355" s="487"/>
      <c r="S355" s="487" t="s">
        <v>2274</v>
      </c>
      <c r="T355" s="487"/>
      <c r="U355" s="487"/>
      <c r="V355" s="487"/>
      <c r="W355" s="487"/>
      <c r="X355" s="487"/>
      <c r="Y355" s="487"/>
      <c r="Z355" s="509" t="s">
        <v>325</v>
      </c>
    </row>
    <row r="356" spans="1:26" x14ac:dyDescent="0.3">
      <c r="A356" s="18"/>
      <c r="B356" s="21"/>
      <c r="C356" s="21"/>
      <c r="D356" s="21"/>
      <c r="E356" s="21"/>
      <c r="F356" s="21"/>
      <c r="G356" s="21"/>
      <c r="H356" s="21"/>
      <c r="I356" s="21"/>
      <c r="J356" s="21"/>
      <c r="K356" s="21"/>
      <c r="L356" s="21"/>
      <c r="M356" s="21"/>
      <c r="N356" s="21"/>
      <c r="O356" s="20"/>
      <c r="Q356" s="487"/>
      <c r="R356" s="487"/>
      <c r="S356" s="487"/>
      <c r="T356" s="487"/>
      <c r="U356" s="487"/>
      <c r="V356" s="487"/>
      <c r="W356" s="487"/>
      <c r="X356" s="487"/>
      <c r="Y356" s="487"/>
      <c r="Z356" s="509"/>
    </row>
    <row r="357" spans="1:26" x14ac:dyDescent="0.3">
      <c r="A357" s="18"/>
      <c r="B357" s="21"/>
      <c r="C357" s="21"/>
      <c r="D357" s="21"/>
      <c r="E357" s="21"/>
      <c r="F357" s="21"/>
      <c r="G357" s="21"/>
      <c r="H357" s="21"/>
      <c r="I357" s="21"/>
      <c r="J357" s="21"/>
      <c r="K357" s="21"/>
      <c r="L357" s="21"/>
      <c r="M357" s="21"/>
      <c r="N357" s="21"/>
      <c r="O357" s="20"/>
      <c r="Q357" s="487"/>
      <c r="R357" s="487"/>
      <c r="S357" s="487"/>
      <c r="T357" s="487"/>
      <c r="U357" s="487"/>
      <c r="V357" s="487"/>
      <c r="W357" s="487"/>
      <c r="X357" s="487"/>
      <c r="Y357" s="487"/>
      <c r="Z357" s="509"/>
    </row>
    <row r="358" spans="1:26" x14ac:dyDescent="0.3">
      <c r="A358" s="18"/>
      <c r="B358" s="492" t="s">
        <v>3344</v>
      </c>
      <c r="C358" s="493"/>
      <c r="D358" s="21"/>
      <c r="E358" s="21"/>
      <c r="F358" s="21"/>
      <c r="G358" s="21"/>
      <c r="H358" s="21"/>
      <c r="I358" s="21"/>
      <c r="J358" s="21"/>
      <c r="K358" s="21"/>
      <c r="L358" s="21"/>
      <c r="M358" s="21"/>
      <c r="N358" s="21"/>
      <c r="O358" s="20"/>
      <c r="Q358" s="496" t="s">
        <v>2299</v>
      </c>
      <c r="R358" s="497"/>
      <c r="S358" s="496" t="s">
        <v>3088</v>
      </c>
      <c r="T358" s="502"/>
      <c r="U358" s="502"/>
      <c r="V358" s="502"/>
      <c r="W358" s="502"/>
      <c r="X358" s="502"/>
      <c r="Y358" s="497"/>
      <c r="Z358" s="505" t="s">
        <v>326</v>
      </c>
    </row>
    <row r="359" spans="1:26" x14ac:dyDescent="0.3">
      <c r="A359" s="18"/>
      <c r="B359" s="3" t="s">
        <v>934</v>
      </c>
      <c r="C359" s="9" t="s">
        <v>933</v>
      </c>
      <c r="D359" s="21"/>
      <c r="E359" s="21"/>
      <c r="F359" s="21"/>
      <c r="G359" s="21"/>
      <c r="H359" s="21"/>
      <c r="I359" s="21"/>
      <c r="J359" s="21"/>
      <c r="K359" s="21"/>
      <c r="L359" s="21"/>
      <c r="M359" s="21"/>
      <c r="N359" s="21"/>
      <c r="O359" s="20"/>
      <c r="Q359" s="498"/>
      <c r="R359" s="499"/>
      <c r="S359" s="498"/>
      <c r="T359" s="503"/>
      <c r="U359" s="503"/>
      <c r="V359" s="503"/>
      <c r="W359" s="503"/>
      <c r="X359" s="503"/>
      <c r="Y359" s="499"/>
      <c r="Z359" s="506"/>
    </row>
    <row r="360" spans="1:26" x14ac:dyDescent="0.3">
      <c r="A360" s="18"/>
      <c r="B360" s="39" t="s">
        <v>936</v>
      </c>
      <c r="C360" s="40" t="str" cm="1">
        <f t="array" ref="C360">_xll.U.WEB_CONTROL.CHECKBOX(TRUE)</f>
        <v>|JTCO|[HTML::CHECKBOX ID=JTCO][VAL=b|true]|JTCO|</v>
      </c>
      <c r="D360" s="21"/>
      <c r="E360" s="21"/>
      <c r="F360" s="21"/>
      <c r="G360" s="21"/>
      <c r="H360" s="21"/>
      <c r="I360" s="21"/>
      <c r="J360" s="21"/>
      <c r="K360" s="21"/>
      <c r="L360" s="21"/>
      <c r="M360" s="21"/>
      <c r="N360" s="21"/>
      <c r="O360" s="20"/>
      <c r="Q360" s="500"/>
      <c r="R360" s="501"/>
      <c r="S360" s="500"/>
      <c r="T360" s="504"/>
      <c r="U360" s="504"/>
      <c r="V360" s="504"/>
      <c r="W360" s="504"/>
      <c r="X360" s="504"/>
      <c r="Y360" s="501"/>
      <c r="Z360" s="507"/>
    </row>
    <row r="361" spans="1:26" x14ac:dyDescent="0.3">
      <c r="A361" s="18"/>
      <c r="B361" s="184" t="s">
        <v>935</v>
      </c>
      <c r="C361" s="40" t="str" cm="1">
        <f t="array" ref="C361">_xll.U.WEB_CONTROL.CHECKBOX(FALSE)</f>
        <v>|VISU|[HTML::CHECKBOX ID=VISU][VAL=b|false]|VISU|</v>
      </c>
      <c r="D361" s="21"/>
      <c r="E361" s="21"/>
      <c r="F361" s="21"/>
      <c r="G361" s="21"/>
      <c r="H361" s="21"/>
      <c r="I361" s="21"/>
      <c r="J361" s="21"/>
      <c r="K361" s="21"/>
      <c r="L361" s="21"/>
      <c r="M361" s="21"/>
      <c r="N361" s="21"/>
      <c r="O361" s="20"/>
      <c r="Q361" s="126" t="s">
        <v>328</v>
      </c>
    </row>
    <row r="362" spans="1:26" x14ac:dyDescent="0.3">
      <c r="A362" s="18"/>
      <c r="B362" s="21"/>
      <c r="C362" s="21"/>
      <c r="D362" s="21"/>
      <c r="E362" s="21"/>
      <c r="F362" s="21"/>
      <c r="G362" s="21"/>
      <c r="H362" s="21"/>
      <c r="I362" s="21"/>
      <c r="J362" s="21"/>
      <c r="K362" s="21"/>
      <c r="L362" s="21"/>
      <c r="M362" s="21"/>
      <c r="N362" s="21"/>
      <c r="O362" s="20"/>
    </row>
    <row r="363" spans="1:26" x14ac:dyDescent="0.3">
      <c r="A363" s="18"/>
      <c r="B363" s="21"/>
      <c r="C363" s="21"/>
      <c r="D363" s="21"/>
      <c r="E363" s="21"/>
      <c r="F363" s="21"/>
      <c r="G363" s="21"/>
      <c r="H363" s="21"/>
      <c r="I363" s="21"/>
      <c r="J363" s="21"/>
      <c r="K363" s="21"/>
      <c r="L363" s="21"/>
      <c r="M363" s="21"/>
      <c r="N363" s="21"/>
      <c r="O363" s="20"/>
    </row>
    <row r="364" spans="1:26" x14ac:dyDescent="0.3">
      <c r="A364" s="18"/>
      <c r="B364" s="21"/>
      <c r="C364" s="21"/>
      <c r="D364" s="21"/>
      <c r="E364" s="21"/>
      <c r="F364" s="21"/>
      <c r="G364" s="21"/>
      <c r="H364" s="21"/>
      <c r="I364" s="21"/>
      <c r="J364" s="21"/>
      <c r="K364" s="21"/>
      <c r="L364" s="21"/>
      <c r="M364" s="21"/>
      <c r="N364" s="21"/>
      <c r="O364" s="20"/>
    </row>
    <row r="365" spans="1:26" x14ac:dyDescent="0.3">
      <c r="A365" s="18"/>
      <c r="B365" s="21"/>
      <c r="C365" s="21"/>
      <c r="D365" s="21"/>
      <c r="E365" s="21"/>
      <c r="F365" s="21"/>
      <c r="G365" s="21"/>
      <c r="H365" s="21"/>
      <c r="I365" s="21"/>
      <c r="J365" s="21"/>
      <c r="K365" s="21"/>
      <c r="L365" s="21"/>
      <c r="M365" s="21"/>
      <c r="N365" s="21"/>
      <c r="O365" s="20"/>
    </row>
    <row r="366" spans="1:26" x14ac:dyDescent="0.3">
      <c r="A366" s="18"/>
      <c r="B366" s="21"/>
      <c r="C366" s="21"/>
      <c r="D366" s="21"/>
      <c r="E366" s="21"/>
      <c r="F366" s="21"/>
      <c r="G366" s="21"/>
      <c r="H366" s="21"/>
      <c r="I366" s="21"/>
      <c r="J366" s="21"/>
      <c r="K366" s="21"/>
      <c r="L366" s="21"/>
      <c r="M366" s="21"/>
      <c r="N366" s="21"/>
      <c r="O366" s="20"/>
    </row>
    <row r="367" spans="1:26" x14ac:dyDescent="0.3">
      <c r="A367" s="18"/>
      <c r="B367" s="21"/>
      <c r="C367" s="21"/>
      <c r="D367" s="21"/>
      <c r="E367" s="21"/>
      <c r="F367" s="21"/>
      <c r="G367" s="21"/>
      <c r="H367" s="21"/>
      <c r="I367" s="21"/>
      <c r="J367" s="21"/>
      <c r="K367" s="21"/>
      <c r="L367" s="21"/>
      <c r="M367" s="21"/>
      <c r="N367" s="21"/>
      <c r="O367" s="20"/>
    </row>
    <row r="368" spans="1:26" x14ac:dyDescent="0.3">
      <c r="A368" s="18"/>
      <c r="B368" s="492" t="s">
        <v>3356</v>
      </c>
      <c r="C368" s="493"/>
      <c r="D368" s="21"/>
      <c r="E368" s="21"/>
      <c r="F368" s="21"/>
      <c r="G368" s="21"/>
      <c r="H368" s="21"/>
      <c r="I368" s="21"/>
      <c r="J368" s="21"/>
      <c r="K368" s="21"/>
      <c r="L368" s="21"/>
      <c r="M368" s="21"/>
      <c r="N368" s="21"/>
      <c r="O368" s="20"/>
    </row>
    <row r="369" spans="1:15" x14ac:dyDescent="0.3">
      <c r="A369" s="18"/>
      <c r="B369" s="30" t="str">
        <f t="array" ref="B369:C370">_xll.U.PARSE_WEB_CONTROL_VALS(B360:C361)</f>
        <v>Take out trash</v>
      </c>
      <c r="C369" s="30" t="b">
        <v>1</v>
      </c>
      <c r="D369" s="21"/>
      <c r="E369" s="21"/>
      <c r="F369" s="21"/>
      <c r="G369" s="21"/>
      <c r="H369" s="21"/>
      <c r="I369" s="21"/>
      <c r="J369" s="21"/>
      <c r="K369" s="21"/>
      <c r="L369" s="21"/>
      <c r="M369" s="21"/>
      <c r="N369" s="21"/>
      <c r="O369" s="20"/>
    </row>
    <row r="370" spans="1:15" x14ac:dyDescent="0.3">
      <c r="A370" s="18"/>
      <c r="B370" s="30" t="str">
        <v>Pick up kids</v>
      </c>
      <c r="C370" s="30" t="b">
        <v>0</v>
      </c>
      <c r="D370" s="21"/>
      <c r="E370" s="21"/>
      <c r="F370" s="21"/>
      <c r="G370" s="21"/>
      <c r="H370" s="21"/>
      <c r="I370" s="21"/>
      <c r="J370" s="21"/>
      <c r="K370" s="21"/>
      <c r="L370" s="21"/>
      <c r="M370" s="21"/>
      <c r="N370" s="21"/>
      <c r="O370" s="20"/>
    </row>
    <row r="371" spans="1:15" x14ac:dyDescent="0.3">
      <c r="A371" s="18"/>
      <c r="B371" s="21"/>
      <c r="C371" s="21"/>
      <c r="D371" s="21"/>
      <c r="E371" s="21"/>
      <c r="F371" s="21"/>
      <c r="G371" s="21"/>
      <c r="H371" s="21"/>
      <c r="I371" s="21"/>
      <c r="J371" s="21"/>
      <c r="K371" s="21"/>
      <c r="L371" s="21"/>
      <c r="M371" s="21"/>
      <c r="N371" s="21"/>
      <c r="O371" s="20"/>
    </row>
    <row r="372" spans="1:15" x14ac:dyDescent="0.3">
      <c r="A372" s="18"/>
      <c r="B372" s="21"/>
      <c r="C372" s="21"/>
      <c r="D372" s="21"/>
      <c r="E372" s="21"/>
      <c r="F372" s="21"/>
      <c r="G372" s="21"/>
      <c r="H372" s="21"/>
      <c r="I372" s="21"/>
      <c r="J372" s="21"/>
      <c r="K372" s="21"/>
      <c r="L372" s="21"/>
      <c r="M372" s="21"/>
      <c r="N372" s="21"/>
      <c r="O372" s="20"/>
    </row>
    <row r="373" spans="1:15" x14ac:dyDescent="0.3">
      <c r="A373" s="18"/>
      <c r="B373" s="21"/>
      <c r="C373" s="21"/>
      <c r="D373" s="21"/>
      <c r="E373" s="21"/>
      <c r="F373" s="21"/>
      <c r="G373" s="21"/>
      <c r="H373" s="21"/>
      <c r="I373" s="21"/>
      <c r="J373" s="21"/>
      <c r="K373" s="21"/>
      <c r="L373" s="21"/>
      <c r="M373" s="21"/>
      <c r="N373" s="21"/>
      <c r="O373" s="20"/>
    </row>
    <row r="374" spans="1:15" x14ac:dyDescent="0.3">
      <c r="A374" s="18"/>
      <c r="B374" s="21"/>
      <c r="C374" s="21"/>
      <c r="D374" s="21"/>
      <c r="E374" s="21"/>
      <c r="F374" s="21"/>
      <c r="G374" s="21"/>
      <c r="H374" s="21"/>
      <c r="I374" s="21"/>
      <c r="J374" s="21"/>
      <c r="K374" s="21"/>
      <c r="L374" s="21"/>
      <c r="M374" s="21"/>
      <c r="N374" s="21"/>
      <c r="O374" s="20"/>
    </row>
    <row r="375" spans="1:15" x14ac:dyDescent="0.3">
      <c r="A375" s="18"/>
      <c r="B375" s="21"/>
      <c r="C375" s="21"/>
      <c r="D375" s="21"/>
      <c r="E375" s="21"/>
      <c r="F375" s="21"/>
      <c r="G375" s="21"/>
      <c r="H375" s="21"/>
      <c r="I375" s="21"/>
      <c r="J375" s="21"/>
      <c r="K375" s="21"/>
      <c r="L375" s="21"/>
      <c r="M375" s="21"/>
      <c r="N375" s="21"/>
      <c r="O375" s="20"/>
    </row>
    <row r="376" spans="1:15" x14ac:dyDescent="0.3">
      <c r="A376" s="18"/>
      <c r="B376" s="21"/>
      <c r="C376" s="21"/>
      <c r="D376" s="21"/>
      <c r="E376" s="21"/>
      <c r="F376" s="21"/>
      <c r="G376" s="21"/>
      <c r="H376" s="21"/>
      <c r="I376" s="21"/>
      <c r="J376" s="21"/>
      <c r="K376" s="21"/>
      <c r="L376" s="21"/>
      <c r="M376" s="21"/>
      <c r="N376" s="21"/>
      <c r="O376" s="20"/>
    </row>
    <row r="377" spans="1:15" x14ac:dyDescent="0.3">
      <c r="A377" s="18"/>
      <c r="B377" s="85" t="s">
        <v>3346</v>
      </c>
      <c r="C377" s="21"/>
      <c r="D377" s="21"/>
      <c r="E377" s="21"/>
      <c r="F377" s="21"/>
      <c r="G377" s="21"/>
      <c r="H377" s="21"/>
      <c r="I377" s="21"/>
      <c r="J377" s="21"/>
      <c r="K377" s="21"/>
      <c r="L377" s="21"/>
      <c r="M377" s="21"/>
      <c r="N377" s="21"/>
      <c r="O377" s="20"/>
    </row>
    <row r="378" spans="1:15" x14ac:dyDescent="0.3">
      <c r="A378" s="18"/>
      <c r="B378" s="3" t="s">
        <v>934</v>
      </c>
      <c r="C378" s="21"/>
      <c r="D378" s="21"/>
      <c r="E378" s="21"/>
      <c r="F378" s="21"/>
      <c r="G378" s="21"/>
      <c r="H378" s="21"/>
      <c r="I378" s="21"/>
      <c r="J378" s="21"/>
      <c r="K378" s="21"/>
      <c r="L378" s="21"/>
      <c r="M378" s="21"/>
      <c r="N378" s="21"/>
      <c r="O378" s="20"/>
    </row>
    <row r="379" spans="1:15" x14ac:dyDescent="0.3">
      <c r="A379" s="18"/>
      <c r="B379" s="39" t="s">
        <v>936</v>
      </c>
      <c r="C379" s="30" t="str" cm="1">
        <f t="array" ref="C379">_xll.U.WEB_CONTROL.TEXTAREA()</f>
        <v>[HTML::TEXTAREA]</v>
      </c>
      <c r="D379" s="21"/>
      <c r="E379" s="21"/>
      <c r="F379" s="21"/>
      <c r="G379" s="21"/>
      <c r="H379" s="21"/>
      <c r="I379" s="21"/>
      <c r="J379" s="21"/>
      <c r="K379" s="21"/>
      <c r="L379" s="21"/>
      <c r="M379" s="21"/>
      <c r="N379" s="21"/>
      <c r="O379" s="20"/>
    </row>
    <row r="380" spans="1:15" x14ac:dyDescent="0.3">
      <c r="A380" s="18"/>
      <c r="B380" s="39" t="s">
        <v>935</v>
      </c>
      <c r="C380" s="30" t="str" cm="1">
        <f t="array" ref="C380">_xll.U.WEB_CONTROL.TEXTAREA()</f>
        <v>[HTML::TEXTAREA]</v>
      </c>
      <c r="D380" s="21"/>
      <c r="E380" s="21"/>
      <c r="F380" s="21"/>
      <c r="G380" s="21"/>
      <c r="H380" s="21"/>
      <c r="I380" s="21"/>
      <c r="J380" s="21"/>
      <c r="K380" s="21"/>
      <c r="L380" s="21"/>
      <c r="M380" s="21"/>
      <c r="N380" s="21"/>
      <c r="O380" s="20"/>
    </row>
    <row r="381" spans="1:15" x14ac:dyDescent="0.3">
      <c r="A381" s="18"/>
      <c r="B381" s="21"/>
      <c r="C381" s="21"/>
      <c r="D381" s="21"/>
      <c r="E381" s="21"/>
      <c r="F381" s="21"/>
      <c r="G381" s="21"/>
      <c r="H381" s="21"/>
      <c r="I381" s="21"/>
      <c r="J381" s="21"/>
      <c r="K381" s="21"/>
      <c r="L381" s="21"/>
      <c r="M381" s="21"/>
      <c r="N381" s="21"/>
      <c r="O381" s="20"/>
    </row>
    <row r="382" spans="1:15" x14ac:dyDescent="0.3">
      <c r="A382" s="18"/>
      <c r="B382" s="21"/>
      <c r="C382" s="21"/>
      <c r="D382" s="21"/>
      <c r="E382" s="21"/>
      <c r="F382" s="21"/>
      <c r="G382" s="21"/>
      <c r="H382" s="21"/>
      <c r="I382" s="21"/>
      <c r="J382" s="21"/>
      <c r="K382" s="21"/>
      <c r="L382" s="21"/>
      <c r="M382" s="21"/>
      <c r="N382" s="21"/>
      <c r="O382" s="20"/>
    </row>
    <row r="383" spans="1:15" x14ac:dyDescent="0.3">
      <c r="A383" s="18"/>
      <c r="B383" s="21"/>
      <c r="C383" s="21"/>
      <c r="D383" s="21"/>
      <c r="E383" s="21"/>
      <c r="F383" s="21"/>
      <c r="G383" s="21"/>
      <c r="H383" s="21"/>
      <c r="I383" s="21"/>
      <c r="J383" s="21"/>
      <c r="K383" s="21"/>
      <c r="L383" s="21"/>
      <c r="M383" s="21"/>
      <c r="N383" s="21"/>
      <c r="O383" s="20"/>
    </row>
    <row r="384" spans="1:15" x14ac:dyDescent="0.3">
      <c r="A384" s="18"/>
      <c r="B384" s="21"/>
      <c r="C384" s="21"/>
      <c r="D384" s="21"/>
      <c r="E384" s="21"/>
      <c r="F384" s="21"/>
      <c r="G384" s="21"/>
      <c r="H384" s="21"/>
      <c r="I384" s="21"/>
      <c r="J384" s="21"/>
      <c r="K384" s="21"/>
      <c r="L384" s="21"/>
      <c r="M384" s="21"/>
      <c r="N384" s="21"/>
      <c r="O384" s="20"/>
    </row>
    <row r="385" spans="1:15" x14ac:dyDescent="0.3">
      <c r="A385" s="18"/>
      <c r="B385" s="3" t="s">
        <v>934</v>
      </c>
      <c r="C385" s="21"/>
      <c r="D385" s="21"/>
      <c r="E385" s="21"/>
      <c r="F385" s="21"/>
      <c r="G385" s="21"/>
      <c r="H385" s="21"/>
      <c r="I385" s="21"/>
      <c r="J385" s="21"/>
      <c r="K385" s="21"/>
      <c r="L385" s="21"/>
      <c r="M385" s="21"/>
      <c r="N385" s="21"/>
      <c r="O385" s="20"/>
    </row>
    <row r="386" spans="1:15" x14ac:dyDescent="0.3">
      <c r="A386" s="18"/>
      <c r="B386" s="39" t="s">
        <v>936</v>
      </c>
      <c r="C386" s="30" t="str" cm="1">
        <f t="array" ref="C386">_xll.U.WEB_CONTROL.TEXTAREA(,{"rows",2;"cols",25})</f>
        <v>[HTML::TEXTAREA ROWS=2 COLS=25]</v>
      </c>
      <c r="D386" s="21"/>
      <c r="E386" s="21"/>
      <c r="F386" s="21"/>
      <c r="G386" s="21"/>
      <c r="H386" s="21"/>
      <c r="I386" s="21"/>
      <c r="J386" s="21"/>
      <c r="K386" s="21"/>
      <c r="L386" s="21"/>
      <c r="M386" s="21"/>
      <c r="N386" s="21"/>
      <c r="O386" s="20"/>
    </row>
    <row r="387" spans="1:15" x14ac:dyDescent="0.3">
      <c r="A387" s="18"/>
      <c r="B387" s="39" t="s">
        <v>935</v>
      </c>
      <c r="C387" s="30" t="str" cm="1">
        <f t="array" ref="C387">_xll.U.WEB_CONTROL.TEXTAREA(,{"rows",3})</f>
        <v>[HTML::TEXTAREA ROWS=3]</v>
      </c>
      <c r="D387" s="21"/>
      <c r="E387" s="21"/>
      <c r="F387" s="21"/>
      <c r="G387" s="21"/>
      <c r="H387" s="21"/>
      <c r="I387" s="21"/>
      <c r="J387" s="21"/>
      <c r="K387" s="21"/>
      <c r="L387" s="21"/>
      <c r="M387" s="21"/>
      <c r="N387" s="21"/>
      <c r="O387" s="20"/>
    </row>
    <row r="388" spans="1:15" x14ac:dyDescent="0.3">
      <c r="A388" s="18"/>
      <c r="B388" s="21"/>
      <c r="C388" s="21"/>
      <c r="D388" s="21"/>
      <c r="E388" s="21"/>
      <c r="F388" s="21"/>
      <c r="G388" s="21"/>
      <c r="H388" s="21"/>
      <c r="I388" s="21"/>
      <c r="J388" s="21"/>
      <c r="K388" s="21"/>
      <c r="L388" s="21"/>
      <c r="M388" s="21"/>
      <c r="N388" s="21"/>
      <c r="O388" s="20"/>
    </row>
    <row r="389" spans="1:15" x14ac:dyDescent="0.3">
      <c r="A389" s="18"/>
      <c r="B389" s="21"/>
      <c r="C389" s="21"/>
      <c r="D389" s="21"/>
      <c r="E389" s="21"/>
      <c r="F389" s="21"/>
      <c r="G389" s="21"/>
      <c r="H389" s="21"/>
      <c r="I389" s="21"/>
      <c r="J389" s="21"/>
      <c r="K389" s="21"/>
      <c r="L389" s="21"/>
      <c r="M389" s="21"/>
      <c r="N389" s="21"/>
      <c r="O389" s="20"/>
    </row>
    <row r="390" spans="1:15" x14ac:dyDescent="0.3">
      <c r="A390" s="18"/>
      <c r="B390" s="21"/>
      <c r="C390" s="21"/>
      <c r="D390" s="21"/>
      <c r="E390" s="21"/>
      <c r="F390" s="21"/>
      <c r="G390" s="21"/>
      <c r="H390" s="21"/>
      <c r="I390" s="21"/>
      <c r="J390" s="21"/>
      <c r="K390" s="21"/>
      <c r="L390" s="21"/>
      <c r="M390" s="21"/>
      <c r="N390" s="21"/>
      <c r="O390" s="20"/>
    </row>
    <row r="391" spans="1:15" x14ac:dyDescent="0.3">
      <c r="A391" s="18"/>
      <c r="B391" s="21"/>
      <c r="C391" s="21"/>
      <c r="D391" s="21"/>
      <c r="E391" s="21"/>
      <c r="F391" s="21"/>
      <c r="G391" s="21"/>
      <c r="H391" s="21"/>
      <c r="I391" s="21"/>
      <c r="J391" s="21"/>
      <c r="K391" s="21"/>
      <c r="L391" s="21"/>
      <c r="M391" s="21"/>
      <c r="N391" s="21"/>
      <c r="O391" s="20"/>
    </row>
    <row r="392" spans="1:15" x14ac:dyDescent="0.3">
      <c r="A392" s="18"/>
      <c r="B392" s="21"/>
      <c r="C392" s="21"/>
      <c r="D392" s="21"/>
      <c r="E392" s="21"/>
      <c r="F392" s="21"/>
      <c r="G392" s="21"/>
      <c r="H392" s="21"/>
      <c r="I392" s="21"/>
      <c r="J392" s="21"/>
      <c r="K392" s="21"/>
      <c r="L392" s="21"/>
      <c r="M392" s="21"/>
      <c r="N392" s="21"/>
      <c r="O392" s="20"/>
    </row>
    <row r="393" spans="1:15" x14ac:dyDescent="0.3">
      <c r="A393" s="18"/>
      <c r="B393" s="21"/>
      <c r="C393" s="21"/>
      <c r="D393" s="21"/>
      <c r="E393" s="21"/>
      <c r="F393" s="21"/>
      <c r="G393" s="21"/>
      <c r="H393" s="21"/>
      <c r="I393" s="21"/>
      <c r="J393" s="21"/>
      <c r="K393" s="21"/>
      <c r="L393" s="21"/>
      <c r="M393" s="21"/>
      <c r="N393" s="21"/>
      <c r="O393" s="20"/>
    </row>
    <row r="394" spans="1:15" x14ac:dyDescent="0.3">
      <c r="A394" s="18"/>
      <c r="B394" s="21"/>
      <c r="C394" s="21"/>
      <c r="D394" s="21"/>
      <c r="E394" s="21"/>
      <c r="F394" s="21"/>
      <c r="G394" s="21"/>
      <c r="H394" s="21"/>
      <c r="I394" s="21"/>
      <c r="J394" s="21"/>
      <c r="K394" s="21"/>
      <c r="L394" s="21"/>
      <c r="M394" s="21"/>
      <c r="N394" s="21"/>
      <c r="O394" s="20"/>
    </row>
    <row r="395" spans="1:15" x14ac:dyDescent="0.3">
      <c r="A395" s="18"/>
      <c r="B395" s="21"/>
      <c r="C395" s="21"/>
      <c r="D395" s="21"/>
      <c r="E395" s="21"/>
      <c r="F395" s="21"/>
      <c r="G395" s="21"/>
      <c r="H395" s="21"/>
      <c r="I395" s="21"/>
      <c r="J395" s="21"/>
      <c r="K395" s="21"/>
      <c r="L395" s="21"/>
      <c r="M395" s="21"/>
      <c r="N395" s="21"/>
      <c r="O395" s="20"/>
    </row>
    <row r="396" spans="1:15" x14ac:dyDescent="0.3">
      <c r="A396" s="18"/>
      <c r="B396" s="21"/>
      <c r="C396" s="21"/>
      <c r="D396" s="21"/>
      <c r="E396" s="21"/>
      <c r="F396" s="21"/>
      <c r="G396" s="21"/>
      <c r="H396" s="21"/>
      <c r="I396" s="21"/>
      <c r="J396" s="21"/>
      <c r="K396" s="21"/>
      <c r="L396" s="21"/>
      <c r="M396" s="21"/>
      <c r="N396" s="21"/>
      <c r="O396" s="20"/>
    </row>
    <row r="397" spans="1:15" x14ac:dyDescent="0.3">
      <c r="A397" s="18"/>
      <c r="B397" s="21"/>
      <c r="C397" s="21"/>
      <c r="D397" s="21"/>
      <c r="E397" s="21"/>
      <c r="F397" s="21"/>
      <c r="G397" s="21"/>
      <c r="H397" s="21"/>
      <c r="I397" s="21"/>
      <c r="J397" s="21"/>
      <c r="K397" s="21"/>
      <c r="L397" s="21"/>
      <c r="M397" s="21"/>
      <c r="N397" s="21"/>
      <c r="O397" s="20"/>
    </row>
    <row r="398" spans="1:15" x14ac:dyDescent="0.3">
      <c r="A398" s="18"/>
      <c r="B398" s="21"/>
      <c r="C398" s="21"/>
      <c r="D398" s="21"/>
      <c r="E398" s="21"/>
      <c r="F398" s="21"/>
      <c r="G398" s="21"/>
      <c r="H398" s="21"/>
      <c r="I398" s="21"/>
      <c r="J398" s="21"/>
      <c r="K398" s="21"/>
      <c r="L398" s="21"/>
      <c r="M398" s="21"/>
      <c r="N398" s="21"/>
      <c r="O398" s="20"/>
    </row>
    <row r="399" spans="1:15" x14ac:dyDescent="0.3">
      <c r="A399" s="18"/>
      <c r="B399" s="85" t="s">
        <v>3348</v>
      </c>
      <c r="C399" s="21"/>
      <c r="D399" s="21"/>
      <c r="E399" s="21"/>
      <c r="F399" s="21"/>
      <c r="G399" s="21"/>
      <c r="H399" s="21"/>
      <c r="I399" s="21"/>
      <c r="J399" s="21"/>
      <c r="K399" s="21"/>
      <c r="L399" s="21"/>
      <c r="M399" s="21"/>
      <c r="N399" s="21"/>
      <c r="O399" s="20"/>
    </row>
    <row r="400" spans="1:15" x14ac:dyDescent="0.3">
      <c r="A400" s="18"/>
      <c r="B400" s="3" t="s">
        <v>1210</v>
      </c>
      <c r="C400" s="21"/>
      <c r="D400" s="21"/>
      <c r="E400" s="21"/>
      <c r="F400" s="21"/>
      <c r="G400" s="21"/>
      <c r="H400" s="21"/>
      <c r="I400" s="21"/>
      <c r="J400" s="21"/>
      <c r="K400" s="21"/>
      <c r="L400" s="21"/>
      <c r="M400" s="21"/>
      <c r="N400" s="21"/>
      <c r="O400" s="20"/>
    </row>
    <row r="401" spans="1:15" x14ac:dyDescent="0.3">
      <c r="A401" s="18"/>
      <c r="B401" s="39">
        <v>1</v>
      </c>
      <c r="C401" s="30" t="str" cm="1">
        <f t="array" ref="C401">_xll.U.WEB_CONTROL.BUTTON(,{"text","Click Me"})</f>
        <v>[HTML::BUTTON TEXT=Click Me]</v>
      </c>
      <c r="D401" s="21"/>
      <c r="E401" s="21"/>
      <c r="F401" s="21"/>
      <c r="G401" s="21"/>
      <c r="H401" s="21"/>
      <c r="I401" s="21"/>
      <c r="J401" s="21"/>
      <c r="K401" s="21"/>
      <c r="L401" s="21"/>
      <c r="M401" s="21"/>
      <c r="N401" s="21"/>
      <c r="O401" s="20"/>
    </row>
    <row r="402" spans="1:15" x14ac:dyDescent="0.3">
      <c r="A402" s="18"/>
      <c r="B402" s="39"/>
      <c r="C402" s="30" t="str" cm="1">
        <f t="array" ref="C402">_xll.U.WEB_CONTROL.BUTTON(,{"type","submit"})</f>
        <v>[HTML::BUTTON TYPE=SUBMIT]</v>
      </c>
      <c r="D402" s="21"/>
      <c r="E402" s="21"/>
      <c r="F402" s="21"/>
      <c r="G402" s="21"/>
      <c r="H402" s="21"/>
      <c r="I402" s="21"/>
      <c r="J402" s="21"/>
      <c r="K402" s="21"/>
      <c r="L402" s="21"/>
      <c r="M402" s="21"/>
      <c r="N402" s="21"/>
      <c r="O402" s="20"/>
    </row>
    <row r="403" spans="1:15" x14ac:dyDescent="0.3">
      <c r="A403" s="18"/>
      <c r="B403" s="21"/>
      <c r="C403" s="21"/>
      <c r="D403" s="21"/>
      <c r="E403" s="21"/>
      <c r="F403" s="21"/>
      <c r="G403" s="21"/>
      <c r="H403" s="21"/>
      <c r="I403" s="21"/>
      <c r="J403" s="21"/>
      <c r="K403" s="21"/>
      <c r="L403" s="21"/>
      <c r="M403" s="21"/>
      <c r="N403" s="21"/>
      <c r="O403" s="20"/>
    </row>
    <row r="404" spans="1:15" x14ac:dyDescent="0.3">
      <c r="A404" s="18"/>
      <c r="B404" s="21"/>
      <c r="C404" s="21"/>
      <c r="D404" s="21"/>
      <c r="E404" s="21"/>
      <c r="F404" s="21"/>
      <c r="G404" s="21"/>
      <c r="H404" s="21"/>
      <c r="I404" s="21"/>
      <c r="J404" s="21"/>
      <c r="K404" s="21"/>
      <c r="L404" s="21"/>
      <c r="M404" s="21"/>
      <c r="N404" s="21"/>
      <c r="O404" s="20"/>
    </row>
    <row r="405" spans="1:15" x14ac:dyDescent="0.3">
      <c r="A405" s="18"/>
      <c r="B405" s="21"/>
      <c r="C405" s="21"/>
      <c r="D405" s="21"/>
      <c r="E405" s="21"/>
      <c r="F405" s="21"/>
      <c r="G405" s="21"/>
      <c r="H405" s="21"/>
      <c r="I405" s="21"/>
      <c r="J405" s="21"/>
      <c r="K405" s="21"/>
      <c r="L405" s="21"/>
      <c r="M405" s="21"/>
      <c r="N405" s="21"/>
      <c r="O405" s="20"/>
    </row>
    <row r="406" spans="1:15" x14ac:dyDescent="0.3">
      <c r="A406" s="18"/>
      <c r="B406" s="21"/>
      <c r="C406" s="21"/>
      <c r="D406" s="21"/>
      <c r="E406" s="21"/>
      <c r="F406" s="21"/>
      <c r="G406" s="21"/>
      <c r="H406" s="21"/>
      <c r="I406" s="21"/>
      <c r="J406" s="21"/>
      <c r="K406" s="21"/>
      <c r="L406" s="21"/>
      <c r="M406" s="21"/>
      <c r="N406" s="21"/>
      <c r="O406" s="20"/>
    </row>
    <row r="407" spans="1:15" x14ac:dyDescent="0.3">
      <c r="A407" s="18"/>
      <c r="B407" s="21"/>
      <c r="C407" s="21"/>
      <c r="D407" s="21"/>
      <c r="E407" s="21"/>
      <c r="F407" s="21"/>
      <c r="G407" s="21"/>
      <c r="H407" s="21"/>
      <c r="I407" s="21"/>
      <c r="J407" s="21"/>
      <c r="K407" s="21"/>
      <c r="L407" s="21"/>
      <c r="M407" s="21"/>
      <c r="N407" s="21"/>
      <c r="O407" s="20"/>
    </row>
    <row r="408" spans="1:15" x14ac:dyDescent="0.3">
      <c r="A408" s="18"/>
      <c r="B408" s="21"/>
      <c r="C408" s="21"/>
      <c r="D408" s="21"/>
      <c r="E408" s="21"/>
      <c r="F408" s="21"/>
      <c r="G408" s="21"/>
      <c r="H408" s="21"/>
      <c r="I408" s="21"/>
      <c r="J408" s="21"/>
      <c r="K408" s="21"/>
      <c r="L408" s="21"/>
      <c r="M408" s="21"/>
      <c r="N408" s="21"/>
      <c r="O408" s="20"/>
    </row>
    <row r="409" spans="1:15" x14ac:dyDescent="0.3">
      <c r="A409" s="18"/>
      <c r="B409" s="85" t="s">
        <v>3351</v>
      </c>
      <c r="C409" s="21"/>
      <c r="D409" s="21"/>
      <c r="E409" s="21"/>
      <c r="F409" s="21"/>
      <c r="G409" s="21"/>
      <c r="H409" s="21"/>
      <c r="I409" s="21"/>
      <c r="J409" s="21"/>
      <c r="K409" s="21"/>
      <c r="L409" s="21"/>
      <c r="M409" s="21"/>
      <c r="N409" s="21"/>
      <c r="O409" s="20"/>
    </row>
    <row r="410" spans="1:15" x14ac:dyDescent="0.3">
      <c r="A410" s="18"/>
      <c r="B410" s="3" t="s">
        <v>1211</v>
      </c>
      <c r="C410" s="21"/>
      <c r="D410" s="21"/>
      <c r="E410" s="21"/>
      <c r="F410" s="21"/>
      <c r="G410" s="21"/>
      <c r="H410" s="21"/>
      <c r="I410" s="21"/>
      <c r="J410" s="21"/>
      <c r="K410" s="21"/>
      <c r="L410" s="21"/>
      <c r="M410" s="21"/>
      <c r="N410" s="21"/>
      <c r="O410" s="20"/>
    </row>
    <row r="411" spans="1:15" x14ac:dyDescent="0.3">
      <c r="A411" s="18"/>
      <c r="B411" s="39"/>
      <c r="C411" s="30" t="str" cm="1">
        <f t="array" ref="C411">_xll.U.WEB_CONTROL.DROPDOWN(B415:B418,,{"placeholder","Select Date…"})</f>
        <v>[HTML::DROPDOWN PLACEHOLDER=Select Date… OPTIONS=,2019-10-13,2019-10-20,2019-11-24]</v>
      </c>
      <c r="D411" s="21"/>
      <c r="E411" s="21"/>
      <c r="F411" s="21"/>
      <c r="G411" s="21"/>
      <c r="H411" s="21"/>
      <c r="I411" s="21"/>
      <c r="J411" s="21"/>
      <c r="K411" s="21"/>
      <c r="L411" s="21"/>
      <c r="M411" s="21"/>
      <c r="N411" s="21"/>
      <c r="O411" s="20"/>
    </row>
    <row r="412" spans="1:15" x14ac:dyDescent="0.3">
      <c r="A412" s="18"/>
      <c r="B412" s="39" t="s">
        <v>1216</v>
      </c>
      <c r="C412" s="30" t="str" cm="1">
        <f t="array" ref="C412">_xll.U.WEB_CONTROL.DROPDOWN("SF,CHI,NY")</f>
        <v>[HTML::DROPDOWN OPTIONS=SF,CHI,NY]</v>
      </c>
      <c r="D412" s="21"/>
      <c r="E412" s="21"/>
      <c r="F412" s="21"/>
      <c r="G412" s="21"/>
      <c r="H412" s="21"/>
      <c r="I412" s="21"/>
      <c r="J412" s="21"/>
      <c r="K412" s="21"/>
      <c r="L412" s="21"/>
      <c r="M412" s="21"/>
      <c r="N412" s="21"/>
      <c r="O412" s="20"/>
    </row>
    <row r="413" spans="1:15" x14ac:dyDescent="0.3">
      <c r="A413" s="18"/>
      <c r="B413" s="21"/>
      <c r="C413" s="21"/>
      <c r="D413" s="21"/>
      <c r="E413" s="21"/>
      <c r="F413" s="21"/>
      <c r="G413" s="21"/>
      <c r="H413" s="21"/>
      <c r="I413" s="21"/>
      <c r="J413" s="21"/>
      <c r="K413" s="21"/>
      <c r="L413" s="21"/>
      <c r="M413" s="21"/>
      <c r="N413" s="21"/>
      <c r="O413" s="20"/>
    </row>
    <row r="414" spans="1:15" x14ac:dyDescent="0.3">
      <c r="A414" s="18"/>
      <c r="B414" s="3" t="s">
        <v>1212</v>
      </c>
      <c r="C414" s="21"/>
      <c r="D414" s="21"/>
      <c r="E414" s="21"/>
      <c r="F414" s="21"/>
      <c r="G414" s="21"/>
      <c r="H414" s="21"/>
      <c r="I414" s="21"/>
      <c r="J414" s="21"/>
      <c r="K414" s="21"/>
      <c r="L414" s="21"/>
      <c r="M414" s="21"/>
      <c r="N414" s="21"/>
      <c r="O414" s="20"/>
    </row>
    <row r="415" spans="1:15" x14ac:dyDescent="0.3">
      <c r="A415" s="18"/>
      <c r="B415" s="244"/>
      <c r="C415" s="21"/>
      <c r="D415" s="21"/>
      <c r="E415" s="21"/>
      <c r="F415" s="21"/>
      <c r="G415" s="21"/>
      <c r="H415" s="21"/>
      <c r="I415" s="21"/>
      <c r="J415" s="21"/>
      <c r="K415" s="21"/>
      <c r="L415" s="21"/>
      <c r="M415" s="21"/>
      <c r="N415" s="21"/>
      <c r="O415" s="20"/>
    </row>
    <row r="416" spans="1:15" x14ac:dyDescent="0.3">
      <c r="A416" s="18"/>
      <c r="B416" s="244" t="s">
        <v>1214</v>
      </c>
      <c r="C416" s="21"/>
      <c r="D416" s="21"/>
      <c r="E416" s="21"/>
      <c r="F416" s="21"/>
      <c r="G416" s="21"/>
      <c r="H416" s="21"/>
      <c r="I416" s="21"/>
      <c r="J416" s="21"/>
      <c r="K416" s="21"/>
      <c r="L416" s="21"/>
      <c r="M416" s="21"/>
      <c r="N416" s="21"/>
      <c r="O416" s="20"/>
    </row>
    <row r="417" spans="1:15" x14ac:dyDescent="0.3">
      <c r="A417" s="18"/>
      <c r="B417" s="244" t="s">
        <v>1213</v>
      </c>
      <c r="C417" s="21"/>
      <c r="D417" s="21"/>
      <c r="E417" s="21"/>
      <c r="F417" s="21"/>
      <c r="G417" s="21"/>
      <c r="H417" s="21"/>
      <c r="I417" s="21"/>
      <c r="J417" s="21"/>
      <c r="K417" s="21"/>
      <c r="L417" s="21"/>
      <c r="M417" s="21"/>
      <c r="N417" s="21"/>
      <c r="O417" s="20"/>
    </row>
    <row r="418" spans="1:15" x14ac:dyDescent="0.3">
      <c r="A418" s="18"/>
      <c r="B418" s="244" t="s">
        <v>1215</v>
      </c>
      <c r="C418" s="21"/>
      <c r="D418" s="21"/>
      <c r="E418" s="21"/>
      <c r="F418" s="21"/>
      <c r="G418" s="21"/>
      <c r="H418" s="21"/>
      <c r="I418" s="21"/>
      <c r="J418" s="21"/>
      <c r="K418" s="21"/>
      <c r="L418" s="21"/>
      <c r="M418" s="21"/>
      <c r="N418" s="21"/>
      <c r="O418" s="20"/>
    </row>
    <row r="419" spans="1:15" x14ac:dyDescent="0.3">
      <c r="A419" s="18"/>
      <c r="B419" s="21"/>
      <c r="C419" s="21"/>
      <c r="D419" s="21"/>
      <c r="E419" s="21"/>
      <c r="F419" s="21"/>
      <c r="G419" s="21"/>
      <c r="H419" s="21"/>
      <c r="I419" s="21"/>
      <c r="J419" s="21"/>
      <c r="K419" s="21"/>
      <c r="L419" s="21"/>
      <c r="M419" s="21"/>
      <c r="N419" s="21"/>
      <c r="O419" s="20"/>
    </row>
    <row r="420" spans="1:15" x14ac:dyDescent="0.3">
      <c r="A420" s="18"/>
      <c r="B420" s="21"/>
      <c r="C420" s="21"/>
      <c r="D420" s="21"/>
      <c r="E420" s="21"/>
      <c r="F420" s="21"/>
      <c r="G420" s="21"/>
      <c r="H420" s="21"/>
      <c r="I420" s="21"/>
      <c r="J420" s="21"/>
      <c r="K420" s="21"/>
      <c r="L420" s="21"/>
      <c r="M420" s="21"/>
      <c r="N420" s="21"/>
      <c r="O420" s="20"/>
    </row>
    <row r="421" spans="1:15" x14ac:dyDescent="0.3">
      <c r="A421" s="18"/>
      <c r="B421" s="21"/>
      <c r="C421" s="21"/>
      <c r="D421" s="21"/>
      <c r="E421" s="21"/>
      <c r="F421" s="21"/>
      <c r="G421" s="21"/>
      <c r="H421" s="21"/>
      <c r="I421" s="21"/>
      <c r="J421" s="21"/>
      <c r="K421" s="21"/>
      <c r="L421" s="21"/>
      <c r="M421" s="21"/>
      <c r="N421" s="21"/>
      <c r="O421" s="20"/>
    </row>
    <row r="422" spans="1:15" x14ac:dyDescent="0.3">
      <c r="A422" s="18"/>
      <c r="B422" s="21"/>
      <c r="C422" s="21"/>
      <c r="D422" s="21"/>
      <c r="E422" s="21"/>
      <c r="F422" s="21"/>
      <c r="G422" s="21"/>
      <c r="H422" s="21"/>
      <c r="I422" s="21"/>
      <c r="J422" s="21"/>
      <c r="K422" s="21"/>
      <c r="L422" s="21"/>
      <c r="M422" s="21"/>
      <c r="N422" s="21"/>
      <c r="O422" s="20"/>
    </row>
    <row r="423" spans="1:15" x14ac:dyDescent="0.3">
      <c r="A423" s="18"/>
      <c r="B423" s="85" t="s">
        <v>3353</v>
      </c>
      <c r="C423" s="21"/>
      <c r="D423" s="21"/>
      <c r="E423" s="21"/>
      <c r="F423" s="21"/>
      <c r="G423" s="21"/>
      <c r="H423" s="21"/>
      <c r="I423" s="21"/>
      <c r="J423" s="21"/>
      <c r="K423" s="21"/>
      <c r="L423" s="21"/>
      <c r="M423" s="21"/>
      <c r="N423" s="21"/>
      <c r="O423" s="20"/>
    </row>
    <row r="424" spans="1:15" x14ac:dyDescent="0.3">
      <c r="A424" s="18"/>
      <c r="B424" s="3" t="s">
        <v>1211</v>
      </c>
      <c r="C424" s="21"/>
      <c r="D424" s="21"/>
      <c r="E424" s="21"/>
      <c r="F424" s="21"/>
      <c r="G424" s="21"/>
      <c r="H424" s="21"/>
      <c r="I424" s="21"/>
      <c r="J424" s="21"/>
      <c r="K424" s="21"/>
      <c r="L424" s="21"/>
      <c r="M424" s="21"/>
      <c r="N424" s="21"/>
      <c r="O424" s="20"/>
    </row>
    <row r="425" spans="1:15" x14ac:dyDescent="0.3">
      <c r="A425" s="18"/>
      <c r="B425" s="39"/>
      <c r="C425" s="30" t="str" cm="1">
        <f t="array" ref="C425">_xll.U.WEB_CONTROL.DATEPICKER()</f>
        <v>[HTML::DATEPICKER]</v>
      </c>
      <c r="D425" s="21"/>
      <c r="E425" s="21"/>
      <c r="F425" s="21"/>
      <c r="G425" s="21"/>
      <c r="H425" s="21"/>
      <c r="I425" s="21"/>
      <c r="J425" s="21"/>
      <c r="K425" s="21"/>
      <c r="L425" s="21"/>
      <c r="M425" s="21"/>
      <c r="N425" s="21"/>
      <c r="O425" s="20"/>
    </row>
    <row r="426" spans="1:15" x14ac:dyDescent="0.3">
      <c r="A426" s="18"/>
      <c r="B426" s="21"/>
      <c r="C426" s="21"/>
      <c r="D426" s="21"/>
      <c r="E426" s="21"/>
      <c r="F426" s="21"/>
      <c r="G426" s="21"/>
      <c r="H426" s="21"/>
      <c r="I426" s="21"/>
      <c r="J426" s="21"/>
      <c r="K426" s="21"/>
      <c r="L426" s="21"/>
      <c r="M426" s="21"/>
      <c r="N426" s="21"/>
      <c r="O426" s="20"/>
    </row>
    <row r="427" spans="1:15" x14ac:dyDescent="0.3">
      <c r="A427" s="18"/>
      <c r="B427" s="21"/>
      <c r="C427" s="21"/>
      <c r="D427" s="21"/>
      <c r="E427" s="21"/>
      <c r="F427" s="21"/>
      <c r="G427" s="21"/>
      <c r="H427" s="21"/>
      <c r="I427" s="21"/>
      <c r="J427" s="21"/>
      <c r="K427" s="21"/>
      <c r="L427" s="21"/>
      <c r="M427" s="21"/>
      <c r="N427" s="21"/>
      <c r="O427" s="20"/>
    </row>
    <row r="428" spans="1:15" x14ac:dyDescent="0.3">
      <c r="A428" s="18"/>
      <c r="B428" s="21"/>
      <c r="C428" s="21"/>
      <c r="D428" s="21"/>
      <c r="E428" s="21"/>
      <c r="F428" s="21"/>
      <c r="G428" s="21"/>
      <c r="H428" s="21"/>
      <c r="I428" s="21"/>
      <c r="J428" s="21"/>
      <c r="K428" s="21"/>
      <c r="L428" s="21"/>
      <c r="M428" s="21"/>
      <c r="N428" s="21"/>
      <c r="O428" s="20"/>
    </row>
    <row r="429" spans="1:15" x14ac:dyDescent="0.3">
      <c r="A429" s="18"/>
      <c r="B429" s="21"/>
      <c r="C429" s="21"/>
      <c r="D429" s="21"/>
      <c r="E429" s="21"/>
      <c r="F429" s="21"/>
      <c r="G429" s="21"/>
      <c r="H429" s="21"/>
      <c r="I429" s="21"/>
      <c r="J429" s="21"/>
      <c r="K429" s="21"/>
      <c r="L429" s="21"/>
      <c r="M429" s="21"/>
      <c r="N429" s="21"/>
      <c r="O429" s="20"/>
    </row>
    <row r="430" spans="1:15" x14ac:dyDescent="0.3">
      <c r="A430" s="18"/>
      <c r="B430" s="21"/>
      <c r="C430" s="21"/>
      <c r="D430" s="21"/>
      <c r="E430" s="21"/>
      <c r="F430" s="21"/>
      <c r="G430" s="21"/>
      <c r="H430" s="21"/>
      <c r="I430" s="21"/>
      <c r="J430" s="21"/>
      <c r="K430" s="21"/>
      <c r="L430" s="21"/>
      <c r="M430" s="21"/>
      <c r="N430" s="21"/>
      <c r="O430" s="20"/>
    </row>
    <row r="431" spans="1:15" x14ac:dyDescent="0.3">
      <c r="A431" s="18"/>
      <c r="B431" s="85" t="s">
        <v>3649</v>
      </c>
      <c r="C431" s="21"/>
      <c r="D431" s="21"/>
      <c r="E431" s="21"/>
      <c r="F431" s="21"/>
      <c r="G431" s="21"/>
      <c r="H431" s="21"/>
      <c r="I431" s="21"/>
      <c r="J431" s="21"/>
      <c r="K431" s="21"/>
      <c r="L431" s="21"/>
      <c r="M431" s="21"/>
      <c r="N431" s="21"/>
      <c r="O431" s="20"/>
    </row>
    <row r="432" spans="1:15" x14ac:dyDescent="0.3">
      <c r="A432" s="18"/>
      <c r="B432" s="3" t="s">
        <v>3659</v>
      </c>
      <c r="C432" s="21"/>
      <c r="D432" s="21"/>
      <c r="E432" s="21"/>
      <c r="F432" s="21"/>
      <c r="G432" s="21"/>
      <c r="H432" s="21"/>
      <c r="I432" s="21"/>
      <c r="J432" s="21"/>
      <c r="K432" s="21"/>
      <c r="L432" s="21"/>
      <c r="M432" s="21"/>
      <c r="N432" s="21"/>
      <c r="O432" s="20"/>
    </row>
    <row r="433" spans="1:15" x14ac:dyDescent="0.3">
      <c r="A433" s="18"/>
      <c r="B433" s="39" t="s">
        <v>3856</v>
      </c>
      <c r="C433" s="30" t="str" cm="1">
        <f t="array" ref="C433">_xll.U.WEB_CONTROL.HYPERLINK(B433,B436)</f>
        <v>|YTAE|[HTML::HYPERLINK ID=YTAE URL=https://www.runline.com][VAL=s|runline]|YTAE|</v>
      </c>
      <c r="D433" s="21"/>
      <c r="E433" s="21"/>
      <c r="F433" s="21"/>
      <c r="G433" s="21"/>
      <c r="H433" s="21"/>
      <c r="I433" s="21"/>
      <c r="J433" s="21"/>
      <c r="K433" s="21"/>
      <c r="L433" s="21"/>
      <c r="M433" s="21"/>
      <c r="N433" s="21"/>
      <c r="O433" s="20"/>
    </row>
    <row r="434" spans="1:15" x14ac:dyDescent="0.3">
      <c r="A434" s="18"/>
      <c r="B434" s="21"/>
      <c r="C434" s="21"/>
      <c r="D434" s="21"/>
      <c r="E434" s="21"/>
      <c r="F434" s="21"/>
      <c r="G434" s="21"/>
      <c r="H434" s="21"/>
      <c r="I434" s="21"/>
      <c r="J434" s="21"/>
      <c r="K434" s="21"/>
      <c r="L434" s="21"/>
      <c r="M434" s="21"/>
      <c r="N434" s="21"/>
      <c r="O434" s="20"/>
    </row>
    <row r="435" spans="1:15" x14ac:dyDescent="0.3">
      <c r="A435" s="18"/>
      <c r="B435" s="3" t="s">
        <v>3658</v>
      </c>
      <c r="C435" s="21"/>
      <c r="D435" s="21"/>
      <c r="E435" s="21"/>
      <c r="F435" s="21"/>
      <c r="G435" s="21"/>
      <c r="H435" s="21"/>
      <c r="I435" s="21"/>
      <c r="J435" s="21"/>
      <c r="K435" s="21"/>
      <c r="L435" s="21"/>
      <c r="M435" s="21"/>
      <c r="N435" s="21"/>
      <c r="O435" s="20"/>
    </row>
    <row r="436" spans="1:15" x14ac:dyDescent="0.3">
      <c r="A436" s="18"/>
      <c r="B436" s="459" t="s">
        <v>3857</v>
      </c>
      <c r="C436" s="21"/>
      <c r="D436" s="21"/>
      <c r="E436" s="21"/>
      <c r="F436" s="21"/>
      <c r="G436" s="21"/>
      <c r="H436" s="21"/>
      <c r="I436" s="21"/>
      <c r="J436" s="21"/>
      <c r="K436" s="21"/>
      <c r="L436" s="21"/>
      <c r="M436" s="21"/>
      <c r="N436" s="21"/>
      <c r="O436" s="20"/>
    </row>
    <row r="437" spans="1:15" x14ac:dyDescent="0.3">
      <c r="A437" s="18"/>
      <c r="B437" s="460"/>
      <c r="C437" s="21"/>
      <c r="D437" s="21"/>
      <c r="E437" s="21"/>
      <c r="F437" s="21"/>
      <c r="G437" s="21"/>
      <c r="H437" s="21"/>
      <c r="I437" s="21"/>
      <c r="J437" s="21"/>
      <c r="K437" s="21"/>
      <c r="L437" s="21"/>
      <c r="M437" s="21"/>
      <c r="N437" s="21"/>
      <c r="O437" s="20"/>
    </row>
    <row r="438" spans="1:15" x14ac:dyDescent="0.3">
      <c r="A438" s="18"/>
      <c r="B438" s="21"/>
      <c r="C438" s="21"/>
      <c r="D438" s="21"/>
      <c r="E438" s="21"/>
      <c r="F438" s="21"/>
      <c r="G438" s="21"/>
      <c r="H438" s="21"/>
      <c r="I438" s="21"/>
      <c r="J438" s="21"/>
      <c r="K438" s="21"/>
      <c r="L438" s="21"/>
      <c r="M438" s="21"/>
      <c r="N438" s="21"/>
      <c r="O438" s="20"/>
    </row>
    <row r="439" spans="1:15" x14ac:dyDescent="0.3">
      <c r="A439" s="18"/>
      <c r="B439" s="21"/>
      <c r="C439" s="21"/>
      <c r="D439" s="21"/>
      <c r="E439" s="21"/>
      <c r="F439" s="21"/>
      <c r="G439" s="21"/>
      <c r="H439" s="21"/>
      <c r="I439" s="21"/>
      <c r="J439" s="21"/>
      <c r="K439" s="21"/>
      <c r="L439" s="21"/>
      <c r="M439" s="21"/>
      <c r="N439" s="21"/>
      <c r="O439" s="20"/>
    </row>
    <row r="440" spans="1:15" x14ac:dyDescent="0.3">
      <c r="A440" s="18"/>
      <c r="B440" s="21"/>
      <c r="C440" s="21"/>
      <c r="D440" s="21"/>
      <c r="E440" s="21"/>
      <c r="F440" s="21"/>
      <c r="G440" s="21"/>
      <c r="H440" s="21"/>
      <c r="I440" s="21"/>
      <c r="J440" s="21"/>
      <c r="K440" s="21"/>
      <c r="L440" s="21"/>
      <c r="M440" s="21"/>
      <c r="N440" s="21"/>
      <c r="O440" s="20"/>
    </row>
    <row r="441" spans="1:15" x14ac:dyDescent="0.3">
      <c r="A441" s="18"/>
      <c r="B441" s="21"/>
      <c r="C441" s="21"/>
      <c r="D441" s="21"/>
      <c r="E441" s="21"/>
      <c r="F441" s="21"/>
      <c r="G441" s="21"/>
      <c r="H441" s="21"/>
      <c r="I441" s="21"/>
      <c r="J441" s="21"/>
      <c r="K441" s="21"/>
      <c r="L441" s="21"/>
      <c r="M441" s="21"/>
      <c r="N441" s="21"/>
      <c r="O441" s="20"/>
    </row>
    <row r="442" spans="1:15" x14ac:dyDescent="0.3">
      <c r="A442" s="18"/>
      <c r="B442" s="85" t="s">
        <v>3650</v>
      </c>
      <c r="C442" s="21"/>
      <c r="D442" s="21"/>
      <c r="E442" s="21"/>
      <c r="F442" s="21"/>
      <c r="G442" s="21"/>
      <c r="H442" s="21"/>
      <c r="I442" s="21"/>
      <c r="J442" s="21"/>
      <c r="K442" s="21"/>
      <c r="L442" s="21"/>
      <c r="M442" s="21"/>
      <c r="N442" s="21"/>
      <c r="O442" s="20"/>
    </row>
    <row r="443" spans="1:15" x14ac:dyDescent="0.3">
      <c r="A443" s="18"/>
      <c r="B443" s="39" t="s">
        <v>3831</v>
      </c>
      <c r="C443" s="30" t="str" cm="1">
        <f t="array" ref="C443">_xll.U.WEB_CONTROL.TOOLTIP(B443,B446)</f>
        <v>|FDLT|[HTML::TOOLTIP ID=FDLT TEXT=great software][VAL=s|U]|FDLT|</v>
      </c>
      <c r="D443" s="21"/>
      <c r="E443" s="21"/>
      <c r="F443" s="21"/>
      <c r="G443" s="21"/>
      <c r="H443" s="21"/>
      <c r="I443" s="21"/>
      <c r="J443" s="21"/>
      <c r="K443" s="21"/>
      <c r="L443" s="21"/>
      <c r="M443" s="21"/>
      <c r="N443" s="21"/>
      <c r="O443" s="20"/>
    </row>
    <row r="444" spans="1:15" x14ac:dyDescent="0.3">
      <c r="A444" s="18"/>
      <c r="B444" s="21"/>
      <c r="C444" s="21"/>
      <c r="D444" s="21"/>
      <c r="E444" s="21"/>
      <c r="F444" s="21"/>
      <c r="G444" s="21"/>
      <c r="H444" s="21"/>
      <c r="I444" s="21"/>
      <c r="J444" s="21"/>
      <c r="K444" s="21"/>
      <c r="L444" s="21"/>
      <c r="M444" s="21"/>
      <c r="N444" s="21"/>
      <c r="O444" s="20"/>
    </row>
    <row r="445" spans="1:15" x14ac:dyDescent="0.3">
      <c r="A445" s="18"/>
      <c r="B445" s="3" t="s">
        <v>3669</v>
      </c>
      <c r="C445" s="21"/>
      <c r="D445" s="21"/>
      <c r="E445" s="21"/>
      <c r="F445" s="21"/>
      <c r="G445" s="21"/>
      <c r="H445" s="21"/>
      <c r="I445" s="21"/>
      <c r="J445" s="21"/>
      <c r="K445" s="21"/>
      <c r="L445" s="21"/>
      <c r="M445" s="21"/>
      <c r="N445" s="21"/>
      <c r="O445" s="20"/>
    </row>
    <row r="446" spans="1:15" x14ac:dyDescent="0.3">
      <c r="A446" s="18"/>
      <c r="B446" s="459" t="s">
        <v>3670</v>
      </c>
      <c r="C446" s="21"/>
      <c r="D446" s="21"/>
      <c r="E446" s="21"/>
      <c r="F446" s="21"/>
      <c r="G446" s="21"/>
      <c r="H446" s="21"/>
      <c r="I446" s="21"/>
      <c r="J446" s="21"/>
      <c r="K446" s="21"/>
      <c r="L446" s="21"/>
      <c r="M446" s="21"/>
      <c r="N446" s="21"/>
      <c r="O446" s="20"/>
    </row>
    <row r="447" spans="1:15" x14ac:dyDescent="0.3">
      <c r="A447" s="18"/>
      <c r="B447" s="21"/>
      <c r="C447" s="21"/>
      <c r="D447" s="21"/>
      <c r="E447" s="21"/>
      <c r="F447" s="21"/>
      <c r="G447" s="21"/>
      <c r="H447" s="21"/>
      <c r="I447" s="21"/>
      <c r="J447" s="21"/>
      <c r="K447" s="21"/>
      <c r="L447" s="21"/>
      <c r="M447" s="21"/>
      <c r="N447" s="21"/>
      <c r="O447" s="20"/>
    </row>
    <row r="448" spans="1:15" x14ac:dyDescent="0.3">
      <c r="A448" s="18"/>
      <c r="B448" s="21"/>
      <c r="D448" s="21"/>
      <c r="E448" s="21"/>
      <c r="F448" s="21"/>
      <c r="G448" s="21"/>
      <c r="H448" s="21"/>
      <c r="I448" s="21"/>
      <c r="J448" s="21"/>
      <c r="K448" s="21"/>
      <c r="L448" s="21"/>
      <c r="M448" s="21"/>
      <c r="N448" s="21"/>
      <c r="O448" s="20"/>
    </row>
    <row r="449" spans="1:15" x14ac:dyDescent="0.3">
      <c r="A449" s="18"/>
      <c r="B449" s="21"/>
      <c r="C449" s="21"/>
      <c r="D449" s="21"/>
      <c r="E449" s="21"/>
      <c r="F449" s="21"/>
      <c r="G449" s="21"/>
      <c r="H449" s="21"/>
      <c r="I449" s="21"/>
      <c r="J449" s="21"/>
      <c r="K449" s="21"/>
      <c r="L449" s="21"/>
      <c r="M449" s="21"/>
      <c r="N449" s="21"/>
      <c r="O449" s="20"/>
    </row>
    <row r="450" spans="1:15" x14ac:dyDescent="0.3">
      <c r="A450" s="18"/>
      <c r="B450" s="21"/>
      <c r="C450" s="21"/>
      <c r="D450" s="21"/>
      <c r="E450" s="21"/>
      <c r="F450" s="21"/>
      <c r="G450" s="21"/>
      <c r="H450" s="21"/>
      <c r="I450" s="21"/>
      <c r="J450" s="21"/>
      <c r="K450" s="21"/>
      <c r="L450" s="21"/>
      <c r="M450" s="21"/>
      <c r="N450" s="21"/>
      <c r="O450" s="20"/>
    </row>
    <row r="451" spans="1:15" x14ac:dyDescent="0.3">
      <c r="A451" s="18"/>
      <c r="B451" s="21"/>
      <c r="C451" s="21"/>
      <c r="D451" s="21"/>
      <c r="E451" s="21"/>
      <c r="F451" s="21"/>
      <c r="G451" s="21"/>
      <c r="H451" s="21"/>
      <c r="I451" s="21"/>
      <c r="J451" s="21"/>
      <c r="K451" s="21"/>
      <c r="L451" s="21"/>
      <c r="M451" s="21"/>
      <c r="N451" s="21"/>
      <c r="O451" s="20"/>
    </row>
    <row r="452" spans="1:15" x14ac:dyDescent="0.3">
      <c r="A452" s="18"/>
      <c r="B452" s="21"/>
      <c r="C452" s="21"/>
      <c r="D452" s="21"/>
      <c r="E452" s="21"/>
      <c r="F452" s="21"/>
      <c r="G452" s="21"/>
      <c r="H452" s="21"/>
      <c r="I452" s="21"/>
      <c r="J452" s="21"/>
      <c r="K452" s="21"/>
      <c r="L452" s="21"/>
      <c r="M452" s="21"/>
      <c r="N452" s="21"/>
      <c r="O452" s="20"/>
    </row>
    <row r="453" spans="1:15" x14ac:dyDescent="0.3">
      <c r="A453" s="18"/>
      <c r="B453" s="21"/>
      <c r="C453" s="21"/>
      <c r="D453" s="21"/>
      <c r="E453" s="21"/>
      <c r="F453" s="21"/>
      <c r="G453" s="21"/>
      <c r="H453" s="21"/>
      <c r="I453" s="21"/>
      <c r="J453" s="21"/>
      <c r="K453" s="21"/>
      <c r="L453" s="21"/>
      <c r="M453" s="21"/>
      <c r="N453" s="21"/>
      <c r="O453" s="20"/>
    </row>
    <row r="454" spans="1:15" x14ac:dyDescent="0.3">
      <c r="A454" s="18"/>
      <c r="B454" s="21"/>
      <c r="C454" s="21"/>
      <c r="D454" s="21"/>
      <c r="E454" s="21"/>
      <c r="F454" s="21"/>
      <c r="G454" s="21"/>
      <c r="H454" s="21"/>
      <c r="I454" s="21"/>
      <c r="J454" s="21"/>
      <c r="K454" s="21"/>
      <c r="L454" s="21"/>
      <c r="M454" s="21"/>
      <c r="N454" s="21"/>
      <c r="O454" s="20"/>
    </row>
    <row r="455" spans="1:15" x14ac:dyDescent="0.3">
      <c r="A455" s="18"/>
      <c r="B455" s="21"/>
      <c r="C455" s="21"/>
      <c r="D455" s="21"/>
      <c r="E455" s="21"/>
      <c r="F455" s="21"/>
      <c r="G455" s="21"/>
      <c r="H455" s="21"/>
      <c r="I455" s="21"/>
      <c r="J455" s="21"/>
      <c r="K455" s="21"/>
      <c r="L455" s="21"/>
      <c r="M455" s="21"/>
      <c r="N455" s="21"/>
      <c r="O455" s="20"/>
    </row>
    <row r="456" spans="1:15" x14ac:dyDescent="0.3">
      <c r="A456" s="18"/>
      <c r="B456" s="21"/>
      <c r="C456" s="21"/>
      <c r="D456" s="21"/>
      <c r="E456" s="21"/>
      <c r="F456" s="21"/>
      <c r="G456" s="21"/>
      <c r="H456" s="21"/>
      <c r="I456" s="21"/>
      <c r="J456" s="21"/>
      <c r="K456" s="21"/>
      <c r="L456" s="21"/>
      <c r="M456" s="21"/>
      <c r="N456" s="21"/>
      <c r="O456" s="20"/>
    </row>
    <row r="457" spans="1:15" x14ac:dyDescent="0.3">
      <c r="A457" s="18"/>
      <c r="B457" s="21"/>
      <c r="C457" s="21"/>
      <c r="D457" s="21"/>
      <c r="E457" s="21"/>
      <c r="F457" s="21"/>
      <c r="G457" s="21"/>
      <c r="H457" s="21"/>
      <c r="I457" s="21"/>
      <c r="J457" s="21"/>
      <c r="K457" s="21"/>
      <c r="L457" s="21"/>
      <c r="M457" s="21"/>
      <c r="N457" s="21"/>
      <c r="O457" s="20"/>
    </row>
    <row r="458" spans="1:15" x14ac:dyDescent="0.3">
      <c r="A458" s="18"/>
      <c r="B458" s="21"/>
      <c r="C458" s="21"/>
      <c r="D458" s="21"/>
      <c r="E458" s="21"/>
      <c r="F458" s="21"/>
      <c r="G458" s="21"/>
      <c r="H458" s="21"/>
      <c r="I458" s="21"/>
      <c r="J458" s="21"/>
      <c r="K458" s="21"/>
      <c r="L458" s="21"/>
      <c r="M458" s="21"/>
      <c r="N458" s="21"/>
      <c r="O458" s="20"/>
    </row>
    <row r="459" spans="1:15" x14ac:dyDescent="0.3">
      <c r="A459" s="18"/>
      <c r="B459" s="21"/>
      <c r="C459" s="21"/>
      <c r="D459" s="21"/>
      <c r="E459" s="21"/>
      <c r="F459" s="21"/>
      <c r="G459" s="21"/>
      <c r="H459" s="21"/>
      <c r="I459" s="21"/>
      <c r="J459" s="21"/>
      <c r="K459" s="21"/>
      <c r="L459" s="21"/>
      <c r="M459" s="21"/>
      <c r="N459" s="21"/>
      <c r="O459" s="20"/>
    </row>
    <row r="460" spans="1:15" x14ac:dyDescent="0.3">
      <c r="A460" s="18"/>
      <c r="B460" s="21"/>
      <c r="C460" s="21"/>
      <c r="D460" s="21"/>
      <c r="E460" s="21"/>
      <c r="F460" s="21"/>
      <c r="G460" s="21"/>
      <c r="H460" s="21"/>
      <c r="I460" s="21"/>
      <c r="J460" s="21"/>
      <c r="K460" s="21"/>
      <c r="L460" s="21"/>
      <c r="M460" s="21"/>
      <c r="N460" s="21"/>
      <c r="O460" s="20"/>
    </row>
    <row r="461" spans="1:15" x14ac:dyDescent="0.3">
      <c r="A461" s="18"/>
      <c r="B461" s="21"/>
      <c r="C461" s="21"/>
      <c r="D461" s="21"/>
      <c r="E461" s="21"/>
      <c r="F461" s="21"/>
      <c r="G461" s="21"/>
      <c r="H461" s="21"/>
      <c r="I461" s="21"/>
      <c r="J461" s="21"/>
      <c r="K461" s="21"/>
      <c r="L461" s="21"/>
      <c r="M461" s="21"/>
      <c r="N461" s="21"/>
      <c r="O461" s="20"/>
    </row>
    <row r="462" spans="1:15" x14ac:dyDescent="0.3">
      <c r="A462" s="18"/>
      <c r="B462" s="21"/>
      <c r="C462" s="21"/>
      <c r="D462" s="21"/>
      <c r="E462" s="21"/>
      <c r="F462" s="21"/>
      <c r="G462" s="21"/>
      <c r="H462" s="21"/>
      <c r="I462" s="21"/>
      <c r="J462" s="21"/>
      <c r="K462" s="21"/>
      <c r="L462" s="21"/>
      <c r="M462" s="21"/>
      <c r="N462" s="21"/>
      <c r="O462" s="20"/>
    </row>
    <row r="463" spans="1:15" x14ac:dyDescent="0.3">
      <c r="A463" s="18"/>
      <c r="B463" s="3" t="s">
        <v>1217</v>
      </c>
      <c r="C463" s="3" t="s">
        <v>1218</v>
      </c>
      <c r="D463" s="183" t="s">
        <v>1</v>
      </c>
      <c r="E463" s="262"/>
      <c r="F463" s="262"/>
      <c r="G463" s="262"/>
      <c r="H463" s="262"/>
      <c r="I463" s="262"/>
      <c r="J463" s="262"/>
      <c r="K463" s="262"/>
      <c r="L463" s="262"/>
      <c r="M463" s="262"/>
      <c r="N463" s="263"/>
      <c r="O463" s="20"/>
    </row>
    <row r="464" spans="1:15" x14ac:dyDescent="0.3">
      <c r="A464" s="18"/>
      <c r="B464" s="30" t="s">
        <v>1219</v>
      </c>
      <c r="C464" s="30" t="s">
        <v>1220</v>
      </c>
      <c r="D464" s="250" t="s">
        <v>1225</v>
      </c>
      <c r="E464" s="112"/>
      <c r="F464" s="112"/>
      <c r="G464" s="112"/>
      <c r="H464" s="112"/>
      <c r="I464" s="112"/>
      <c r="J464" s="112"/>
      <c r="K464" s="112"/>
      <c r="L464" s="112"/>
      <c r="M464" s="112"/>
      <c r="N464" s="113"/>
      <c r="O464" s="20"/>
    </row>
    <row r="465" spans="1:15" x14ac:dyDescent="0.3">
      <c r="A465" s="18"/>
      <c r="B465" s="30" t="s">
        <v>1724</v>
      </c>
      <c r="C465" s="30" t="s">
        <v>1221</v>
      </c>
      <c r="D465" s="250" t="s">
        <v>1227</v>
      </c>
      <c r="E465" s="112"/>
      <c r="F465" s="112"/>
      <c r="G465" s="112"/>
      <c r="H465" s="112"/>
      <c r="I465" s="112"/>
      <c r="J465" s="112"/>
      <c r="K465" s="112"/>
      <c r="L465" s="112"/>
      <c r="M465" s="112"/>
      <c r="N465" s="113"/>
      <c r="O465" s="20"/>
    </row>
    <row r="466" spans="1:15" x14ac:dyDescent="0.3">
      <c r="A466" s="18"/>
      <c r="B466" s="30" t="s">
        <v>1219</v>
      </c>
      <c r="C466" s="30" t="s">
        <v>1722</v>
      </c>
      <c r="D466" s="250" t="s">
        <v>1723</v>
      </c>
      <c r="E466" s="112"/>
      <c r="F466" s="112"/>
      <c r="G466" s="112"/>
      <c r="H466" s="112"/>
      <c r="I466" s="112"/>
      <c r="J466" s="112"/>
      <c r="K466" s="112"/>
      <c r="L466" s="112"/>
      <c r="M466" s="112"/>
      <c r="N466" s="113"/>
      <c r="O466" s="20"/>
    </row>
    <row r="467" spans="1:15" x14ac:dyDescent="0.3">
      <c r="A467" s="18"/>
      <c r="B467" s="30" t="s">
        <v>1219</v>
      </c>
      <c r="C467" s="30" t="s">
        <v>3661</v>
      </c>
      <c r="D467" s="250" t="s">
        <v>3662</v>
      </c>
      <c r="E467" s="112"/>
      <c r="F467" s="112"/>
      <c r="G467" s="112"/>
      <c r="H467" s="112"/>
      <c r="I467" s="112"/>
      <c r="J467" s="112"/>
      <c r="K467" s="112"/>
      <c r="L467" s="112"/>
      <c r="M467" s="112"/>
      <c r="N467" s="113"/>
      <c r="O467" s="20"/>
    </row>
    <row r="468" spans="1:15" x14ac:dyDescent="0.3">
      <c r="A468" s="18"/>
      <c r="B468" s="30" t="s">
        <v>1223</v>
      </c>
      <c r="C468" s="30" t="s">
        <v>1224</v>
      </c>
      <c r="D468" s="250" t="s">
        <v>1228</v>
      </c>
      <c r="E468" s="112"/>
      <c r="F468" s="112"/>
      <c r="G468" s="112"/>
      <c r="H468" s="112"/>
      <c r="I468" s="112"/>
      <c r="J468" s="112"/>
      <c r="K468" s="112"/>
      <c r="L468" s="112"/>
      <c r="M468" s="112"/>
      <c r="N468" s="113"/>
      <c r="O468" s="20"/>
    </row>
    <row r="469" spans="1:15" x14ac:dyDescent="0.3">
      <c r="A469" s="18"/>
      <c r="B469" s="30" t="s">
        <v>1229</v>
      </c>
      <c r="C469" s="30" t="s">
        <v>1230</v>
      </c>
      <c r="D469" s="250" t="s">
        <v>1231</v>
      </c>
      <c r="E469" s="112"/>
      <c r="F469" s="112"/>
      <c r="G469" s="112"/>
      <c r="H469" s="112"/>
      <c r="I469" s="112"/>
      <c r="J469" s="112"/>
      <c r="K469" s="112"/>
      <c r="L469" s="112"/>
      <c r="M469" s="112"/>
      <c r="N469" s="113"/>
      <c r="O469" s="20"/>
    </row>
    <row r="470" spans="1:15" x14ac:dyDescent="0.3">
      <c r="A470" s="18"/>
      <c r="B470" s="30" t="s">
        <v>1229</v>
      </c>
      <c r="C470" s="30" t="s">
        <v>1713</v>
      </c>
      <c r="D470" s="254" t="s">
        <v>1715</v>
      </c>
      <c r="E470" s="257"/>
      <c r="F470" s="257"/>
      <c r="G470" s="257"/>
      <c r="H470" s="257"/>
      <c r="I470" s="257"/>
      <c r="J470" s="257"/>
      <c r="K470" s="257"/>
      <c r="L470" s="257"/>
      <c r="M470" s="257"/>
      <c r="N470" s="258"/>
      <c r="O470" s="20"/>
    </row>
    <row r="471" spans="1:15" x14ac:dyDescent="0.3">
      <c r="A471" s="18"/>
      <c r="B471" s="30" t="s">
        <v>1229</v>
      </c>
      <c r="C471" s="30" t="s">
        <v>1714</v>
      </c>
      <c r="D471" s="254" t="s">
        <v>1716</v>
      </c>
      <c r="E471" s="257"/>
      <c r="F471" s="257"/>
      <c r="G471" s="257"/>
      <c r="H471" s="257"/>
      <c r="I471" s="257"/>
      <c r="J471" s="257"/>
      <c r="K471" s="257"/>
      <c r="L471" s="257"/>
      <c r="M471" s="257"/>
      <c r="N471" s="258"/>
      <c r="O471" s="20"/>
    </row>
    <row r="472" spans="1:15" x14ac:dyDescent="0.3">
      <c r="A472" s="18"/>
      <c r="B472" s="30" t="s">
        <v>1229</v>
      </c>
      <c r="C472" s="30" t="s">
        <v>1710</v>
      </c>
      <c r="D472" s="254" t="s">
        <v>1709</v>
      </c>
      <c r="E472" s="257"/>
      <c r="F472" s="257"/>
      <c r="G472" s="257"/>
      <c r="H472" s="257"/>
      <c r="I472" s="257"/>
      <c r="J472" s="257"/>
      <c r="K472" s="257"/>
      <c r="L472" s="257"/>
      <c r="M472" s="257"/>
      <c r="N472" s="258"/>
      <c r="O472" s="20"/>
    </row>
    <row r="473" spans="1:15" x14ac:dyDescent="0.3">
      <c r="A473" s="18"/>
      <c r="B473" s="30" t="s">
        <v>1229</v>
      </c>
      <c r="C473" s="30" t="s">
        <v>1717</v>
      </c>
      <c r="D473" s="254" t="s">
        <v>1718</v>
      </c>
      <c r="E473" s="257"/>
      <c r="F473" s="257"/>
      <c r="G473" s="257"/>
      <c r="H473" s="257"/>
      <c r="I473" s="257"/>
      <c r="J473" s="257"/>
      <c r="K473" s="257"/>
      <c r="L473" s="257"/>
      <c r="M473" s="257"/>
      <c r="N473" s="258"/>
      <c r="O473" s="20"/>
    </row>
    <row r="474" spans="1:15" x14ac:dyDescent="0.3">
      <c r="A474" s="18"/>
      <c r="B474" s="30" t="s">
        <v>1229</v>
      </c>
      <c r="C474" s="30" t="s">
        <v>1232</v>
      </c>
      <c r="D474" s="250" t="s">
        <v>1233</v>
      </c>
      <c r="E474" s="112"/>
      <c r="F474" s="112"/>
      <c r="G474" s="112"/>
      <c r="H474" s="112"/>
      <c r="I474" s="112"/>
      <c r="J474" s="112"/>
      <c r="K474" s="112"/>
      <c r="L474" s="112"/>
      <c r="M474" s="112"/>
      <c r="N474" s="113"/>
      <c r="O474" s="20"/>
    </row>
    <row r="475" spans="1:15" x14ac:dyDescent="0.3">
      <c r="A475" s="18"/>
      <c r="B475" s="30" t="s">
        <v>1229</v>
      </c>
      <c r="C475" s="30" t="s">
        <v>1222</v>
      </c>
      <c r="D475" s="250" t="s">
        <v>1226</v>
      </c>
      <c r="E475" s="112"/>
      <c r="F475" s="112"/>
      <c r="G475" s="112"/>
      <c r="H475" s="112"/>
      <c r="I475" s="112"/>
      <c r="J475" s="112"/>
      <c r="K475" s="112"/>
      <c r="L475" s="112"/>
      <c r="M475" s="112"/>
      <c r="N475" s="113"/>
      <c r="O475" s="20"/>
    </row>
    <row r="476" spans="1:15" x14ac:dyDescent="0.3">
      <c r="A476" s="18"/>
      <c r="B476" s="30" t="s">
        <v>1229</v>
      </c>
      <c r="C476" s="30" t="s">
        <v>1234</v>
      </c>
      <c r="D476" s="254" t="s">
        <v>1235</v>
      </c>
      <c r="E476" s="257"/>
      <c r="F476" s="257"/>
      <c r="G476" s="257"/>
      <c r="H476" s="257"/>
      <c r="I476" s="257"/>
      <c r="J476" s="257"/>
      <c r="K476" s="257"/>
      <c r="L476" s="257"/>
      <c r="M476" s="257"/>
      <c r="N476" s="258"/>
      <c r="O476" s="20"/>
    </row>
    <row r="477" spans="1:15" x14ac:dyDescent="0.3">
      <c r="A477" s="18"/>
      <c r="B477" s="251" t="s">
        <v>1236</v>
      </c>
      <c r="C477" s="254" t="s">
        <v>1237</v>
      </c>
      <c r="D477" s="254" t="s">
        <v>1238</v>
      </c>
      <c r="E477" s="257"/>
      <c r="F477" s="257"/>
      <c r="G477" s="257"/>
      <c r="H477" s="257"/>
      <c r="I477" s="257"/>
      <c r="J477" s="257"/>
      <c r="K477" s="257"/>
      <c r="L477" s="257"/>
      <c r="M477" s="257"/>
      <c r="N477" s="258"/>
      <c r="O477" s="20"/>
    </row>
    <row r="478" spans="1:15" x14ac:dyDescent="0.3">
      <c r="A478" s="18"/>
      <c r="B478" s="252"/>
      <c r="C478" s="255"/>
      <c r="D478" s="255" t="s">
        <v>1239</v>
      </c>
      <c r="E478" s="21"/>
      <c r="F478" s="21"/>
      <c r="G478" s="21"/>
      <c r="H478" s="21"/>
      <c r="I478" s="21"/>
      <c r="J478" s="21"/>
      <c r="K478" s="21"/>
      <c r="L478" s="21"/>
      <c r="M478" s="21"/>
      <c r="N478" s="261"/>
      <c r="O478" s="20"/>
    </row>
    <row r="479" spans="1:15" x14ac:dyDescent="0.3">
      <c r="A479" s="18"/>
      <c r="B479" s="253"/>
      <c r="C479" s="256"/>
      <c r="D479" s="256" t="s">
        <v>1240</v>
      </c>
      <c r="E479" s="259"/>
      <c r="F479" s="259"/>
      <c r="G479" s="259"/>
      <c r="H479" s="259"/>
      <c r="I479" s="259"/>
      <c r="J479" s="259"/>
      <c r="K479" s="259"/>
      <c r="L479" s="259"/>
      <c r="M479" s="259"/>
      <c r="N479" s="260"/>
      <c r="O479" s="20"/>
    </row>
    <row r="480" spans="1:15" x14ac:dyDescent="0.3">
      <c r="A480" s="18"/>
      <c r="B480" s="30" t="s">
        <v>1236</v>
      </c>
      <c r="C480" s="30" t="s">
        <v>1241</v>
      </c>
      <c r="D480" s="256" t="s">
        <v>1242</v>
      </c>
      <c r="E480" s="259"/>
      <c r="F480" s="259"/>
      <c r="G480" s="259"/>
      <c r="H480" s="259"/>
      <c r="I480" s="259"/>
      <c r="J480" s="259"/>
      <c r="K480" s="259"/>
      <c r="L480" s="259"/>
      <c r="M480" s="259"/>
      <c r="N480" s="260"/>
      <c r="O480" s="20"/>
    </row>
    <row r="481" spans="1:15" x14ac:dyDescent="0.3">
      <c r="A481" s="18"/>
      <c r="B481" s="30" t="s">
        <v>1236</v>
      </c>
      <c r="C481" s="30" t="s">
        <v>1243</v>
      </c>
      <c r="D481" s="250" t="s">
        <v>1711</v>
      </c>
      <c r="E481" s="112"/>
      <c r="F481" s="112"/>
      <c r="G481" s="112"/>
      <c r="H481" s="112"/>
      <c r="I481" s="112"/>
      <c r="J481" s="112"/>
      <c r="K481" s="112"/>
      <c r="L481" s="112"/>
      <c r="M481" s="112"/>
      <c r="N481" s="113"/>
      <c r="O481" s="20"/>
    </row>
    <row r="482" spans="1:15" x14ac:dyDescent="0.3">
      <c r="A482" s="18"/>
      <c r="B482" s="30" t="s">
        <v>1236</v>
      </c>
      <c r="C482" s="30" t="s">
        <v>1712</v>
      </c>
      <c r="D482" s="250" t="s">
        <v>1721</v>
      </c>
      <c r="E482" s="112"/>
      <c r="F482" s="112"/>
      <c r="G482" s="112"/>
      <c r="H482" s="112"/>
      <c r="I482" s="112"/>
      <c r="J482" s="112"/>
      <c r="K482" s="112"/>
      <c r="L482" s="112"/>
      <c r="M482" s="112"/>
      <c r="N482" s="113"/>
      <c r="O482" s="20"/>
    </row>
    <row r="483" spans="1:15" x14ac:dyDescent="0.3">
      <c r="A483" s="18"/>
      <c r="B483" s="30" t="s">
        <v>1244</v>
      </c>
      <c r="C483" s="30" t="s">
        <v>1230</v>
      </c>
      <c r="D483" s="250" t="s">
        <v>1245</v>
      </c>
      <c r="E483" s="112"/>
      <c r="F483" s="112"/>
      <c r="G483" s="112"/>
      <c r="H483" s="112"/>
      <c r="I483" s="112"/>
      <c r="J483" s="112"/>
      <c r="K483" s="112"/>
      <c r="L483" s="112"/>
      <c r="M483" s="112"/>
      <c r="N483" s="113"/>
      <c r="O483" s="20"/>
    </row>
    <row r="484" spans="1:15" x14ac:dyDescent="0.3">
      <c r="A484" s="18"/>
      <c r="B484" s="30" t="s">
        <v>1244</v>
      </c>
      <c r="C484" s="30" t="s">
        <v>1719</v>
      </c>
      <c r="D484" s="250" t="s">
        <v>1720</v>
      </c>
      <c r="E484" s="112"/>
      <c r="F484" s="112"/>
      <c r="G484" s="112"/>
      <c r="H484" s="112"/>
      <c r="I484" s="112"/>
      <c r="J484" s="112"/>
      <c r="K484" s="112"/>
      <c r="L484" s="112"/>
      <c r="M484" s="112"/>
      <c r="N484" s="113"/>
      <c r="O484" s="20"/>
    </row>
    <row r="485" spans="1:15" x14ac:dyDescent="0.3">
      <c r="A485" s="18"/>
      <c r="B485" s="30" t="s">
        <v>1246</v>
      </c>
      <c r="C485" s="30" t="s">
        <v>1247</v>
      </c>
      <c r="D485" s="250" t="s">
        <v>1248</v>
      </c>
      <c r="E485" s="112"/>
      <c r="F485" s="112"/>
      <c r="G485" s="112"/>
      <c r="H485" s="112"/>
      <c r="I485" s="112"/>
      <c r="J485" s="112"/>
      <c r="K485" s="112"/>
      <c r="L485" s="112"/>
      <c r="M485" s="112"/>
      <c r="N485" s="113"/>
      <c r="O485" s="20"/>
    </row>
    <row r="486" spans="1:15" x14ac:dyDescent="0.3">
      <c r="A486" s="18"/>
      <c r="B486" s="30" t="s">
        <v>1246</v>
      </c>
      <c r="C486" s="30" t="s">
        <v>1230</v>
      </c>
      <c r="D486" s="250" t="s">
        <v>1249</v>
      </c>
      <c r="E486" s="112"/>
      <c r="F486" s="112"/>
      <c r="G486" s="112"/>
      <c r="H486" s="112"/>
      <c r="I486" s="112"/>
      <c r="J486" s="112"/>
      <c r="K486" s="112"/>
      <c r="L486" s="112"/>
      <c r="M486" s="112"/>
      <c r="N486" s="113"/>
      <c r="O486" s="20"/>
    </row>
    <row r="487" spans="1:15" x14ac:dyDescent="0.3">
      <c r="A487" s="18"/>
      <c r="B487" s="30" t="s">
        <v>3660</v>
      </c>
      <c r="C487" s="30" t="s">
        <v>3658</v>
      </c>
      <c r="D487" s="250" t="s">
        <v>3665</v>
      </c>
      <c r="E487" s="112"/>
      <c r="F487" s="112"/>
      <c r="G487" s="112"/>
      <c r="H487" s="112"/>
      <c r="I487" s="112"/>
      <c r="J487" s="112"/>
      <c r="K487" s="112"/>
      <c r="L487" s="112"/>
      <c r="M487" s="112"/>
      <c r="N487" s="113"/>
      <c r="O487" s="20"/>
    </row>
    <row r="488" spans="1:15" x14ac:dyDescent="0.3">
      <c r="A488" s="18"/>
      <c r="B488" s="30" t="s">
        <v>3660</v>
      </c>
      <c r="C488" s="30" t="s">
        <v>3663</v>
      </c>
      <c r="D488" s="250" t="s">
        <v>3664</v>
      </c>
      <c r="E488" s="112"/>
      <c r="F488" s="112"/>
      <c r="G488" s="112"/>
      <c r="H488" s="112"/>
      <c r="I488" s="112"/>
      <c r="J488" s="112"/>
      <c r="K488" s="112"/>
      <c r="L488" s="112"/>
      <c r="M488" s="112"/>
      <c r="N488" s="113"/>
      <c r="O488" s="20"/>
    </row>
    <row r="489" spans="1:15" x14ac:dyDescent="0.3">
      <c r="A489" s="18"/>
      <c r="B489" s="30" t="s">
        <v>3661</v>
      </c>
      <c r="C489" s="30" t="s">
        <v>1243</v>
      </c>
      <c r="D489" s="250" t="s">
        <v>3666</v>
      </c>
      <c r="E489" s="112"/>
      <c r="F489" s="112"/>
      <c r="G489" s="112"/>
      <c r="H489" s="112"/>
      <c r="I489" s="112"/>
      <c r="J489" s="112"/>
      <c r="K489" s="112"/>
      <c r="L489" s="112"/>
      <c r="M489" s="112"/>
      <c r="N489" s="113"/>
      <c r="O489" s="20"/>
    </row>
    <row r="490" spans="1:15" x14ac:dyDescent="0.3">
      <c r="A490" s="18"/>
      <c r="B490" s="21"/>
      <c r="C490" s="21"/>
      <c r="D490" s="21"/>
      <c r="E490" s="21"/>
      <c r="F490" s="21"/>
      <c r="G490" s="21"/>
      <c r="H490" s="21"/>
      <c r="I490" s="21"/>
      <c r="J490" s="21"/>
      <c r="K490" s="21"/>
      <c r="L490" s="21"/>
      <c r="M490" s="21"/>
      <c r="N490" s="21"/>
      <c r="O490" s="20"/>
    </row>
    <row r="491" spans="1:15" x14ac:dyDescent="0.3">
      <c r="A491" s="18"/>
      <c r="B491" s="21"/>
      <c r="C491" s="21"/>
      <c r="D491" s="21"/>
      <c r="E491" s="21"/>
      <c r="F491" s="21"/>
      <c r="G491" s="21"/>
      <c r="H491" s="21"/>
      <c r="I491" s="21"/>
      <c r="J491" s="21"/>
      <c r="K491" s="21"/>
      <c r="L491" s="21"/>
      <c r="M491" s="21"/>
      <c r="N491" s="21"/>
      <c r="O491" s="20"/>
    </row>
    <row r="492" spans="1:15" x14ac:dyDescent="0.3">
      <c r="A492" s="18"/>
      <c r="B492" s="21"/>
      <c r="C492" s="21"/>
      <c r="D492" s="21"/>
      <c r="E492" s="21"/>
      <c r="F492" s="21"/>
      <c r="G492" s="21"/>
      <c r="H492" s="21"/>
      <c r="I492" s="21"/>
      <c r="J492" s="21"/>
      <c r="K492" s="21"/>
      <c r="L492" s="21"/>
      <c r="M492" s="21"/>
      <c r="N492" s="21"/>
      <c r="O492" s="20"/>
    </row>
    <row r="493" spans="1:15" x14ac:dyDescent="0.3">
      <c r="A493" s="490" t="s">
        <v>3077</v>
      </c>
      <c r="B493" s="491"/>
      <c r="C493" s="491"/>
      <c r="D493" s="491"/>
      <c r="E493" s="491"/>
      <c r="F493" s="491"/>
      <c r="G493" s="491"/>
      <c r="H493" s="491"/>
      <c r="I493" s="491"/>
      <c r="J493" s="491"/>
      <c r="K493" s="491"/>
      <c r="L493" s="491"/>
      <c r="M493" s="491"/>
      <c r="N493" s="21"/>
      <c r="O493" s="20"/>
    </row>
    <row r="494" spans="1:15" x14ac:dyDescent="0.3">
      <c r="A494" s="18"/>
      <c r="B494" s="21"/>
      <c r="C494" s="21"/>
      <c r="D494" s="21"/>
      <c r="E494" s="21"/>
      <c r="F494" s="21"/>
      <c r="G494" s="21"/>
      <c r="H494" s="21"/>
      <c r="I494" s="21"/>
      <c r="J494" s="21"/>
      <c r="K494" s="21"/>
      <c r="L494" s="21"/>
      <c r="M494" s="21"/>
      <c r="N494" s="21"/>
      <c r="O494" s="20"/>
    </row>
    <row r="495" spans="1:15" x14ac:dyDescent="0.3">
      <c r="A495" s="18"/>
      <c r="B495" s="21"/>
      <c r="C495" s="21"/>
      <c r="D495" s="21"/>
      <c r="E495" s="21"/>
      <c r="F495" s="21"/>
      <c r="G495" s="21"/>
      <c r="H495" s="21"/>
      <c r="I495" s="21"/>
      <c r="J495" s="21"/>
      <c r="K495" s="21"/>
      <c r="L495" s="21"/>
      <c r="M495" s="21"/>
      <c r="N495" s="21"/>
      <c r="O495" s="20"/>
    </row>
    <row r="496" spans="1:15" x14ac:dyDescent="0.3">
      <c r="A496" s="18"/>
      <c r="B496" s="190" t="s">
        <v>3358</v>
      </c>
      <c r="C496" s="21"/>
      <c r="D496" s="21"/>
      <c r="E496" s="21"/>
      <c r="F496" s="21"/>
      <c r="G496" s="21"/>
      <c r="H496" s="21"/>
      <c r="I496" s="21"/>
      <c r="J496" s="21"/>
      <c r="K496" s="21"/>
      <c r="L496" s="21"/>
      <c r="M496" s="21"/>
      <c r="N496" s="21"/>
      <c r="O496" s="20"/>
    </row>
    <row r="497" spans="1:15" x14ac:dyDescent="0.3">
      <c r="A497" s="18"/>
      <c r="B497" s="335" t="s">
        <v>3359</v>
      </c>
      <c r="C497" s="21"/>
      <c r="D497" s="21"/>
      <c r="E497" s="21"/>
      <c r="F497" s="21"/>
      <c r="G497" s="21"/>
      <c r="H497" s="21"/>
      <c r="I497" s="21"/>
      <c r="J497" s="21"/>
      <c r="K497" s="21"/>
      <c r="L497" s="21"/>
      <c r="M497" s="21"/>
      <c r="N497" s="21"/>
      <c r="O497" s="20"/>
    </row>
    <row r="498" spans="1:15" x14ac:dyDescent="0.3">
      <c r="A498" s="18"/>
      <c r="B498" s="21"/>
      <c r="C498" s="21"/>
      <c r="D498" s="21"/>
      <c r="E498" s="21"/>
      <c r="F498" s="21"/>
      <c r="G498" s="21"/>
      <c r="H498" s="21"/>
      <c r="I498" s="21"/>
      <c r="J498" s="21"/>
      <c r="K498" s="21"/>
      <c r="L498" s="21"/>
      <c r="M498" s="21"/>
      <c r="N498" s="21"/>
      <c r="O498" s="20"/>
    </row>
    <row r="499" spans="1:15" x14ac:dyDescent="0.3">
      <c r="A499" s="18"/>
      <c r="B499" s="21"/>
      <c r="C499" s="21"/>
      <c r="D499" s="21"/>
      <c r="E499" s="21"/>
      <c r="F499" s="21"/>
      <c r="G499" s="21"/>
      <c r="H499" s="21"/>
      <c r="I499" s="21"/>
      <c r="J499" s="21"/>
      <c r="K499" s="21"/>
      <c r="L499" s="21"/>
      <c r="M499" s="21"/>
      <c r="N499" s="21"/>
      <c r="O499" s="20"/>
    </row>
    <row r="500" spans="1:15" x14ac:dyDescent="0.3">
      <c r="A500" s="18"/>
      <c r="B500" s="21"/>
      <c r="C500" s="21"/>
      <c r="D500" s="21"/>
      <c r="E500" s="21"/>
      <c r="F500" s="21"/>
      <c r="G500" s="21"/>
      <c r="H500" s="21"/>
      <c r="I500" s="21"/>
      <c r="J500" s="21"/>
      <c r="K500" s="21"/>
      <c r="L500" s="21"/>
      <c r="M500" s="21"/>
      <c r="N500" s="21"/>
      <c r="O500" s="20"/>
    </row>
    <row r="501" spans="1:15" x14ac:dyDescent="0.3">
      <c r="A501" s="18"/>
      <c r="B501" s="21"/>
      <c r="C501" s="21"/>
      <c r="D501" s="21"/>
      <c r="E501" s="21"/>
      <c r="F501" s="21"/>
      <c r="G501" s="21"/>
      <c r="H501" s="21"/>
      <c r="I501" s="21"/>
      <c r="J501" s="21"/>
      <c r="K501" s="21"/>
      <c r="L501" s="21"/>
      <c r="M501" s="21"/>
      <c r="N501" s="21"/>
      <c r="O501" s="20"/>
    </row>
    <row r="502" spans="1:15" x14ac:dyDescent="0.3">
      <c r="A502" s="18"/>
      <c r="B502" s="21"/>
      <c r="C502" s="21"/>
      <c r="D502" s="21"/>
      <c r="E502" s="21"/>
      <c r="F502" s="21"/>
      <c r="G502" s="21"/>
      <c r="H502" s="21"/>
      <c r="I502" s="21"/>
      <c r="J502" s="21"/>
      <c r="K502" s="21"/>
      <c r="L502" s="21"/>
      <c r="M502" s="21"/>
      <c r="N502" s="21"/>
      <c r="O502" s="20"/>
    </row>
    <row r="503" spans="1:15" x14ac:dyDescent="0.3">
      <c r="A503" s="490" t="s">
        <v>2059</v>
      </c>
      <c r="B503" s="491"/>
      <c r="C503" s="491"/>
      <c r="D503" s="491"/>
      <c r="E503" s="491"/>
      <c r="F503" s="491"/>
      <c r="G503" s="491"/>
      <c r="H503" s="491"/>
      <c r="I503" s="491"/>
      <c r="J503" s="491"/>
      <c r="K503" s="491"/>
      <c r="L503" s="491"/>
      <c r="M503" s="491"/>
      <c r="N503" s="21"/>
      <c r="O503" s="20"/>
    </row>
    <row r="504" spans="1:15" x14ac:dyDescent="0.3">
      <c r="A504" s="18"/>
      <c r="B504" s="21"/>
      <c r="C504" s="21"/>
      <c r="D504" s="21"/>
      <c r="E504" s="21"/>
      <c r="F504" s="21"/>
      <c r="G504" s="21"/>
      <c r="H504" s="21"/>
      <c r="I504" s="21"/>
      <c r="J504" s="21"/>
      <c r="K504" s="21"/>
      <c r="L504" s="21"/>
      <c r="M504" s="21"/>
      <c r="N504" s="21"/>
      <c r="O504" s="20"/>
    </row>
    <row r="505" spans="1:15" x14ac:dyDescent="0.3">
      <c r="A505" s="18"/>
      <c r="B505" s="21"/>
      <c r="C505" s="21"/>
      <c r="D505" s="21"/>
      <c r="E505" s="21"/>
      <c r="F505" s="21"/>
      <c r="G505" s="21"/>
      <c r="H505" s="21"/>
      <c r="I505" s="21"/>
      <c r="J505" s="21"/>
      <c r="K505" s="21"/>
      <c r="L505" s="21"/>
      <c r="M505" s="21"/>
      <c r="N505" s="21"/>
      <c r="O505" s="20"/>
    </row>
    <row r="506" spans="1:15" x14ac:dyDescent="0.3">
      <c r="A506" s="18"/>
      <c r="B506" s="190" t="s">
        <v>3357</v>
      </c>
      <c r="C506" s="21"/>
      <c r="D506" s="21"/>
      <c r="E506" s="21"/>
      <c r="F506" s="21"/>
      <c r="G506" s="21"/>
      <c r="H506" s="21"/>
      <c r="I506" s="21"/>
      <c r="J506" s="21"/>
      <c r="K506" s="21"/>
      <c r="L506" s="21"/>
      <c r="M506" s="21"/>
      <c r="N506" s="21"/>
      <c r="O506" s="20"/>
    </row>
    <row r="507" spans="1:15" x14ac:dyDescent="0.3">
      <c r="A507" s="18"/>
      <c r="B507" s="335" t="s">
        <v>3360</v>
      </c>
      <c r="C507" s="21"/>
      <c r="D507" s="21"/>
      <c r="E507" s="21"/>
      <c r="F507" s="21"/>
      <c r="G507" s="21"/>
      <c r="H507" s="21"/>
      <c r="I507" s="21"/>
      <c r="J507" s="21"/>
      <c r="K507" s="21"/>
      <c r="L507" s="21"/>
      <c r="M507" s="21"/>
      <c r="N507" s="21"/>
      <c r="O507" s="20"/>
    </row>
    <row r="508" spans="1:15" x14ac:dyDescent="0.3">
      <c r="A508" s="18"/>
      <c r="B508" s="21"/>
      <c r="C508" s="21"/>
      <c r="D508" s="21"/>
      <c r="E508" s="21"/>
      <c r="F508" s="21"/>
      <c r="G508" s="21"/>
      <c r="H508" s="21"/>
      <c r="I508" s="21"/>
      <c r="J508" s="21"/>
      <c r="K508" s="21"/>
      <c r="L508" s="21"/>
      <c r="M508" s="21"/>
      <c r="N508" s="21"/>
      <c r="O508" s="20"/>
    </row>
    <row r="509" spans="1:15" x14ac:dyDescent="0.3">
      <c r="A509" s="18"/>
      <c r="B509" s="21"/>
      <c r="C509" s="21"/>
      <c r="D509" s="21"/>
      <c r="E509" s="21"/>
      <c r="F509" s="21"/>
      <c r="G509" s="21"/>
      <c r="H509" s="21"/>
      <c r="I509" s="21"/>
      <c r="J509" s="21"/>
      <c r="K509" s="21"/>
      <c r="L509" s="21"/>
      <c r="M509" s="21"/>
      <c r="N509" s="21"/>
      <c r="O509" s="20"/>
    </row>
    <row r="510" spans="1:15" x14ac:dyDescent="0.3">
      <c r="A510" s="18"/>
      <c r="B510" s="21"/>
      <c r="C510" s="21"/>
      <c r="D510" s="21"/>
      <c r="E510" s="21"/>
      <c r="F510" s="21"/>
      <c r="G510" s="21"/>
      <c r="H510" s="21"/>
      <c r="I510" s="21"/>
      <c r="J510" s="21"/>
      <c r="K510" s="21"/>
      <c r="L510" s="21"/>
      <c r="M510" s="21"/>
      <c r="N510" s="21"/>
      <c r="O510" s="20"/>
    </row>
    <row r="511" spans="1:15" x14ac:dyDescent="0.3">
      <c r="A511" s="18"/>
      <c r="B511" s="21"/>
      <c r="C511" s="21"/>
      <c r="D511" s="21"/>
      <c r="E511" s="21"/>
      <c r="F511" s="21"/>
      <c r="G511" s="21"/>
      <c r="H511" s="21"/>
      <c r="I511" s="21"/>
      <c r="J511" s="21"/>
      <c r="K511" s="21"/>
      <c r="L511" s="21"/>
      <c r="M511" s="21"/>
      <c r="N511" s="21"/>
      <c r="O511" s="20"/>
    </row>
    <row r="512" spans="1:15" x14ac:dyDescent="0.3">
      <c r="A512" s="18"/>
      <c r="B512" s="21"/>
      <c r="C512" s="21"/>
      <c r="D512" s="21"/>
      <c r="E512" s="21"/>
      <c r="F512" s="21"/>
      <c r="G512" s="21"/>
      <c r="H512" s="21"/>
      <c r="I512" s="21"/>
      <c r="J512" s="21"/>
      <c r="K512" s="21"/>
      <c r="L512" s="21"/>
      <c r="M512" s="21"/>
      <c r="N512" s="21"/>
      <c r="O512" s="20"/>
    </row>
    <row r="513" spans="1:15" x14ac:dyDescent="0.3">
      <c r="A513" s="18"/>
      <c r="B513" s="21"/>
      <c r="C513" s="21"/>
      <c r="D513" s="21"/>
      <c r="E513" s="21"/>
      <c r="F513" s="21"/>
      <c r="G513" s="21"/>
      <c r="H513" s="21"/>
      <c r="I513" s="21"/>
      <c r="J513" s="21"/>
      <c r="K513" s="21"/>
      <c r="L513" s="21"/>
      <c r="M513" s="21"/>
      <c r="N513" s="21"/>
      <c r="O513" s="20"/>
    </row>
    <row r="514" spans="1:15" x14ac:dyDescent="0.3">
      <c r="A514" s="18"/>
      <c r="B514" s="21"/>
      <c r="C514" s="21"/>
      <c r="D514" s="21"/>
      <c r="E514" s="21"/>
      <c r="F514" s="21"/>
      <c r="G514" s="21"/>
      <c r="H514" s="21"/>
      <c r="I514" s="21"/>
      <c r="J514" s="21"/>
      <c r="K514" s="21"/>
      <c r="L514" s="21"/>
      <c r="M514" s="21"/>
      <c r="N514" s="21"/>
      <c r="O514" s="20"/>
    </row>
    <row r="515" spans="1:15" x14ac:dyDescent="0.3">
      <c r="A515" s="18"/>
      <c r="B515" s="21"/>
      <c r="C515" s="21"/>
      <c r="D515" s="21"/>
      <c r="E515" s="21"/>
      <c r="F515" s="21"/>
      <c r="G515" s="21"/>
      <c r="H515" s="21"/>
      <c r="I515" s="21"/>
      <c r="J515" s="21"/>
      <c r="K515" s="21"/>
      <c r="L515" s="21"/>
      <c r="M515" s="21"/>
      <c r="N515" s="21"/>
      <c r="O515" s="20"/>
    </row>
    <row r="516" spans="1:15" x14ac:dyDescent="0.3">
      <c r="A516" s="18"/>
      <c r="B516" s="21"/>
      <c r="C516" s="21"/>
      <c r="D516" s="21"/>
      <c r="E516" s="21"/>
      <c r="F516" s="21"/>
      <c r="G516" s="21"/>
      <c r="H516" s="21"/>
      <c r="I516" s="21"/>
      <c r="J516" s="21"/>
      <c r="K516" s="21"/>
      <c r="L516" s="21"/>
      <c r="M516" s="21"/>
      <c r="N516" s="21"/>
      <c r="O516" s="20"/>
    </row>
    <row r="517" spans="1:15" x14ac:dyDescent="0.3">
      <c r="A517" s="18"/>
      <c r="B517" s="21"/>
      <c r="C517" s="21"/>
      <c r="D517" s="21"/>
      <c r="E517" s="21"/>
      <c r="F517" s="21"/>
      <c r="G517" s="21"/>
      <c r="H517" s="21"/>
      <c r="I517" s="21"/>
      <c r="J517" s="21"/>
      <c r="K517" s="21"/>
      <c r="L517" s="21"/>
      <c r="M517" s="21"/>
      <c r="N517" s="21"/>
      <c r="O517" s="20"/>
    </row>
    <row r="518" spans="1:15" x14ac:dyDescent="0.3">
      <c r="A518" s="18"/>
      <c r="B518" s="21"/>
      <c r="C518" s="21"/>
      <c r="D518" s="21"/>
      <c r="E518" s="21"/>
      <c r="F518" s="21"/>
      <c r="G518" s="21"/>
      <c r="H518" s="21"/>
      <c r="I518" s="21"/>
      <c r="J518" s="21"/>
      <c r="K518" s="21"/>
      <c r="L518" s="21"/>
      <c r="M518" s="21"/>
      <c r="N518" s="21"/>
      <c r="O518" s="20"/>
    </row>
    <row r="519" spans="1:15" x14ac:dyDescent="0.3">
      <c r="A519" s="18"/>
      <c r="B519" s="21"/>
      <c r="C519" s="21"/>
      <c r="D519" s="21"/>
      <c r="E519" s="21"/>
      <c r="F519" s="21"/>
      <c r="G519" s="21"/>
      <c r="H519" s="21"/>
      <c r="I519" s="21"/>
      <c r="J519" s="21"/>
      <c r="K519" s="21"/>
      <c r="L519" s="21"/>
      <c r="M519" s="21"/>
      <c r="N519" s="21"/>
      <c r="O519" s="20"/>
    </row>
    <row r="520" spans="1:15" x14ac:dyDescent="0.3">
      <c r="A520" s="18"/>
      <c r="B520" s="21"/>
      <c r="C520" s="21"/>
      <c r="D520" s="21"/>
      <c r="E520" s="21"/>
      <c r="F520" s="21"/>
      <c r="G520" s="21"/>
      <c r="H520" s="21"/>
      <c r="I520" s="21"/>
      <c r="J520" s="21"/>
      <c r="K520" s="21"/>
      <c r="L520" s="21"/>
      <c r="M520" s="21"/>
      <c r="N520" s="21"/>
      <c r="O520" s="20"/>
    </row>
    <row r="521" spans="1:15" x14ac:dyDescent="0.3">
      <c r="A521" s="18"/>
      <c r="B521" s="21"/>
      <c r="C521" s="21"/>
      <c r="D521" s="21"/>
      <c r="E521" s="21"/>
      <c r="F521" s="21"/>
      <c r="G521" s="21"/>
      <c r="H521" s="21"/>
      <c r="I521" s="21"/>
      <c r="J521" s="21"/>
      <c r="K521" s="21"/>
      <c r="L521" s="21"/>
      <c r="M521" s="21"/>
      <c r="N521" s="21"/>
      <c r="O521" s="20"/>
    </row>
    <row r="522" spans="1:15" x14ac:dyDescent="0.3">
      <c r="A522" s="18"/>
      <c r="B522" s="21"/>
      <c r="C522" s="21"/>
      <c r="D522" s="21"/>
      <c r="E522" s="21"/>
      <c r="F522" s="21"/>
      <c r="G522" s="21"/>
      <c r="H522" s="21"/>
      <c r="I522" s="21"/>
      <c r="J522" s="21"/>
      <c r="K522" s="21"/>
      <c r="L522" s="21"/>
      <c r="M522" s="21"/>
      <c r="N522" s="21"/>
      <c r="O522" s="20"/>
    </row>
    <row r="523" spans="1:15" x14ac:dyDescent="0.3">
      <c r="A523" s="18"/>
      <c r="B523" s="21"/>
      <c r="C523" s="21"/>
      <c r="D523" s="21"/>
      <c r="E523" s="21"/>
      <c r="F523" s="21"/>
      <c r="G523" s="21"/>
      <c r="H523" s="21"/>
      <c r="I523" s="21"/>
      <c r="J523" s="21"/>
      <c r="K523" s="21"/>
      <c r="L523" s="21"/>
      <c r="M523" s="21"/>
      <c r="N523" s="21"/>
      <c r="O523" s="20"/>
    </row>
    <row r="524" spans="1:15" x14ac:dyDescent="0.3">
      <c r="A524" s="18"/>
      <c r="B524" s="21"/>
      <c r="C524" s="21"/>
      <c r="D524" s="21"/>
      <c r="E524" s="21"/>
      <c r="F524" s="21"/>
      <c r="G524" s="21"/>
      <c r="H524" s="21"/>
      <c r="I524" s="21"/>
      <c r="J524" s="21"/>
      <c r="K524" s="21"/>
      <c r="L524" s="21"/>
      <c r="M524" s="21"/>
      <c r="N524" s="21"/>
      <c r="O524" s="20"/>
    </row>
    <row r="525" spans="1:15" ht="15" thickBot="1" x14ac:dyDescent="0.35">
      <c r="A525" s="22"/>
      <c r="B525" s="23"/>
      <c r="C525" s="23"/>
      <c r="D525" s="23"/>
      <c r="E525" s="23"/>
      <c r="F525" s="23"/>
      <c r="G525" s="23"/>
      <c r="H525" s="23"/>
      <c r="I525" s="23"/>
      <c r="J525" s="23"/>
      <c r="K525" s="23"/>
      <c r="L525" s="23"/>
      <c r="M525" s="23"/>
      <c r="N525" s="23"/>
      <c r="O525" s="24"/>
    </row>
  </sheetData>
  <mergeCells count="338">
    <mergeCell ref="E211:F211"/>
    <mergeCell ref="Q183:R185"/>
    <mergeCell ref="C331:D331"/>
    <mergeCell ref="B330:D330"/>
    <mergeCell ref="B350:C350"/>
    <mergeCell ref="B255:C255"/>
    <mergeCell ref="B260:M260"/>
    <mergeCell ref="S182:Y182"/>
    <mergeCell ref="A243:M243"/>
    <mergeCell ref="Q220:R222"/>
    <mergeCell ref="S220:Y222"/>
    <mergeCell ref="Q227:R229"/>
    <mergeCell ref="S227:Z229"/>
    <mergeCell ref="Q230:R230"/>
    <mergeCell ref="S230:Y230"/>
    <mergeCell ref="Q231:R233"/>
    <mergeCell ref="S231:Y233"/>
    <mergeCell ref="Z231:Z233"/>
    <mergeCell ref="Q328:Z328"/>
    <mergeCell ref="Q329:R331"/>
    <mergeCell ref="Q319:R321"/>
    <mergeCell ref="S319:Y321"/>
    <mergeCell ref="Z319:Z321"/>
    <mergeCell ref="B192:C192"/>
    <mergeCell ref="Q164:Z164"/>
    <mergeCell ref="Q165:R167"/>
    <mergeCell ref="S165:Z167"/>
    <mergeCell ref="Q168:R168"/>
    <mergeCell ref="S172:Y174"/>
    <mergeCell ref="Z172:Z174"/>
    <mergeCell ref="S169:Y171"/>
    <mergeCell ref="Z169:Z171"/>
    <mergeCell ref="Q172:R174"/>
    <mergeCell ref="E192:F192"/>
    <mergeCell ref="A183:M183"/>
    <mergeCell ref="B187:C187"/>
    <mergeCell ref="E187:F187"/>
    <mergeCell ref="A503:M503"/>
    <mergeCell ref="Q339:Z339"/>
    <mergeCell ref="Q340:R342"/>
    <mergeCell ref="S340:Z342"/>
    <mergeCell ref="Q343:R343"/>
    <mergeCell ref="S343:Y343"/>
    <mergeCell ref="Q344:R346"/>
    <mergeCell ref="S344:Y346"/>
    <mergeCell ref="Z344:Z346"/>
    <mergeCell ref="A493:M493"/>
    <mergeCell ref="Q350:Z350"/>
    <mergeCell ref="Q351:R353"/>
    <mergeCell ref="S351:Z353"/>
    <mergeCell ref="Q354:R354"/>
    <mergeCell ref="S354:Y354"/>
    <mergeCell ref="Q355:R357"/>
    <mergeCell ref="S355:Y357"/>
    <mergeCell ref="Z355:Z357"/>
    <mergeCell ref="A209:M209"/>
    <mergeCell ref="S333:Y335"/>
    <mergeCell ref="Z333:Z335"/>
    <mergeCell ref="S254:Y256"/>
    <mergeCell ref="Z254:Z256"/>
    <mergeCell ref="S257:Y259"/>
    <mergeCell ref="Z257:Z259"/>
    <mergeCell ref="S217:Y219"/>
    <mergeCell ref="Z217:Z219"/>
    <mergeCell ref="Q226:Z226"/>
    <mergeCell ref="Z220:Z222"/>
    <mergeCell ref="S264:Z266"/>
    <mergeCell ref="Q267:R267"/>
    <mergeCell ref="S267:Y267"/>
    <mergeCell ref="Q268:R270"/>
    <mergeCell ref="S268:Y270"/>
    <mergeCell ref="Z268:Z270"/>
    <mergeCell ref="Q322:R324"/>
    <mergeCell ref="S322:Y324"/>
    <mergeCell ref="Z322:Z324"/>
    <mergeCell ref="Q271:R273"/>
    <mergeCell ref="S271:Y273"/>
    <mergeCell ref="Z271:Z273"/>
    <mergeCell ref="Q274:R276"/>
    <mergeCell ref="S274:Y276"/>
    <mergeCell ref="Z274:Z276"/>
    <mergeCell ref="Q97:R99"/>
    <mergeCell ref="S97:Y99"/>
    <mergeCell ref="Z97:Z99"/>
    <mergeCell ref="Q131:R133"/>
    <mergeCell ref="S131:Y133"/>
    <mergeCell ref="Z131:Z133"/>
    <mergeCell ref="Q141:R141"/>
    <mergeCell ref="S141:Y141"/>
    <mergeCell ref="Q142:R144"/>
    <mergeCell ref="Q138:R140"/>
    <mergeCell ref="S138:Z140"/>
    <mergeCell ref="Q125:R127"/>
    <mergeCell ref="Q88:R90"/>
    <mergeCell ref="S88:Y90"/>
    <mergeCell ref="Z88:Z90"/>
    <mergeCell ref="Q91:R93"/>
    <mergeCell ref="S91:Y93"/>
    <mergeCell ref="Z91:Z93"/>
    <mergeCell ref="Q94:R96"/>
    <mergeCell ref="S94:Y96"/>
    <mergeCell ref="Z94:Z96"/>
    <mergeCell ref="Q14:R16"/>
    <mergeCell ref="S14:Y16"/>
    <mergeCell ref="S17:Y19"/>
    <mergeCell ref="Q23:R25"/>
    <mergeCell ref="Z17:Z19"/>
    <mergeCell ref="Z23:Z25"/>
    <mergeCell ref="Q314:Z314"/>
    <mergeCell ref="Q315:R317"/>
    <mergeCell ref="S315:Z317"/>
    <mergeCell ref="S142:Y144"/>
    <mergeCell ref="Z142:Z144"/>
    <mergeCell ref="S125:Y127"/>
    <mergeCell ref="Z125:Z127"/>
    <mergeCell ref="Q120:Z120"/>
    <mergeCell ref="Q121:R123"/>
    <mergeCell ref="S121:Z123"/>
    <mergeCell ref="Q124:R124"/>
    <mergeCell ref="S124:Y124"/>
    <mergeCell ref="Q111:R113"/>
    <mergeCell ref="S111:Y113"/>
    <mergeCell ref="Z111:Z113"/>
    <mergeCell ref="Q114:R116"/>
    <mergeCell ref="S114:Y116"/>
    <mergeCell ref="Z114:Z116"/>
    <mergeCell ref="Q3:Z3"/>
    <mergeCell ref="Q4:R6"/>
    <mergeCell ref="Q8:R10"/>
    <mergeCell ref="S8:Y10"/>
    <mergeCell ref="Q11:R13"/>
    <mergeCell ref="S11:Y13"/>
    <mergeCell ref="Q7:R7"/>
    <mergeCell ref="S7:Y7"/>
    <mergeCell ref="S4:Z6"/>
    <mergeCell ref="Z8:Z10"/>
    <mergeCell ref="Z11:Z13"/>
    <mergeCell ref="S34:Y36"/>
    <mergeCell ref="Z34:Z36"/>
    <mergeCell ref="A94:M94"/>
    <mergeCell ref="Q37:R39"/>
    <mergeCell ref="S37:Y39"/>
    <mergeCell ref="Q57:Z57"/>
    <mergeCell ref="Q107:R107"/>
    <mergeCell ref="S107:Y107"/>
    <mergeCell ref="Q108:R110"/>
    <mergeCell ref="S108:Y110"/>
    <mergeCell ref="Z108:Z110"/>
    <mergeCell ref="Q103:Z103"/>
    <mergeCell ref="Q104:R106"/>
    <mergeCell ref="S104:Z106"/>
    <mergeCell ref="Q61:R61"/>
    <mergeCell ref="S61:Y61"/>
    <mergeCell ref="Q62:R64"/>
    <mergeCell ref="S62:Y64"/>
    <mergeCell ref="Z62:Z64"/>
    <mergeCell ref="Q71:Z71"/>
    <mergeCell ref="Z37:Z39"/>
    <mergeCell ref="S48:Y50"/>
    <mergeCell ref="Z48:Z50"/>
    <mergeCell ref="Z51:Z53"/>
    <mergeCell ref="C1:D1"/>
    <mergeCell ref="E51:F51"/>
    <mergeCell ref="B51:C51"/>
    <mergeCell ref="E6:F6"/>
    <mergeCell ref="B6:C6"/>
    <mergeCell ref="B17:C17"/>
    <mergeCell ref="B22:C22"/>
    <mergeCell ref="E17:F17"/>
    <mergeCell ref="A13:M13"/>
    <mergeCell ref="A3:M3"/>
    <mergeCell ref="A48:M48"/>
    <mergeCell ref="E32:F32"/>
    <mergeCell ref="Q58:R60"/>
    <mergeCell ref="S58:Z60"/>
    <mergeCell ref="B56:C56"/>
    <mergeCell ref="Q48:R50"/>
    <mergeCell ref="Q137:Z137"/>
    <mergeCell ref="Z14:Z16"/>
    <mergeCell ref="Q17:R19"/>
    <mergeCell ref="Q20:R22"/>
    <mergeCell ref="S20:Y22"/>
    <mergeCell ref="Z20:Z22"/>
    <mergeCell ref="Q43:Z43"/>
    <mergeCell ref="Q44:R46"/>
    <mergeCell ref="S44:Z46"/>
    <mergeCell ref="Q47:R47"/>
    <mergeCell ref="S47:Y47"/>
    <mergeCell ref="Q51:R53"/>
    <mergeCell ref="S51:Y53"/>
    <mergeCell ref="S23:Y25"/>
    <mergeCell ref="Q29:Z29"/>
    <mergeCell ref="Q30:R32"/>
    <mergeCell ref="S30:Z32"/>
    <mergeCell ref="Q33:R33"/>
    <mergeCell ref="S33:Y33"/>
    <mergeCell ref="Q34:R36"/>
    <mergeCell ref="A62:M62"/>
    <mergeCell ref="E65:F65"/>
    <mergeCell ref="S75:Y75"/>
    <mergeCell ref="Q76:R78"/>
    <mergeCell ref="S76:Y78"/>
    <mergeCell ref="Z76:Z78"/>
    <mergeCell ref="Q79:R81"/>
    <mergeCell ref="S79:Y81"/>
    <mergeCell ref="Z79:Z81"/>
    <mergeCell ref="Q82:R84"/>
    <mergeCell ref="S82:Y84"/>
    <mergeCell ref="Z82:Z84"/>
    <mergeCell ref="Q85:R87"/>
    <mergeCell ref="S85:Y87"/>
    <mergeCell ref="Z85:Z87"/>
    <mergeCell ref="Q75:R75"/>
    <mergeCell ref="Q65:R67"/>
    <mergeCell ref="S65:Y67"/>
    <mergeCell ref="Z65:Z67"/>
    <mergeCell ref="Q72:R74"/>
    <mergeCell ref="S72:Z74"/>
    <mergeCell ref="B290:C290"/>
    <mergeCell ref="B368:C368"/>
    <mergeCell ref="B358:C358"/>
    <mergeCell ref="B294:C294"/>
    <mergeCell ref="A288:M288"/>
    <mergeCell ref="B310:C310"/>
    <mergeCell ref="C322:E322"/>
    <mergeCell ref="B341:C341"/>
    <mergeCell ref="S329:Z331"/>
    <mergeCell ref="Q332:R332"/>
    <mergeCell ref="S332:Y332"/>
    <mergeCell ref="Q333:R335"/>
    <mergeCell ref="Q318:R318"/>
    <mergeCell ref="S318:Y318"/>
    <mergeCell ref="Z302:Z304"/>
    <mergeCell ref="Q305:R307"/>
    <mergeCell ref="S305:Y307"/>
    <mergeCell ref="Z305:Z307"/>
    <mergeCell ref="Q308:R310"/>
    <mergeCell ref="S308:Y310"/>
    <mergeCell ref="Z308:Z310"/>
    <mergeCell ref="Q358:R360"/>
    <mergeCell ref="S358:Y360"/>
    <mergeCell ref="Z358:Z360"/>
    <mergeCell ref="Q186:R188"/>
    <mergeCell ref="S186:Y188"/>
    <mergeCell ref="Z186:Z188"/>
    <mergeCell ref="Q200:R202"/>
    <mergeCell ref="S200:Y202"/>
    <mergeCell ref="Z200:Z202"/>
    <mergeCell ref="Q254:R256"/>
    <mergeCell ref="Q257:R259"/>
    <mergeCell ref="Q263:Z263"/>
    <mergeCell ref="Q234:R236"/>
    <mergeCell ref="S234:Y236"/>
    <mergeCell ref="Z234:Z236"/>
    <mergeCell ref="Q237:R239"/>
    <mergeCell ref="S237:Y239"/>
    <mergeCell ref="Z237:Z239"/>
    <mergeCell ref="Q243:Z243"/>
    <mergeCell ref="Q244:R246"/>
    <mergeCell ref="S244:Z246"/>
    <mergeCell ref="Q247:R247"/>
    <mergeCell ref="S247:Y247"/>
    <mergeCell ref="Q251:R253"/>
    <mergeCell ref="S251:Y253"/>
    <mergeCell ref="Z251:Z253"/>
    <mergeCell ref="Q248:R250"/>
    <mergeCell ref="Q178:Z178"/>
    <mergeCell ref="Q179:R181"/>
    <mergeCell ref="S179:Z181"/>
    <mergeCell ref="Q182:R182"/>
    <mergeCell ref="Z214:Z216"/>
    <mergeCell ref="Q217:R219"/>
    <mergeCell ref="Q128:R130"/>
    <mergeCell ref="S128:Y130"/>
    <mergeCell ref="Z128:Z130"/>
    <mergeCell ref="Q209:Z209"/>
    <mergeCell ref="Q210:R212"/>
    <mergeCell ref="S210:Z212"/>
    <mergeCell ref="Q213:R213"/>
    <mergeCell ref="S213:Y213"/>
    <mergeCell ref="Q192:Z192"/>
    <mergeCell ref="Q193:R195"/>
    <mergeCell ref="S193:Z195"/>
    <mergeCell ref="Q196:R196"/>
    <mergeCell ref="S196:Y196"/>
    <mergeCell ref="Q197:R199"/>
    <mergeCell ref="S197:Y199"/>
    <mergeCell ref="Z197:Z199"/>
    <mergeCell ref="S183:Y185"/>
    <mergeCell ref="Z183:Z185"/>
    <mergeCell ref="A223:M223"/>
    <mergeCell ref="E225:F225"/>
    <mergeCell ref="B230:C230"/>
    <mergeCell ref="Q148:Z148"/>
    <mergeCell ref="Q149:R151"/>
    <mergeCell ref="S149:Z151"/>
    <mergeCell ref="Q152:R152"/>
    <mergeCell ref="S152:Y152"/>
    <mergeCell ref="Q153:R155"/>
    <mergeCell ref="S153:Y155"/>
    <mergeCell ref="Z153:Z155"/>
    <mergeCell ref="Q156:R158"/>
    <mergeCell ref="S156:Y158"/>
    <mergeCell ref="Z156:Z158"/>
    <mergeCell ref="Q159:R161"/>
    <mergeCell ref="S159:Y161"/>
    <mergeCell ref="Z159:Z161"/>
    <mergeCell ref="Q214:R216"/>
    <mergeCell ref="S214:Y216"/>
    <mergeCell ref="S168:Y168"/>
    <mergeCell ref="Q169:R171"/>
    <mergeCell ref="Q203:R205"/>
    <mergeCell ref="S203:Y205"/>
    <mergeCell ref="Z203:Z205"/>
    <mergeCell ref="S248:Y250"/>
    <mergeCell ref="Z248:Z250"/>
    <mergeCell ref="Q264:R266"/>
    <mergeCell ref="Q280:Z280"/>
    <mergeCell ref="Q281:R283"/>
    <mergeCell ref="S281:Z283"/>
    <mergeCell ref="Q284:R284"/>
    <mergeCell ref="S284:Y284"/>
    <mergeCell ref="Q285:R287"/>
    <mergeCell ref="S285:Y287"/>
    <mergeCell ref="Z285:Z287"/>
    <mergeCell ref="Q301:R301"/>
    <mergeCell ref="S301:Y301"/>
    <mergeCell ref="Q302:R304"/>
    <mergeCell ref="S302:Y304"/>
    <mergeCell ref="Q288:R290"/>
    <mergeCell ref="S288:Y290"/>
    <mergeCell ref="Z288:Z290"/>
    <mergeCell ref="Q291:R293"/>
    <mergeCell ref="S291:Y293"/>
    <mergeCell ref="Z291:Z293"/>
    <mergeCell ref="Q297:Z297"/>
    <mergeCell ref="Q298:R300"/>
    <mergeCell ref="S298:Z300"/>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V53"/>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4.77734375" customWidth="1"/>
    <col min="3" max="3" width="17.77734375" customWidth="1"/>
    <col min="4" max="4" width="32" bestFit="1" customWidth="1"/>
    <col min="5" max="6" width="10" customWidth="1"/>
    <col min="15" max="21" width="12" customWidth="1"/>
  </cols>
  <sheetData>
    <row r="1" spans="1:22" ht="34.5" customHeight="1" thickBot="1" x14ac:dyDescent="0.35">
      <c r="A1" s="292" t="s">
        <v>1580</v>
      </c>
      <c r="B1" s="473" t="e" vm="1">
        <v>#VALUE!</v>
      </c>
      <c r="C1" s="8" t="s">
        <v>1086</v>
      </c>
      <c r="D1" s="27"/>
      <c r="E1" s="16"/>
      <c r="F1" s="16"/>
      <c r="G1" s="16"/>
      <c r="H1" s="16"/>
      <c r="I1" s="16"/>
      <c r="J1" s="16"/>
      <c r="K1" s="19"/>
    </row>
    <row r="2" spans="1:22" ht="15" customHeight="1" x14ac:dyDescent="0.3">
      <c r="A2" s="18"/>
      <c r="B2" s="25"/>
      <c r="C2" s="25"/>
      <c r="D2" s="21"/>
      <c r="E2" s="21"/>
      <c r="F2" s="21"/>
      <c r="G2" s="21"/>
      <c r="H2" s="21"/>
      <c r="I2" s="21"/>
      <c r="J2" s="21"/>
      <c r="K2" s="20"/>
    </row>
    <row r="3" spans="1:22" x14ac:dyDescent="0.3">
      <c r="A3" s="18"/>
      <c r="B3" s="21"/>
      <c r="C3" s="21"/>
      <c r="D3" s="21"/>
      <c r="E3" s="21"/>
      <c r="F3" s="21"/>
      <c r="G3" s="21"/>
      <c r="H3" s="21"/>
      <c r="I3" s="21"/>
      <c r="J3" s="21"/>
      <c r="K3" s="20"/>
      <c r="M3" s="486" t="s">
        <v>3423</v>
      </c>
      <c r="N3" s="486"/>
      <c r="O3" s="486"/>
      <c r="P3" s="486"/>
      <c r="Q3" s="486"/>
      <c r="R3" s="486"/>
      <c r="S3" s="486"/>
      <c r="T3" s="486"/>
      <c r="U3" s="486"/>
      <c r="V3" s="486"/>
    </row>
    <row r="4" spans="1:22" x14ac:dyDescent="0.3">
      <c r="A4" s="18"/>
      <c r="B4" s="181" t="s">
        <v>77</v>
      </c>
      <c r="C4" s="181">
        <v>1</v>
      </c>
      <c r="D4" s="21"/>
      <c r="E4" s="475" t="s">
        <v>3424</v>
      </c>
      <c r="F4" s="475"/>
      <c r="G4" s="21"/>
      <c r="H4" s="21"/>
      <c r="I4" s="21"/>
      <c r="J4" s="21"/>
      <c r="K4" s="20"/>
      <c r="M4" s="487" t="s">
        <v>333</v>
      </c>
      <c r="N4" s="487"/>
      <c r="O4" s="487" t="s">
        <v>1087</v>
      </c>
      <c r="P4" s="487"/>
      <c r="Q4" s="487"/>
      <c r="R4" s="487"/>
      <c r="S4" s="487"/>
      <c r="T4" s="487"/>
      <c r="U4" s="487"/>
      <c r="V4" s="487"/>
    </row>
    <row r="5" spans="1:22" x14ac:dyDescent="0.3">
      <c r="A5" s="18"/>
      <c r="B5" s="181" t="s">
        <v>78</v>
      </c>
      <c r="C5" s="181">
        <v>2</v>
      </c>
      <c r="D5" s="21"/>
      <c r="E5" s="182" t="str">
        <f t="array" ref="E5:F11">_xll.U.VREPEAT(B4:C6,1)</f>
        <v>a</v>
      </c>
      <c r="F5" s="30">
        <v>1</v>
      </c>
      <c r="G5" s="21"/>
      <c r="H5" s="21"/>
      <c r="I5" s="21"/>
      <c r="J5" s="21"/>
      <c r="K5" s="20"/>
      <c r="M5" s="487"/>
      <c r="N5" s="487"/>
      <c r="O5" s="487"/>
      <c r="P5" s="487"/>
      <c r="Q5" s="487"/>
      <c r="R5" s="487"/>
      <c r="S5" s="487"/>
      <c r="T5" s="487"/>
      <c r="U5" s="487"/>
      <c r="V5" s="487"/>
    </row>
    <row r="6" spans="1:22" x14ac:dyDescent="0.3">
      <c r="A6" s="18"/>
      <c r="B6" s="181" t="s">
        <v>79</v>
      </c>
      <c r="C6" s="181">
        <v>3</v>
      </c>
      <c r="D6" s="21"/>
      <c r="E6" s="182" t="str">
        <v>b</v>
      </c>
      <c r="F6" s="30">
        <v>2</v>
      </c>
      <c r="G6" s="21"/>
      <c r="H6" s="21"/>
      <c r="I6" s="21"/>
      <c r="J6" s="21"/>
      <c r="K6" s="20"/>
      <c r="M6" s="487"/>
      <c r="N6" s="487"/>
      <c r="O6" s="487"/>
      <c r="P6" s="487"/>
      <c r="Q6" s="487"/>
      <c r="R6" s="487"/>
      <c r="S6" s="487"/>
      <c r="T6" s="487"/>
      <c r="U6" s="487"/>
      <c r="V6" s="487"/>
    </row>
    <row r="7" spans="1:22" x14ac:dyDescent="0.3">
      <c r="A7" s="18"/>
      <c r="B7" s="21"/>
      <c r="C7" s="21"/>
      <c r="D7" s="21"/>
      <c r="E7" s="182" t="str">
        <v>c</v>
      </c>
      <c r="F7" s="30">
        <v>3</v>
      </c>
      <c r="G7" s="21"/>
      <c r="H7" s="21"/>
      <c r="I7" s="21"/>
      <c r="J7" s="21"/>
      <c r="K7" s="20"/>
      <c r="M7" s="483" t="s">
        <v>323</v>
      </c>
      <c r="N7" s="483"/>
      <c r="O7" s="483" t="s">
        <v>1</v>
      </c>
      <c r="P7" s="483"/>
      <c r="Q7" s="483"/>
      <c r="R7" s="483"/>
      <c r="S7" s="483"/>
      <c r="T7" s="483"/>
      <c r="U7" s="483"/>
      <c r="V7" s="85" t="s">
        <v>324</v>
      </c>
    </row>
    <row r="8" spans="1:22" x14ac:dyDescent="0.3">
      <c r="A8" s="18"/>
      <c r="B8" s="21"/>
      <c r="C8" s="21"/>
      <c r="D8" s="21"/>
      <c r="E8" s="30" t="str">
        <v>a</v>
      </c>
      <c r="F8" s="30">
        <v>1</v>
      </c>
      <c r="G8" s="21"/>
      <c r="H8" s="21"/>
      <c r="I8" s="21"/>
      <c r="J8" s="21"/>
      <c r="K8" s="20"/>
      <c r="M8" s="487" t="s">
        <v>443</v>
      </c>
      <c r="N8" s="487"/>
      <c r="O8" s="487" t="s">
        <v>1088</v>
      </c>
      <c r="P8" s="487"/>
      <c r="Q8" s="487"/>
      <c r="R8" s="487"/>
      <c r="S8" s="487"/>
      <c r="T8" s="487"/>
      <c r="U8" s="487"/>
      <c r="V8" s="509" t="s">
        <v>325</v>
      </c>
    </row>
    <row r="9" spans="1:22" x14ac:dyDescent="0.3">
      <c r="A9" s="18"/>
      <c r="B9" s="21"/>
      <c r="C9" s="21"/>
      <c r="D9" s="21"/>
      <c r="E9" s="30" t="str">
        <v>b</v>
      </c>
      <c r="F9" s="30">
        <v>2</v>
      </c>
      <c r="G9" s="21"/>
      <c r="H9" s="21"/>
      <c r="I9" s="21"/>
      <c r="J9" s="21"/>
      <c r="K9" s="20"/>
      <c r="M9" s="487"/>
      <c r="N9" s="487"/>
      <c r="O9" s="487"/>
      <c r="P9" s="487"/>
      <c r="Q9" s="487"/>
      <c r="R9" s="487"/>
      <c r="S9" s="487"/>
      <c r="T9" s="487"/>
      <c r="U9" s="487"/>
      <c r="V9" s="509"/>
    </row>
    <row r="10" spans="1:22" x14ac:dyDescent="0.3">
      <c r="A10" s="18"/>
      <c r="B10" s="21"/>
      <c r="C10" s="21"/>
      <c r="D10" s="21"/>
      <c r="E10" s="30" t="str">
        <v>c</v>
      </c>
      <c r="F10" s="30">
        <v>3</v>
      </c>
      <c r="G10" s="21"/>
      <c r="H10" s="21"/>
      <c r="I10" s="21"/>
      <c r="J10" s="21"/>
      <c r="K10" s="20"/>
      <c r="M10" s="487"/>
      <c r="N10" s="487"/>
      <c r="O10" s="487"/>
      <c r="P10" s="487"/>
      <c r="Q10" s="487"/>
      <c r="R10" s="487"/>
      <c r="S10" s="487"/>
      <c r="T10" s="487"/>
      <c r="U10" s="487"/>
      <c r="V10" s="509"/>
    </row>
    <row r="11" spans="1:22" x14ac:dyDescent="0.3">
      <c r="A11" s="18"/>
      <c r="B11" s="21"/>
      <c r="C11" s="21"/>
      <c r="D11" s="21"/>
      <c r="E11" s="30" t="e">
        <v>#N/A</v>
      </c>
      <c r="F11" s="30" t="e">
        <v>#N/A</v>
      </c>
      <c r="G11" s="21"/>
      <c r="H11" s="21"/>
      <c r="I11" s="21"/>
      <c r="J11" s="21"/>
      <c r="K11" s="20"/>
      <c r="M11" s="488" t="s">
        <v>1095</v>
      </c>
      <c r="N11" s="488"/>
      <c r="O11" s="488" t="s">
        <v>1089</v>
      </c>
      <c r="P11" s="488"/>
      <c r="Q11" s="488"/>
      <c r="R11" s="488"/>
      <c r="S11" s="488"/>
      <c r="T11" s="488"/>
      <c r="U11" s="488"/>
      <c r="V11" s="509" t="s">
        <v>325</v>
      </c>
    </row>
    <row r="12" spans="1:22" x14ac:dyDescent="0.3">
      <c r="A12" s="18"/>
      <c r="B12" s="21"/>
      <c r="C12" s="21"/>
      <c r="D12" s="21"/>
      <c r="E12" s="21"/>
      <c r="F12" s="21"/>
      <c r="G12" s="21"/>
      <c r="H12" s="21"/>
      <c r="I12" s="21"/>
      <c r="J12" s="21"/>
      <c r="K12" s="20"/>
      <c r="M12" s="488"/>
      <c r="N12" s="488"/>
      <c r="O12" s="488"/>
      <c r="P12" s="488"/>
      <c r="Q12" s="488"/>
      <c r="R12" s="488"/>
      <c r="S12" s="488"/>
      <c r="T12" s="488"/>
      <c r="U12" s="488"/>
      <c r="V12" s="509"/>
    </row>
    <row r="13" spans="1:22" x14ac:dyDescent="0.3">
      <c r="A13" s="18"/>
      <c r="B13" s="231" t="s">
        <v>2</v>
      </c>
      <c r="C13" s="102" t="s">
        <v>1094</v>
      </c>
      <c r="D13" s="21"/>
      <c r="E13" s="3" t="str">
        <f t="array" ref="E13:F21">_xll.U.VREPEAT(B13:C16,1,1)</f>
        <v>Symbol</v>
      </c>
      <c r="F13" s="3" t="str">
        <v>Val</v>
      </c>
      <c r="G13" s="21"/>
      <c r="H13" s="21"/>
      <c r="I13" s="21"/>
      <c r="J13" s="21"/>
      <c r="K13" s="20"/>
      <c r="M13" s="488"/>
      <c r="N13" s="488"/>
      <c r="O13" s="488"/>
      <c r="P13" s="488"/>
      <c r="Q13" s="488"/>
      <c r="R13" s="488"/>
      <c r="S13" s="488"/>
      <c r="T13" s="488"/>
      <c r="U13" s="488"/>
      <c r="V13" s="509"/>
    </row>
    <row r="14" spans="1:22" x14ac:dyDescent="0.3">
      <c r="A14" s="18"/>
      <c r="B14" s="181" t="s">
        <v>77</v>
      </c>
      <c r="C14" s="181">
        <v>1</v>
      </c>
      <c r="D14" s="21"/>
      <c r="E14" s="30" t="str">
        <v>a</v>
      </c>
      <c r="F14" s="30">
        <v>1</v>
      </c>
      <c r="G14" s="21"/>
      <c r="H14" s="21"/>
      <c r="I14" s="21"/>
      <c r="J14" s="21"/>
      <c r="K14" s="20"/>
      <c r="M14" s="484" t="s">
        <v>1090</v>
      </c>
      <c r="N14" s="484"/>
      <c r="O14" s="484" t="s">
        <v>1091</v>
      </c>
      <c r="P14" s="484"/>
      <c r="Q14" s="484"/>
      <c r="R14" s="484"/>
      <c r="S14" s="484"/>
      <c r="T14" s="484"/>
      <c r="U14" s="484"/>
      <c r="V14" s="485" t="s">
        <v>326</v>
      </c>
    </row>
    <row r="15" spans="1:22" x14ac:dyDescent="0.3">
      <c r="A15" s="18"/>
      <c r="B15" s="181" t="s">
        <v>78</v>
      </c>
      <c r="C15" s="181">
        <v>2</v>
      </c>
      <c r="D15" s="21"/>
      <c r="E15" s="30" t="str">
        <v>b</v>
      </c>
      <c r="F15" s="30">
        <v>2</v>
      </c>
      <c r="G15" s="21"/>
      <c r="H15" s="21"/>
      <c r="I15" s="21"/>
      <c r="J15" s="21"/>
      <c r="K15" s="20"/>
      <c r="M15" s="484"/>
      <c r="N15" s="484"/>
      <c r="O15" s="484"/>
      <c r="P15" s="484"/>
      <c r="Q15" s="484"/>
      <c r="R15" s="484"/>
      <c r="S15" s="484"/>
      <c r="T15" s="484"/>
      <c r="U15" s="484"/>
      <c r="V15" s="485"/>
    </row>
    <row r="16" spans="1:22" x14ac:dyDescent="0.3">
      <c r="A16" s="18"/>
      <c r="B16" s="181" t="s">
        <v>79</v>
      </c>
      <c r="C16" s="181">
        <v>3</v>
      </c>
      <c r="D16" s="21"/>
      <c r="E16" s="30" t="str">
        <v>c</v>
      </c>
      <c r="F16" s="30">
        <v>3</v>
      </c>
      <c r="G16" s="21"/>
      <c r="H16" s="21"/>
      <c r="I16" s="21"/>
      <c r="J16" s="21"/>
      <c r="K16" s="20"/>
      <c r="M16" s="484"/>
      <c r="N16" s="484"/>
      <c r="O16" s="484"/>
      <c r="P16" s="484"/>
      <c r="Q16" s="484"/>
      <c r="R16" s="484"/>
      <c r="S16" s="484"/>
      <c r="T16" s="484"/>
      <c r="U16" s="484"/>
      <c r="V16" s="485"/>
    </row>
    <row r="17" spans="1:22" x14ac:dyDescent="0.3">
      <c r="A17" s="18"/>
      <c r="B17" s="117"/>
      <c r="C17" s="21"/>
      <c r="D17" s="21"/>
      <c r="E17" s="30" t="str">
        <v>a</v>
      </c>
      <c r="F17" s="30">
        <v>1</v>
      </c>
      <c r="G17" s="21"/>
      <c r="H17" s="21"/>
      <c r="I17" s="21"/>
      <c r="J17" s="21"/>
      <c r="K17" s="20"/>
      <c r="M17" s="484" t="s">
        <v>1092</v>
      </c>
      <c r="N17" s="484"/>
      <c r="O17" s="484" t="s">
        <v>1093</v>
      </c>
      <c r="P17" s="484"/>
      <c r="Q17" s="484"/>
      <c r="R17" s="484"/>
      <c r="S17" s="484"/>
      <c r="T17" s="484"/>
      <c r="U17" s="484"/>
      <c r="V17" s="485" t="s">
        <v>326</v>
      </c>
    </row>
    <row r="18" spans="1:22" x14ac:dyDescent="0.3">
      <c r="A18" s="18"/>
      <c r="B18" s="117"/>
      <c r="C18" s="21"/>
      <c r="D18" s="21"/>
      <c r="E18" s="30" t="str">
        <v>b</v>
      </c>
      <c r="F18" s="30">
        <v>2</v>
      </c>
      <c r="G18" s="21"/>
      <c r="H18" s="21"/>
      <c r="I18" s="21"/>
      <c r="J18" s="21"/>
      <c r="K18" s="20"/>
      <c r="M18" s="484"/>
      <c r="N18" s="484"/>
      <c r="O18" s="484"/>
      <c r="P18" s="484"/>
      <c r="Q18" s="484"/>
      <c r="R18" s="484"/>
      <c r="S18" s="484"/>
      <c r="T18" s="484"/>
      <c r="U18" s="484"/>
      <c r="V18" s="485"/>
    </row>
    <row r="19" spans="1:22" x14ac:dyDescent="0.3">
      <c r="A19" s="18"/>
      <c r="B19" s="117"/>
      <c r="C19" s="21"/>
      <c r="D19" s="21"/>
      <c r="E19" s="30" t="str">
        <v>c</v>
      </c>
      <c r="F19" s="30">
        <v>3</v>
      </c>
      <c r="G19" s="21"/>
      <c r="H19" s="21"/>
      <c r="I19" s="21"/>
      <c r="J19" s="21"/>
      <c r="K19" s="20"/>
      <c r="M19" s="484"/>
      <c r="N19" s="484"/>
      <c r="O19" s="484"/>
      <c r="P19" s="484"/>
      <c r="Q19" s="484"/>
      <c r="R19" s="484"/>
      <c r="S19" s="484"/>
      <c r="T19" s="484"/>
      <c r="U19" s="484"/>
      <c r="V19" s="485"/>
    </row>
    <row r="20" spans="1:22" x14ac:dyDescent="0.3">
      <c r="A20" s="18"/>
      <c r="B20" s="117"/>
      <c r="C20" s="21"/>
      <c r="D20" s="21"/>
      <c r="E20" s="30" t="e">
        <v>#N/A</v>
      </c>
      <c r="F20" s="30" t="e">
        <v>#N/A</v>
      </c>
      <c r="G20" s="21"/>
      <c r="H20" s="21"/>
      <c r="I20" s="21"/>
      <c r="J20" s="21"/>
      <c r="K20" s="20"/>
      <c r="M20" s="126" t="s">
        <v>328</v>
      </c>
    </row>
    <row r="21" spans="1:22" x14ac:dyDescent="0.3">
      <c r="A21" s="18"/>
      <c r="B21" s="117"/>
      <c r="C21" s="21"/>
      <c r="D21" s="21"/>
      <c r="E21" s="30" t="e">
        <v>#N/A</v>
      </c>
      <c r="F21" s="30" t="e">
        <v>#N/A</v>
      </c>
      <c r="G21" s="21"/>
      <c r="H21" s="21"/>
      <c r="I21" s="21"/>
      <c r="J21" s="21"/>
      <c r="K21" s="20"/>
    </row>
    <row r="22" spans="1:22" x14ac:dyDescent="0.3">
      <c r="A22" s="18"/>
      <c r="B22" s="117"/>
      <c r="C22" s="21"/>
      <c r="D22" s="21"/>
      <c r="E22" s="21"/>
      <c r="F22" s="21"/>
      <c r="G22" s="21"/>
      <c r="H22" s="21"/>
      <c r="I22" s="21"/>
      <c r="J22" s="21"/>
      <c r="K22" s="20"/>
    </row>
    <row r="23" spans="1:22" x14ac:dyDescent="0.3">
      <c r="A23" s="18"/>
      <c r="B23" s="117"/>
      <c r="C23" s="21"/>
      <c r="D23" s="21"/>
      <c r="E23" s="21"/>
      <c r="F23" s="21"/>
      <c r="G23" s="21"/>
      <c r="H23" s="21"/>
      <c r="I23" s="21"/>
      <c r="J23" s="21"/>
      <c r="K23" s="20"/>
    </row>
    <row r="24" spans="1:22" x14ac:dyDescent="0.3">
      <c r="A24" s="18"/>
      <c r="B24" s="117"/>
      <c r="C24" s="21"/>
      <c r="D24" s="21"/>
      <c r="E24" s="3" t="str">
        <f t="array" ref="E24:F38">_xll.U.VREPEAT(B13:C16,2,1,2)</f>
        <v>Symbol</v>
      </c>
      <c r="F24" s="3" t="str">
        <v>Val</v>
      </c>
      <c r="G24" s="21"/>
      <c r="H24" s="21"/>
      <c r="I24" s="21"/>
      <c r="J24" s="21"/>
      <c r="K24" s="20"/>
    </row>
    <row r="25" spans="1:22" x14ac:dyDescent="0.3">
      <c r="A25" s="18"/>
      <c r="B25" s="117"/>
      <c r="C25" s="21"/>
      <c r="D25" s="21"/>
      <c r="E25" s="30" t="str">
        <v>a</v>
      </c>
      <c r="F25" s="30">
        <v>1</v>
      </c>
      <c r="G25" s="21"/>
      <c r="H25" s="21"/>
      <c r="I25" s="21"/>
      <c r="J25" s="21"/>
      <c r="K25" s="20"/>
    </row>
    <row r="26" spans="1:22" x14ac:dyDescent="0.3">
      <c r="A26" s="18"/>
      <c r="B26" s="117"/>
      <c r="C26" s="117"/>
      <c r="D26" s="117"/>
      <c r="E26" s="30" t="str">
        <v>b</v>
      </c>
      <c r="F26" s="30">
        <v>2</v>
      </c>
      <c r="G26" s="117"/>
      <c r="H26" s="117"/>
      <c r="I26" s="21"/>
      <c r="J26" s="21"/>
      <c r="K26" s="20"/>
    </row>
    <row r="27" spans="1:22" x14ac:dyDescent="0.3">
      <c r="A27" s="18"/>
      <c r="B27" s="117"/>
      <c r="C27" s="117"/>
      <c r="D27" s="117"/>
      <c r="E27" s="30" t="str">
        <v>c</v>
      </c>
      <c r="F27" s="30">
        <v>3</v>
      </c>
      <c r="G27" s="117"/>
      <c r="H27" s="117"/>
      <c r="I27" s="21"/>
      <c r="J27" s="21"/>
      <c r="K27" s="20"/>
    </row>
    <row r="28" spans="1:22" x14ac:dyDescent="0.3">
      <c r="A28" s="18"/>
      <c r="B28" s="117"/>
      <c r="C28" s="117"/>
      <c r="D28" s="117"/>
      <c r="E28" s="30" t="str">
        <v/>
      </c>
      <c r="F28" s="30" t="str">
        <v/>
      </c>
      <c r="G28" s="117"/>
      <c r="H28" s="117"/>
      <c r="I28" s="21"/>
      <c r="J28" s="21"/>
      <c r="K28" s="20"/>
    </row>
    <row r="29" spans="1:22" x14ac:dyDescent="0.3">
      <c r="A29" s="18"/>
      <c r="B29" s="117"/>
      <c r="C29" s="117"/>
      <c r="D29" s="117"/>
      <c r="E29" s="30" t="str">
        <v/>
      </c>
      <c r="F29" s="30" t="str">
        <v/>
      </c>
      <c r="G29" s="117"/>
      <c r="H29" s="117"/>
      <c r="I29" s="21"/>
      <c r="J29" s="21"/>
      <c r="K29" s="20"/>
    </row>
    <row r="30" spans="1:22" x14ac:dyDescent="0.3">
      <c r="A30" s="18"/>
      <c r="B30" s="117"/>
      <c r="C30" s="117"/>
      <c r="D30" s="117"/>
      <c r="E30" s="30" t="str">
        <v>a</v>
      </c>
      <c r="F30" s="30">
        <v>1</v>
      </c>
      <c r="G30" s="117"/>
      <c r="H30" s="117"/>
      <c r="I30" s="21"/>
      <c r="J30" s="21"/>
      <c r="K30" s="20"/>
    </row>
    <row r="31" spans="1:22" x14ac:dyDescent="0.3">
      <c r="A31" s="18"/>
      <c r="B31" s="117"/>
      <c r="C31" s="117"/>
      <c r="D31" s="117"/>
      <c r="E31" s="30" t="str">
        <v>b</v>
      </c>
      <c r="F31" s="30">
        <v>2</v>
      </c>
      <c r="G31" s="117"/>
      <c r="H31" s="117"/>
      <c r="I31" s="21"/>
      <c r="J31" s="21"/>
      <c r="K31" s="20"/>
    </row>
    <row r="32" spans="1:22" x14ac:dyDescent="0.3">
      <c r="A32" s="18"/>
      <c r="B32" s="117"/>
      <c r="C32" s="117"/>
      <c r="D32" s="117"/>
      <c r="E32" s="30" t="str">
        <v>c</v>
      </c>
      <c r="F32" s="30">
        <v>3</v>
      </c>
      <c r="G32" s="117"/>
      <c r="H32" s="117"/>
      <c r="I32" s="21"/>
      <c r="J32" s="21"/>
      <c r="K32" s="20"/>
    </row>
    <row r="33" spans="1:11" x14ac:dyDescent="0.3">
      <c r="A33" s="18"/>
      <c r="B33" s="117"/>
      <c r="C33" s="117"/>
      <c r="D33" s="117"/>
      <c r="E33" s="30" t="str">
        <v/>
      </c>
      <c r="F33" s="30" t="str">
        <v/>
      </c>
      <c r="G33" s="117"/>
      <c r="H33" s="117"/>
      <c r="I33" s="21"/>
      <c r="J33" s="21"/>
      <c r="K33" s="20"/>
    </row>
    <row r="34" spans="1:11" x14ac:dyDescent="0.3">
      <c r="A34" s="18"/>
      <c r="B34" s="117"/>
      <c r="C34" s="117"/>
      <c r="D34" s="117"/>
      <c r="E34" s="30" t="str">
        <v/>
      </c>
      <c r="F34" s="30" t="str">
        <v/>
      </c>
      <c r="G34" s="117"/>
      <c r="H34" s="117"/>
      <c r="I34" s="21"/>
      <c r="J34" s="21"/>
      <c r="K34" s="20"/>
    </row>
    <row r="35" spans="1:11" x14ac:dyDescent="0.3">
      <c r="A35" s="18"/>
      <c r="B35" s="117"/>
      <c r="C35" s="117"/>
      <c r="D35" s="117"/>
      <c r="E35" s="30" t="str">
        <v>a</v>
      </c>
      <c r="F35" s="30">
        <v>1</v>
      </c>
      <c r="G35" s="117"/>
      <c r="H35" s="117"/>
      <c r="I35" s="21"/>
      <c r="J35" s="21"/>
      <c r="K35" s="20"/>
    </row>
    <row r="36" spans="1:11" x14ac:dyDescent="0.3">
      <c r="A36" s="18"/>
      <c r="B36" s="117"/>
      <c r="C36" s="117"/>
      <c r="D36" s="117"/>
      <c r="E36" s="30" t="str">
        <v>b</v>
      </c>
      <c r="F36" s="30">
        <v>2</v>
      </c>
      <c r="G36" s="117"/>
      <c r="H36" s="117"/>
      <c r="I36" s="21"/>
      <c r="J36" s="21"/>
      <c r="K36" s="20"/>
    </row>
    <row r="37" spans="1:11" x14ac:dyDescent="0.3">
      <c r="A37" s="18"/>
      <c r="B37" s="117"/>
      <c r="C37" s="117"/>
      <c r="D37" s="117"/>
      <c r="E37" s="30" t="str">
        <v>c</v>
      </c>
      <c r="F37" s="30">
        <v>3</v>
      </c>
      <c r="G37" s="117"/>
      <c r="H37" s="117"/>
      <c r="I37" s="21"/>
      <c r="J37" s="21"/>
      <c r="K37" s="20"/>
    </row>
    <row r="38" spans="1:11" x14ac:dyDescent="0.3">
      <c r="A38" s="18"/>
      <c r="B38" s="117"/>
      <c r="C38" s="117"/>
      <c r="D38" s="117"/>
      <c r="E38" s="30" t="e">
        <v>#N/A</v>
      </c>
      <c r="F38" s="30" t="e">
        <v>#N/A</v>
      </c>
      <c r="G38" s="117"/>
      <c r="H38" s="117"/>
      <c r="I38" s="21"/>
      <c r="J38" s="21"/>
      <c r="K38" s="20"/>
    </row>
    <row r="39" spans="1:11" x14ac:dyDescent="0.3">
      <c r="A39" s="18"/>
      <c r="B39" s="117"/>
      <c r="C39" s="117"/>
      <c r="D39" s="117"/>
      <c r="E39" s="117"/>
      <c r="F39" s="117"/>
      <c r="G39" s="117"/>
      <c r="H39" s="117"/>
      <c r="I39" s="21"/>
      <c r="J39" s="21"/>
      <c r="K39" s="20"/>
    </row>
    <row r="40" spans="1:11" x14ac:dyDescent="0.3">
      <c r="A40" s="490" t="s">
        <v>3425</v>
      </c>
      <c r="B40" s="491"/>
      <c r="C40" s="491"/>
      <c r="D40" s="491"/>
      <c r="E40" s="491"/>
      <c r="F40" s="491"/>
      <c r="G40" s="491"/>
      <c r="H40" s="491"/>
      <c r="I40" s="491"/>
      <c r="J40" s="21"/>
      <c r="K40" s="20"/>
    </row>
    <row r="41" spans="1:11" x14ac:dyDescent="0.3">
      <c r="A41" s="18"/>
      <c r="B41" s="117"/>
      <c r="C41" s="117"/>
      <c r="D41" s="117"/>
      <c r="E41" s="117"/>
      <c r="F41" s="117"/>
      <c r="G41" s="117"/>
      <c r="H41" s="117"/>
      <c r="I41" s="21"/>
      <c r="J41" s="21"/>
      <c r="K41" s="20"/>
    </row>
    <row r="42" spans="1:11" x14ac:dyDescent="0.3">
      <c r="A42" s="18"/>
      <c r="B42" s="231" t="s">
        <v>2</v>
      </c>
      <c r="C42" s="233" t="s">
        <v>77</v>
      </c>
      <c r="D42" s="233" t="s">
        <v>78</v>
      </c>
      <c r="E42" s="233" t="s">
        <v>79</v>
      </c>
      <c r="F42" s="117"/>
      <c r="G42" s="117"/>
      <c r="H42" s="117"/>
      <c r="I42" s="21"/>
      <c r="J42" s="21"/>
      <c r="K42" s="20"/>
    </row>
    <row r="43" spans="1:11" x14ac:dyDescent="0.3">
      <c r="A43" s="18"/>
      <c r="B43" s="231" t="s">
        <v>1094</v>
      </c>
      <c r="C43" s="234">
        <v>1</v>
      </c>
      <c r="D43" s="234">
        <v>2</v>
      </c>
      <c r="E43" s="234">
        <v>3</v>
      </c>
      <c r="F43" s="117"/>
      <c r="G43" s="117"/>
      <c r="H43" s="117"/>
      <c r="I43" s="21"/>
      <c r="J43" s="21"/>
      <c r="K43" s="20"/>
    </row>
    <row r="44" spans="1:11" x14ac:dyDescent="0.3">
      <c r="A44" s="18"/>
      <c r="B44" s="117"/>
      <c r="C44" s="117"/>
      <c r="D44" s="117"/>
      <c r="E44" s="117"/>
      <c r="F44" s="117"/>
      <c r="G44" s="117"/>
      <c r="H44" s="117"/>
      <c r="I44" s="21"/>
      <c r="J44" s="21"/>
      <c r="K44" s="20"/>
    </row>
    <row r="45" spans="1:11" x14ac:dyDescent="0.3">
      <c r="A45" s="18"/>
      <c r="B45" s="231" t="str">
        <f t="array" ref="B45:J46">_xll.U.HREPEAT(B42:E43,1,1,1)</f>
        <v>Symbol</v>
      </c>
      <c r="C45" s="100" t="str">
        <v>a</v>
      </c>
      <c r="D45" s="100" t="str">
        <v>b</v>
      </c>
      <c r="E45" s="100" t="str">
        <v>c</v>
      </c>
      <c r="F45" s="100" t="str">
        <v/>
      </c>
      <c r="G45" s="100" t="str">
        <v>a</v>
      </c>
      <c r="H45" s="100" t="str">
        <v>b</v>
      </c>
      <c r="I45" s="30" t="str">
        <v>c</v>
      </c>
      <c r="J45" s="30" t="e">
        <v>#N/A</v>
      </c>
      <c r="K45" s="20"/>
    </row>
    <row r="46" spans="1:11" x14ac:dyDescent="0.3">
      <c r="A46" s="18"/>
      <c r="B46" s="231" t="str">
        <v>Val</v>
      </c>
      <c r="C46" s="232">
        <v>1</v>
      </c>
      <c r="D46" s="232">
        <v>2</v>
      </c>
      <c r="E46" s="232">
        <v>3</v>
      </c>
      <c r="F46" s="232" t="str">
        <v/>
      </c>
      <c r="G46" s="232">
        <v>1</v>
      </c>
      <c r="H46" s="232">
        <v>2</v>
      </c>
      <c r="I46" s="36">
        <v>3</v>
      </c>
      <c r="J46" s="36" t="e">
        <v>#N/A</v>
      </c>
      <c r="K46" s="20"/>
    </row>
    <row r="47" spans="1:11" x14ac:dyDescent="0.3">
      <c r="A47" s="18"/>
      <c r="B47" s="117"/>
      <c r="C47" s="117"/>
      <c r="D47" s="117"/>
      <c r="E47" s="117"/>
      <c r="F47" s="117"/>
      <c r="G47" s="117"/>
      <c r="H47" s="117"/>
      <c r="I47" s="21"/>
      <c r="J47" s="21"/>
      <c r="K47" s="20"/>
    </row>
    <row r="48" spans="1:11" x14ac:dyDescent="0.3">
      <c r="A48" s="18"/>
      <c r="B48" s="117"/>
      <c r="C48" s="117"/>
      <c r="D48" s="117"/>
      <c r="E48" s="117"/>
      <c r="F48" s="117"/>
      <c r="G48" s="117"/>
      <c r="H48" s="117"/>
      <c r="I48" s="21"/>
      <c r="J48" s="21"/>
      <c r="K48" s="20"/>
    </row>
    <row r="49" spans="1:11" x14ac:dyDescent="0.3">
      <c r="A49" s="18"/>
      <c r="B49" s="117"/>
      <c r="C49" s="117"/>
      <c r="D49" s="117"/>
      <c r="E49" s="117"/>
      <c r="F49" s="117"/>
      <c r="G49" s="117"/>
      <c r="H49" s="117"/>
      <c r="I49" s="21"/>
      <c r="J49" s="21"/>
      <c r="K49" s="20"/>
    </row>
    <row r="50" spans="1:11" x14ac:dyDescent="0.3">
      <c r="A50" s="18"/>
      <c r="B50" s="117"/>
      <c r="C50" s="117"/>
      <c r="D50" s="117"/>
      <c r="E50" s="117"/>
      <c r="F50" s="117"/>
      <c r="G50" s="117"/>
      <c r="H50" s="117"/>
      <c r="I50" s="21"/>
      <c r="J50" s="21"/>
      <c r="K50" s="20"/>
    </row>
    <row r="51" spans="1:11" x14ac:dyDescent="0.3">
      <c r="A51" s="18"/>
      <c r="B51" s="117"/>
      <c r="C51" s="117"/>
      <c r="D51" s="117"/>
      <c r="E51" s="117"/>
      <c r="F51" s="117"/>
      <c r="G51" s="117"/>
      <c r="H51" s="117"/>
      <c r="I51" s="21"/>
      <c r="J51" s="21"/>
      <c r="K51" s="20"/>
    </row>
    <row r="52" spans="1:11" x14ac:dyDescent="0.3">
      <c r="A52" s="18"/>
      <c r="B52" s="117"/>
      <c r="C52" s="21"/>
      <c r="D52" s="123"/>
      <c r="E52" s="21"/>
      <c r="F52" s="21"/>
      <c r="G52" s="21"/>
      <c r="H52" s="21"/>
      <c r="I52" s="21"/>
      <c r="J52" s="21"/>
      <c r="K52" s="20"/>
    </row>
    <row r="53" spans="1:11" ht="15" thickBot="1" x14ac:dyDescent="0.35">
      <c r="A53" s="22"/>
      <c r="B53" s="23"/>
      <c r="C53" s="23"/>
      <c r="D53" s="23"/>
      <c r="E53" s="23"/>
      <c r="F53" s="23"/>
      <c r="G53" s="23"/>
      <c r="H53" s="23"/>
      <c r="I53" s="23"/>
      <c r="J53" s="23"/>
      <c r="K53" s="24"/>
    </row>
  </sheetData>
  <mergeCells count="19">
    <mergeCell ref="M17:N19"/>
    <mergeCell ref="O17:U19"/>
    <mergeCell ref="V17:V19"/>
    <mergeCell ref="E4:F4"/>
    <mergeCell ref="A40:I40"/>
    <mergeCell ref="M11:N13"/>
    <mergeCell ref="O11:U13"/>
    <mergeCell ref="V11:V13"/>
    <mergeCell ref="M14:N16"/>
    <mergeCell ref="O14:U16"/>
    <mergeCell ref="V14:V16"/>
    <mergeCell ref="M8:N10"/>
    <mergeCell ref="O8:U10"/>
    <mergeCell ref="V8:V10"/>
    <mergeCell ref="M3:V3"/>
    <mergeCell ref="M4:N6"/>
    <mergeCell ref="O4:V6"/>
    <mergeCell ref="M7:N7"/>
    <mergeCell ref="O7:U7"/>
  </mergeCells>
  <pageMargins left="0.7" right="0.7" top="0.75" bottom="0.75" header="0.3" footer="0.3"/>
  <pageSetup orientation="portrait" verticalDpi="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W155"/>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4.77734375" customWidth="1"/>
    <col min="3" max="3" width="17.77734375" customWidth="1"/>
    <col min="4" max="4" width="12.77734375" customWidth="1"/>
    <col min="5" max="5" width="9" customWidth="1"/>
    <col min="6" max="7" width="10" customWidth="1"/>
    <col min="12" max="12" width="11.77734375" customWidth="1"/>
    <col min="14" max="23" width="9.21875" customWidth="1"/>
  </cols>
  <sheetData>
    <row r="1" spans="1:23" ht="34.5" customHeight="1" thickBot="1" x14ac:dyDescent="0.35">
      <c r="A1" s="292" t="s">
        <v>1580</v>
      </c>
      <c r="B1" s="473" t="e" vm="1">
        <v>#VALUE!</v>
      </c>
      <c r="C1" s="8" t="s">
        <v>1097</v>
      </c>
      <c r="D1" s="27"/>
      <c r="E1" s="191"/>
      <c r="F1" s="16"/>
      <c r="G1" s="16"/>
      <c r="H1" s="16"/>
      <c r="I1" s="16"/>
      <c r="J1" s="16"/>
      <c r="K1" s="16"/>
      <c r="L1" s="19"/>
    </row>
    <row r="2" spans="1:23" ht="15" customHeight="1" x14ac:dyDescent="0.3">
      <c r="A2" s="18"/>
      <c r="B2" s="25"/>
      <c r="C2" s="25"/>
      <c r="D2" s="21"/>
      <c r="E2" s="21"/>
      <c r="F2" s="21"/>
      <c r="G2" s="21"/>
      <c r="H2" s="21"/>
      <c r="I2" s="21"/>
      <c r="J2" s="21"/>
      <c r="K2" s="21"/>
      <c r="L2" s="20"/>
    </row>
    <row r="3" spans="1:23" x14ac:dyDescent="0.3">
      <c r="A3" s="18"/>
      <c r="B3" s="21"/>
      <c r="C3" s="21"/>
      <c r="D3" s="21"/>
      <c r="E3" s="21"/>
      <c r="F3" s="21"/>
      <c r="G3" s="21"/>
      <c r="H3" s="21"/>
      <c r="I3" s="21"/>
      <c r="J3" s="21"/>
      <c r="K3" s="21"/>
      <c r="L3" s="20"/>
      <c r="N3" s="486" t="s">
        <v>3426</v>
      </c>
      <c r="O3" s="486"/>
      <c r="P3" s="486"/>
      <c r="Q3" s="486"/>
      <c r="R3" s="486"/>
      <c r="S3" s="486"/>
      <c r="T3" s="486"/>
      <c r="U3" s="486"/>
      <c r="V3" s="486"/>
      <c r="W3" s="486"/>
    </row>
    <row r="4" spans="1:23" x14ac:dyDescent="0.3">
      <c r="A4" s="18"/>
      <c r="B4" s="181" t="s">
        <v>77</v>
      </c>
      <c r="C4" s="181">
        <v>1</v>
      </c>
      <c r="D4" s="21"/>
      <c r="E4" s="21"/>
      <c r="F4" s="475" t="s">
        <v>3427</v>
      </c>
      <c r="G4" s="475"/>
      <c r="H4" s="21"/>
      <c r="I4" s="21"/>
      <c r="J4" s="21"/>
      <c r="K4" s="21"/>
      <c r="L4" s="20"/>
      <c r="N4" s="487" t="s">
        <v>333</v>
      </c>
      <c r="O4" s="487"/>
      <c r="P4" s="487" t="s">
        <v>1106</v>
      </c>
      <c r="Q4" s="487"/>
      <c r="R4" s="487"/>
      <c r="S4" s="487"/>
      <c r="T4" s="487"/>
      <c r="U4" s="487"/>
      <c r="V4" s="487"/>
      <c r="W4" s="487"/>
    </row>
    <row r="5" spans="1:23" x14ac:dyDescent="0.3">
      <c r="A5" s="18"/>
      <c r="B5" s="181" t="s">
        <v>78</v>
      </c>
      <c r="C5" s="181">
        <v>2</v>
      </c>
      <c r="D5" s="21"/>
      <c r="E5" s="21"/>
      <c r="F5" s="182" t="str">
        <f t="array" ref="F5:G9">_xll.U.VINSERT(B4:C6,B8:C9,1)</f>
        <v>a</v>
      </c>
      <c r="G5" s="30">
        <v>1</v>
      </c>
      <c r="H5" s="21"/>
      <c r="I5" s="21"/>
      <c r="J5" s="21"/>
      <c r="K5" s="21"/>
      <c r="L5" s="20"/>
      <c r="N5" s="487"/>
      <c r="O5" s="487"/>
      <c r="P5" s="487"/>
      <c r="Q5" s="487"/>
      <c r="R5" s="487"/>
      <c r="S5" s="487"/>
      <c r="T5" s="487"/>
      <c r="U5" s="487"/>
      <c r="V5" s="487"/>
      <c r="W5" s="487"/>
    </row>
    <row r="6" spans="1:23" x14ac:dyDescent="0.3">
      <c r="A6" s="18"/>
      <c r="B6" s="181" t="s">
        <v>79</v>
      </c>
      <c r="C6" s="181">
        <v>3</v>
      </c>
      <c r="D6" s="21"/>
      <c r="E6" s="21"/>
      <c r="F6" s="182" t="str">
        <v>Insert</v>
      </c>
      <c r="G6" s="30" t="str">
        <v>Me</v>
      </c>
      <c r="H6" s="21"/>
      <c r="I6" s="21"/>
      <c r="J6" s="21"/>
      <c r="K6" s="21"/>
      <c r="L6" s="20"/>
      <c r="N6" s="487"/>
      <c r="O6" s="487"/>
      <c r="P6" s="487"/>
      <c r="Q6" s="487"/>
      <c r="R6" s="487"/>
      <c r="S6" s="487"/>
      <c r="T6" s="487"/>
      <c r="U6" s="487"/>
      <c r="V6" s="487"/>
      <c r="W6" s="487"/>
    </row>
    <row r="7" spans="1:23" x14ac:dyDescent="0.3">
      <c r="A7" s="18"/>
      <c r="B7" s="21"/>
      <c r="C7" s="21"/>
      <c r="D7" s="21"/>
      <c r="E7" s="21"/>
      <c r="F7" s="182" t="str">
        <v>Into</v>
      </c>
      <c r="G7" s="30" t="str">
        <v>Range</v>
      </c>
      <c r="H7" s="21"/>
      <c r="I7" s="21"/>
      <c r="J7" s="21"/>
      <c r="K7" s="21"/>
      <c r="L7" s="20"/>
      <c r="N7" s="483" t="s">
        <v>323</v>
      </c>
      <c r="O7" s="483"/>
      <c r="P7" s="483" t="s">
        <v>1</v>
      </c>
      <c r="Q7" s="483"/>
      <c r="R7" s="483"/>
      <c r="S7" s="483"/>
      <c r="T7" s="483"/>
      <c r="U7" s="483"/>
      <c r="V7" s="483"/>
      <c r="W7" s="85" t="s">
        <v>324</v>
      </c>
    </row>
    <row r="8" spans="1:23" x14ac:dyDescent="0.3">
      <c r="A8" s="18"/>
      <c r="B8" s="181" t="s">
        <v>1098</v>
      </c>
      <c r="C8" s="181" t="s">
        <v>1099</v>
      </c>
      <c r="D8" s="21"/>
      <c r="E8" s="21"/>
      <c r="F8" s="30" t="str">
        <v>b</v>
      </c>
      <c r="G8" s="30">
        <v>2</v>
      </c>
      <c r="H8" s="21"/>
      <c r="I8" s="21"/>
      <c r="J8" s="21"/>
      <c r="K8" s="21"/>
      <c r="L8" s="20"/>
      <c r="N8" s="487" t="s">
        <v>443</v>
      </c>
      <c r="O8" s="487"/>
      <c r="P8" s="487" t="s">
        <v>1114</v>
      </c>
      <c r="Q8" s="487"/>
      <c r="R8" s="487"/>
      <c r="S8" s="487"/>
      <c r="T8" s="487"/>
      <c r="U8" s="487"/>
      <c r="V8" s="487"/>
      <c r="W8" s="509" t="s">
        <v>325</v>
      </c>
    </row>
    <row r="9" spans="1:23" x14ac:dyDescent="0.3">
      <c r="A9" s="18"/>
      <c r="B9" s="181" t="s">
        <v>1100</v>
      </c>
      <c r="C9" s="181" t="s">
        <v>1101</v>
      </c>
      <c r="D9" s="21"/>
      <c r="E9" s="21"/>
      <c r="F9" s="30" t="str">
        <v>c</v>
      </c>
      <c r="G9" s="30">
        <v>3</v>
      </c>
      <c r="H9" s="21"/>
      <c r="I9" s="21"/>
      <c r="J9" s="21"/>
      <c r="K9" s="21"/>
      <c r="L9" s="20"/>
      <c r="N9" s="487"/>
      <c r="O9" s="487"/>
      <c r="P9" s="487"/>
      <c r="Q9" s="487"/>
      <c r="R9" s="487"/>
      <c r="S9" s="487"/>
      <c r="T9" s="487"/>
      <c r="U9" s="487"/>
      <c r="V9" s="487"/>
      <c r="W9" s="509"/>
    </row>
    <row r="10" spans="1:23" x14ac:dyDescent="0.3">
      <c r="A10" s="18"/>
      <c r="B10" s="21"/>
      <c r="C10" s="21"/>
      <c r="D10" s="21"/>
      <c r="E10" s="21"/>
      <c r="F10" s="21"/>
      <c r="G10" s="21"/>
      <c r="H10" s="21"/>
      <c r="I10" s="21"/>
      <c r="J10" s="21"/>
      <c r="K10" s="21"/>
      <c r="L10" s="20"/>
      <c r="N10" s="487"/>
      <c r="O10" s="487"/>
      <c r="P10" s="487"/>
      <c r="Q10" s="487"/>
      <c r="R10" s="487"/>
      <c r="S10" s="487"/>
      <c r="T10" s="487"/>
      <c r="U10" s="487"/>
      <c r="V10" s="487"/>
      <c r="W10" s="509"/>
    </row>
    <row r="11" spans="1:23" x14ac:dyDescent="0.3">
      <c r="A11" s="18"/>
      <c r="B11" s="21"/>
      <c r="C11" s="21"/>
      <c r="D11" s="21"/>
      <c r="E11" s="21"/>
      <c r="F11" s="21"/>
      <c r="G11" s="21"/>
      <c r="H11" s="21"/>
      <c r="I11" s="21"/>
      <c r="J11" s="21"/>
      <c r="K11" s="21"/>
      <c r="L11" s="20"/>
      <c r="N11" s="488" t="s">
        <v>1104</v>
      </c>
      <c r="O11" s="488"/>
      <c r="P11" s="488" t="s">
        <v>1107</v>
      </c>
      <c r="Q11" s="488"/>
      <c r="R11" s="488"/>
      <c r="S11" s="488"/>
      <c r="T11" s="488"/>
      <c r="U11" s="488"/>
      <c r="V11" s="488"/>
      <c r="W11" s="509" t="s">
        <v>325</v>
      </c>
    </row>
    <row r="12" spans="1:23" x14ac:dyDescent="0.3">
      <c r="A12" s="18"/>
      <c r="B12" s="21"/>
      <c r="C12" s="21"/>
      <c r="D12" s="21"/>
      <c r="E12" s="21"/>
      <c r="F12" s="21"/>
      <c r="G12" s="21"/>
      <c r="H12" s="21"/>
      <c r="I12" s="21"/>
      <c r="J12" s="21"/>
      <c r="K12" s="21"/>
      <c r="L12" s="20"/>
      <c r="N12" s="488"/>
      <c r="O12" s="488"/>
      <c r="P12" s="488"/>
      <c r="Q12" s="488"/>
      <c r="R12" s="488"/>
      <c r="S12" s="488"/>
      <c r="T12" s="488"/>
      <c r="U12" s="488"/>
      <c r="V12" s="488"/>
      <c r="W12" s="509"/>
    </row>
    <row r="13" spans="1:23" x14ac:dyDescent="0.3">
      <c r="A13" s="18"/>
      <c r="B13" s="181" t="s">
        <v>77</v>
      </c>
      <c r="C13" s="181">
        <v>1</v>
      </c>
      <c r="D13" s="21"/>
      <c r="E13" s="21"/>
      <c r="F13" s="30" t="str">
        <f t="array" ref="F13:G17">_xll.U.VINSERT(B13:C15,B17:C17,1,2)</f>
        <v>a</v>
      </c>
      <c r="G13" s="30">
        <v>1</v>
      </c>
      <c r="H13" s="21"/>
      <c r="I13" s="21"/>
      <c r="J13" s="21"/>
      <c r="K13" s="21"/>
      <c r="L13" s="20"/>
      <c r="N13" s="488"/>
      <c r="O13" s="488"/>
      <c r="P13" s="488"/>
      <c r="Q13" s="488"/>
      <c r="R13" s="488"/>
      <c r="S13" s="488"/>
      <c r="T13" s="488"/>
      <c r="U13" s="488"/>
      <c r="V13" s="488"/>
      <c r="W13" s="509"/>
    </row>
    <row r="14" spans="1:23" ht="15" customHeight="1" x14ac:dyDescent="0.3">
      <c r="A14" s="18"/>
      <c r="B14" s="181" t="s">
        <v>78</v>
      </c>
      <c r="C14" s="181">
        <v>2</v>
      </c>
      <c r="D14" s="21"/>
      <c r="E14" s="21"/>
      <c r="F14" s="30" t="str">
        <v>Insert</v>
      </c>
      <c r="G14" s="30" t="str">
        <v>Me</v>
      </c>
      <c r="H14" s="21"/>
      <c r="I14" s="21"/>
      <c r="J14" s="21"/>
      <c r="K14" s="21"/>
      <c r="L14" s="20"/>
      <c r="N14" s="488" t="s">
        <v>1105</v>
      </c>
      <c r="O14" s="488"/>
      <c r="P14" s="488" t="s">
        <v>2635</v>
      </c>
      <c r="Q14" s="488"/>
      <c r="R14" s="488"/>
      <c r="S14" s="488"/>
      <c r="T14" s="488"/>
      <c r="U14" s="488"/>
      <c r="V14" s="488"/>
      <c r="W14" s="509" t="s">
        <v>325</v>
      </c>
    </row>
    <row r="15" spans="1:23" x14ac:dyDescent="0.3">
      <c r="A15" s="18"/>
      <c r="B15" s="181" t="s">
        <v>79</v>
      </c>
      <c r="C15" s="181">
        <v>3</v>
      </c>
      <c r="D15" s="21"/>
      <c r="E15" s="21"/>
      <c r="F15" s="30" t="str">
        <v>b</v>
      </c>
      <c r="G15" s="30">
        <v>2</v>
      </c>
      <c r="H15" s="21"/>
      <c r="I15" s="21"/>
      <c r="J15" s="21"/>
      <c r="K15" s="21"/>
      <c r="L15" s="20"/>
      <c r="N15" s="488"/>
      <c r="O15" s="488"/>
      <c r="P15" s="488"/>
      <c r="Q15" s="488"/>
      <c r="R15" s="488"/>
      <c r="S15" s="488"/>
      <c r="T15" s="488"/>
      <c r="U15" s="488"/>
      <c r="V15" s="488"/>
      <c r="W15" s="509"/>
    </row>
    <row r="16" spans="1:23" x14ac:dyDescent="0.3">
      <c r="A16" s="18"/>
      <c r="B16" s="117"/>
      <c r="C16" s="21"/>
      <c r="D16" s="21"/>
      <c r="E16" s="21"/>
      <c r="F16" s="30" t="str">
        <v>Insert</v>
      </c>
      <c r="G16" s="30" t="str">
        <v>Me</v>
      </c>
      <c r="H16" s="21"/>
      <c r="I16" s="21"/>
      <c r="J16" s="21"/>
      <c r="K16" s="21"/>
      <c r="L16" s="20"/>
      <c r="N16" s="488"/>
      <c r="O16" s="488"/>
      <c r="P16" s="488"/>
      <c r="Q16" s="488"/>
      <c r="R16" s="488"/>
      <c r="S16" s="488"/>
      <c r="T16" s="488"/>
      <c r="U16" s="488"/>
      <c r="V16" s="488"/>
      <c r="W16" s="509"/>
    </row>
    <row r="17" spans="1:23" x14ac:dyDescent="0.3">
      <c r="A17" s="18"/>
      <c r="B17" s="181" t="s">
        <v>1098</v>
      </c>
      <c r="C17" s="181" t="s">
        <v>1099</v>
      </c>
      <c r="D17" s="21"/>
      <c r="E17" s="21"/>
      <c r="F17" s="30" t="str">
        <v>c</v>
      </c>
      <c r="G17" s="30">
        <v>3</v>
      </c>
      <c r="H17" s="21"/>
      <c r="I17" s="21"/>
      <c r="J17" s="21"/>
      <c r="K17" s="21"/>
      <c r="L17" s="20"/>
      <c r="N17" s="484" t="s">
        <v>1108</v>
      </c>
      <c r="O17" s="484"/>
      <c r="P17" s="484" t="s">
        <v>1109</v>
      </c>
      <c r="Q17" s="484"/>
      <c r="R17" s="484"/>
      <c r="S17" s="484"/>
      <c r="T17" s="484"/>
      <c r="U17" s="484"/>
      <c r="V17" s="484"/>
      <c r="W17" s="485" t="s">
        <v>326</v>
      </c>
    </row>
    <row r="18" spans="1:23" x14ac:dyDescent="0.3">
      <c r="A18" s="18"/>
      <c r="B18" s="117"/>
      <c r="C18" s="21"/>
      <c r="D18" s="21"/>
      <c r="E18" s="21"/>
      <c r="F18" s="21"/>
      <c r="G18" s="21"/>
      <c r="H18" s="21"/>
      <c r="I18" s="21"/>
      <c r="J18" s="21"/>
      <c r="K18" s="21"/>
      <c r="L18" s="20"/>
      <c r="N18" s="484"/>
      <c r="O18" s="484"/>
      <c r="P18" s="484"/>
      <c r="Q18" s="484"/>
      <c r="R18" s="484"/>
      <c r="S18" s="484"/>
      <c r="T18" s="484"/>
      <c r="U18" s="484"/>
      <c r="V18" s="484"/>
      <c r="W18" s="485"/>
    </row>
    <row r="19" spans="1:23" x14ac:dyDescent="0.3">
      <c r="A19" s="18"/>
      <c r="B19" s="117"/>
      <c r="C19" s="21"/>
      <c r="D19" s="21"/>
      <c r="E19" s="21"/>
      <c r="F19" s="21"/>
      <c r="G19" s="21"/>
      <c r="H19" s="21"/>
      <c r="I19" s="21"/>
      <c r="J19" s="21"/>
      <c r="K19" s="21"/>
      <c r="L19" s="20"/>
      <c r="N19" s="484"/>
      <c r="O19" s="484"/>
      <c r="P19" s="484"/>
      <c r="Q19" s="484"/>
      <c r="R19" s="484"/>
      <c r="S19" s="484"/>
      <c r="T19" s="484"/>
      <c r="U19" s="484"/>
      <c r="V19" s="484"/>
      <c r="W19" s="485"/>
    </row>
    <row r="20" spans="1:23" x14ac:dyDescent="0.3">
      <c r="A20" s="18"/>
      <c r="B20" s="117"/>
      <c r="C20" s="21"/>
      <c r="D20" s="21"/>
      <c r="E20" s="21"/>
      <c r="F20" s="21"/>
      <c r="G20" s="21"/>
      <c r="H20" s="21"/>
      <c r="I20" s="21"/>
      <c r="J20" s="21"/>
      <c r="K20" s="21"/>
      <c r="L20" s="20"/>
      <c r="N20" s="484" t="s">
        <v>1110</v>
      </c>
      <c r="O20" s="484"/>
      <c r="P20" s="484" t="s">
        <v>1111</v>
      </c>
      <c r="Q20" s="484"/>
      <c r="R20" s="484"/>
      <c r="S20" s="484"/>
      <c r="T20" s="484"/>
      <c r="U20" s="484"/>
      <c r="V20" s="484"/>
      <c r="W20" s="485" t="s">
        <v>326</v>
      </c>
    </row>
    <row r="21" spans="1:23" x14ac:dyDescent="0.3">
      <c r="A21" s="18"/>
      <c r="B21" s="117"/>
      <c r="C21" s="21"/>
      <c r="D21" s="21"/>
      <c r="E21" s="21"/>
      <c r="F21" s="30" t="str">
        <f t="array" ref="F21:G24">_xll.U.VINSERT(B13:C15,B17:C17,0)</f>
        <v>Insert</v>
      </c>
      <c r="G21" s="30" t="str">
        <v>Me</v>
      </c>
      <c r="H21" s="21"/>
      <c r="I21" s="21"/>
      <c r="J21" s="21"/>
      <c r="K21" s="21"/>
      <c r="L21" s="20"/>
      <c r="N21" s="484"/>
      <c r="O21" s="484"/>
      <c r="P21" s="484"/>
      <c r="Q21" s="484"/>
      <c r="R21" s="484"/>
      <c r="S21" s="484"/>
      <c r="T21" s="484"/>
      <c r="U21" s="484"/>
      <c r="V21" s="484"/>
      <c r="W21" s="485"/>
    </row>
    <row r="22" spans="1:23" x14ac:dyDescent="0.3">
      <c r="A22" s="18"/>
      <c r="B22" s="117"/>
      <c r="C22" s="21"/>
      <c r="D22" s="21"/>
      <c r="E22" s="21"/>
      <c r="F22" s="30" t="str">
        <v>a</v>
      </c>
      <c r="G22" s="30">
        <v>1</v>
      </c>
      <c r="H22" s="21"/>
      <c r="I22" s="21"/>
      <c r="J22" s="21"/>
      <c r="K22" s="21"/>
      <c r="L22" s="20"/>
      <c r="N22" s="484"/>
      <c r="O22" s="484"/>
      <c r="P22" s="484"/>
      <c r="Q22" s="484"/>
      <c r="R22" s="484"/>
      <c r="S22" s="484"/>
      <c r="T22" s="484"/>
      <c r="U22" s="484"/>
      <c r="V22" s="484"/>
      <c r="W22" s="485"/>
    </row>
    <row r="23" spans="1:23" x14ac:dyDescent="0.3">
      <c r="A23" s="18"/>
      <c r="B23" s="117"/>
      <c r="C23" s="21"/>
      <c r="D23" s="21"/>
      <c r="E23" s="21"/>
      <c r="F23" s="30" t="str">
        <v>b</v>
      </c>
      <c r="G23" s="30">
        <v>2</v>
      </c>
      <c r="H23" s="21"/>
      <c r="I23" s="21"/>
      <c r="J23" s="21"/>
      <c r="K23" s="21"/>
      <c r="L23" s="20"/>
      <c r="N23" s="484" t="s">
        <v>1112</v>
      </c>
      <c r="O23" s="484"/>
      <c r="P23" s="484" t="s">
        <v>1113</v>
      </c>
      <c r="Q23" s="484"/>
      <c r="R23" s="484"/>
      <c r="S23" s="484"/>
      <c r="T23" s="484"/>
      <c r="U23" s="484"/>
      <c r="V23" s="484"/>
      <c r="W23" s="485" t="s">
        <v>326</v>
      </c>
    </row>
    <row r="24" spans="1:23" x14ac:dyDescent="0.3">
      <c r="A24" s="18"/>
      <c r="B24" s="117"/>
      <c r="C24" s="21"/>
      <c r="D24" s="21"/>
      <c r="E24" s="21"/>
      <c r="F24" s="30" t="str">
        <v>c</v>
      </c>
      <c r="G24" s="30">
        <v>3</v>
      </c>
      <c r="H24" s="21"/>
      <c r="I24" s="21"/>
      <c r="J24" s="21"/>
      <c r="K24" s="21"/>
      <c r="L24" s="20"/>
      <c r="N24" s="484"/>
      <c r="O24" s="484"/>
      <c r="P24" s="484"/>
      <c r="Q24" s="484"/>
      <c r="R24" s="484"/>
      <c r="S24" s="484"/>
      <c r="T24" s="484"/>
      <c r="U24" s="484"/>
      <c r="V24" s="484"/>
      <c r="W24" s="485"/>
    </row>
    <row r="25" spans="1:23" x14ac:dyDescent="0.3">
      <c r="A25" s="18"/>
      <c r="B25" s="117"/>
      <c r="C25" s="21"/>
      <c r="D25" s="21"/>
      <c r="E25" s="21"/>
      <c r="F25" s="21"/>
      <c r="G25" s="21"/>
      <c r="H25" s="21"/>
      <c r="I25" s="21"/>
      <c r="J25" s="21"/>
      <c r="K25" s="21"/>
      <c r="L25" s="20"/>
      <c r="N25" s="484"/>
      <c r="O25" s="484"/>
      <c r="P25" s="484"/>
      <c r="Q25" s="484"/>
      <c r="R25" s="484"/>
      <c r="S25" s="484"/>
      <c r="T25" s="484"/>
      <c r="U25" s="484"/>
      <c r="V25" s="484"/>
      <c r="W25" s="485"/>
    </row>
    <row r="26" spans="1:23" x14ac:dyDescent="0.3">
      <c r="A26" s="18"/>
      <c r="B26" s="117"/>
      <c r="C26" s="117"/>
      <c r="D26" s="117"/>
      <c r="E26" s="117"/>
      <c r="F26" s="21"/>
      <c r="G26" s="21"/>
      <c r="H26" s="21"/>
      <c r="I26" s="117"/>
      <c r="J26" s="21"/>
      <c r="K26" s="21"/>
      <c r="L26" s="20"/>
      <c r="N26" s="126" t="s">
        <v>328</v>
      </c>
    </row>
    <row r="27" spans="1:23" x14ac:dyDescent="0.3">
      <c r="A27" s="18"/>
      <c r="B27" s="117"/>
      <c r="C27" s="117"/>
      <c r="D27" s="117"/>
      <c r="E27" s="117"/>
      <c r="F27" s="30" t="str">
        <f t="array" ref="F27:G32">_xll.U.VINSERT(B13:C15,B17:C17,{0,1},3)</f>
        <v>Insert</v>
      </c>
      <c r="G27" s="30" t="str">
        <v>Me</v>
      </c>
      <c r="H27" s="21"/>
      <c r="I27" s="117"/>
      <c r="J27" s="21"/>
      <c r="K27" s="21"/>
      <c r="L27" s="20"/>
    </row>
    <row r="28" spans="1:23" x14ac:dyDescent="0.3">
      <c r="A28" s="18"/>
      <c r="B28" s="117"/>
      <c r="C28" s="117"/>
      <c r="D28" s="117"/>
      <c r="E28" s="117"/>
      <c r="F28" s="30" t="str">
        <v>a</v>
      </c>
      <c r="G28" s="30">
        <v>1</v>
      </c>
      <c r="H28" s="21"/>
      <c r="I28" s="117"/>
      <c r="J28" s="21"/>
      <c r="K28" s="21"/>
      <c r="L28" s="20"/>
    </row>
    <row r="29" spans="1:23" x14ac:dyDescent="0.3">
      <c r="A29" s="18"/>
      <c r="B29" s="117"/>
      <c r="C29" s="117"/>
      <c r="D29" s="117"/>
      <c r="E29" s="117"/>
      <c r="F29" s="30" t="str">
        <v>Insert</v>
      </c>
      <c r="G29" s="30" t="str">
        <v>Me</v>
      </c>
      <c r="H29" s="21"/>
      <c r="I29" s="117"/>
      <c r="J29" s="21"/>
      <c r="K29" s="21"/>
      <c r="L29" s="20"/>
    </row>
    <row r="30" spans="1:23" x14ac:dyDescent="0.3">
      <c r="A30" s="18"/>
      <c r="B30" s="117"/>
      <c r="C30" s="117"/>
      <c r="D30" s="117"/>
      <c r="E30" s="117"/>
      <c r="F30" s="30" t="str">
        <v>b</v>
      </c>
      <c r="G30" s="30">
        <v>2</v>
      </c>
      <c r="H30" s="21"/>
      <c r="I30" s="117"/>
      <c r="J30" s="21"/>
      <c r="K30" s="21"/>
      <c r="L30" s="20"/>
    </row>
    <row r="31" spans="1:23" x14ac:dyDescent="0.3">
      <c r="A31" s="18"/>
      <c r="B31" s="117"/>
      <c r="C31" s="117"/>
      <c r="D31" s="117"/>
      <c r="E31" s="117"/>
      <c r="F31" s="30" t="str">
        <v>Insert</v>
      </c>
      <c r="G31" s="30" t="str">
        <v>Me</v>
      </c>
      <c r="H31" s="21"/>
      <c r="I31" s="117"/>
      <c r="J31" s="21"/>
      <c r="K31" s="21"/>
      <c r="L31" s="20"/>
    </row>
    <row r="32" spans="1:23" x14ac:dyDescent="0.3">
      <c r="A32" s="18"/>
      <c r="B32" s="117"/>
      <c r="C32" s="117"/>
      <c r="D32" s="117"/>
      <c r="E32" s="117"/>
      <c r="F32" s="30" t="str">
        <v>c</v>
      </c>
      <c r="G32" s="30">
        <v>3</v>
      </c>
      <c r="H32" s="21"/>
      <c r="I32" s="117"/>
      <c r="J32" s="21"/>
      <c r="K32" s="21"/>
      <c r="L32" s="20"/>
    </row>
    <row r="33" spans="1:12" x14ac:dyDescent="0.3">
      <c r="A33" s="18"/>
      <c r="B33" s="117"/>
      <c r="C33" s="117"/>
      <c r="D33" s="117"/>
      <c r="E33" s="117"/>
      <c r="F33" s="21"/>
      <c r="G33" s="21"/>
      <c r="H33" s="21"/>
      <c r="I33" s="117"/>
      <c r="J33" s="21"/>
      <c r="K33" s="21"/>
      <c r="L33" s="20"/>
    </row>
    <row r="34" spans="1:12" x14ac:dyDescent="0.3">
      <c r="A34" s="18"/>
      <c r="B34" s="117"/>
      <c r="C34" s="117"/>
      <c r="D34" s="117"/>
      <c r="E34" s="117"/>
      <c r="F34" s="21"/>
      <c r="G34" s="21"/>
      <c r="H34" s="21"/>
      <c r="I34" s="117"/>
      <c r="J34" s="21"/>
      <c r="K34" s="21"/>
      <c r="L34" s="20"/>
    </row>
    <row r="35" spans="1:12" x14ac:dyDescent="0.3">
      <c r="A35" s="18"/>
      <c r="B35" s="117"/>
      <c r="C35" s="117"/>
      <c r="D35" s="117"/>
      <c r="E35" s="117"/>
      <c r="F35" s="30" t="str">
        <f t="array" ref="F35:G40">_xll.U.VINSERT(B13:C15,B17:C17,"1,2")</f>
        <v>a</v>
      </c>
      <c r="G35" s="30">
        <v>1</v>
      </c>
      <c r="H35" s="21"/>
      <c r="I35" s="117"/>
      <c r="J35" s="21"/>
      <c r="K35" s="21"/>
      <c r="L35" s="20"/>
    </row>
    <row r="36" spans="1:12" x14ac:dyDescent="0.3">
      <c r="A36" s="18"/>
      <c r="B36" s="117"/>
      <c r="C36" s="117"/>
      <c r="D36" s="117"/>
      <c r="E36" s="117"/>
      <c r="F36" s="30" t="str">
        <v>Insert</v>
      </c>
      <c r="G36" s="30" t="str">
        <v>Me</v>
      </c>
      <c r="H36" s="21"/>
      <c r="I36" s="117"/>
      <c r="J36" s="21"/>
      <c r="K36" s="21"/>
      <c r="L36" s="20"/>
    </row>
    <row r="37" spans="1:12" x14ac:dyDescent="0.3">
      <c r="A37" s="18"/>
      <c r="B37" s="117"/>
      <c r="C37" s="117"/>
      <c r="D37" s="117"/>
      <c r="E37" s="117"/>
      <c r="F37" s="30" t="str">
        <v>b</v>
      </c>
      <c r="G37" s="30">
        <v>2</v>
      </c>
      <c r="H37" s="21"/>
      <c r="I37" s="117"/>
      <c r="J37" s="21"/>
      <c r="K37" s="21"/>
      <c r="L37" s="20"/>
    </row>
    <row r="38" spans="1:12" x14ac:dyDescent="0.3">
      <c r="A38" s="18"/>
      <c r="B38" s="117"/>
      <c r="C38" s="117"/>
      <c r="D38" s="117"/>
      <c r="E38" s="117"/>
      <c r="F38" s="30" t="str">
        <v>c</v>
      </c>
      <c r="G38" s="30">
        <v>3</v>
      </c>
      <c r="H38" s="21"/>
      <c r="I38" s="117"/>
      <c r="J38" s="21"/>
      <c r="K38" s="21"/>
      <c r="L38" s="20"/>
    </row>
    <row r="39" spans="1:12" x14ac:dyDescent="0.3">
      <c r="A39" s="18"/>
      <c r="B39" s="117"/>
      <c r="C39" s="117"/>
      <c r="D39" s="117"/>
      <c r="E39" s="117"/>
      <c r="F39" s="30" t="str">
        <v>Insert</v>
      </c>
      <c r="G39" s="30" t="str">
        <v>Me</v>
      </c>
      <c r="H39" s="21"/>
      <c r="I39" s="117"/>
      <c r="J39" s="21"/>
      <c r="K39" s="21"/>
      <c r="L39" s="20"/>
    </row>
    <row r="40" spans="1:12" x14ac:dyDescent="0.3">
      <c r="A40" s="18"/>
      <c r="B40" s="117"/>
      <c r="C40" s="117"/>
      <c r="D40" s="117"/>
      <c r="E40" s="117"/>
      <c r="F40" s="30" t="e">
        <v>#N/A</v>
      </c>
      <c r="G40" s="30" t="e">
        <v>#N/A</v>
      </c>
      <c r="H40" s="21"/>
      <c r="I40" s="117"/>
      <c r="J40" s="21"/>
      <c r="K40" s="21"/>
      <c r="L40" s="20"/>
    </row>
    <row r="41" spans="1:12" x14ac:dyDescent="0.3">
      <c r="A41" s="18"/>
      <c r="B41" s="117"/>
      <c r="C41" s="117"/>
      <c r="D41" s="117"/>
      <c r="E41" s="117"/>
      <c r="F41" s="21"/>
      <c r="G41" s="21"/>
      <c r="H41" s="21"/>
      <c r="I41" s="117"/>
      <c r="J41" s="21"/>
      <c r="K41" s="21"/>
      <c r="L41" s="20"/>
    </row>
    <row r="42" spans="1:12" x14ac:dyDescent="0.3">
      <c r="A42" s="18"/>
      <c r="B42" s="117"/>
      <c r="C42" s="117"/>
      <c r="D42" s="117"/>
      <c r="E42" s="117"/>
      <c r="F42" s="21"/>
      <c r="G42" s="21"/>
      <c r="H42" s="21"/>
      <c r="I42" s="117"/>
      <c r="J42" s="21"/>
      <c r="K42" s="21"/>
      <c r="L42" s="20"/>
    </row>
    <row r="43" spans="1:12" x14ac:dyDescent="0.3">
      <c r="A43" s="18"/>
      <c r="B43" s="117"/>
      <c r="C43" s="117"/>
      <c r="D43" s="117"/>
      <c r="E43" s="117"/>
      <c r="F43" s="30" t="str">
        <f t="array" ref="F43:G48">_xll.U.VINSERT(B13:C15,B17:C17,"1,2,abs()")</f>
        <v>a</v>
      </c>
      <c r="G43" s="30">
        <v>1</v>
      </c>
      <c r="H43" s="21"/>
      <c r="I43" s="117"/>
      <c r="J43" s="21"/>
      <c r="K43" s="21"/>
      <c r="L43" s="20"/>
    </row>
    <row r="44" spans="1:12" x14ac:dyDescent="0.3">
      <c r="A44" s="18"/>
      <c r="B44" s="117"/>
      <c r="C44" s="117"/>
      <c r="D44" s="117"/>
      <c r="E44" s="117"/>
      <c r="F44" s="30" t="str">
        <v>Insert</v>
      </c>
      <c r="G44" s="30" t="str">
        <v>Me</v>
      </c>
      <c r="H44" s="21"/>
      <c r="I44" s="117"/>
      <c r="J44" s="21"/>
      <c r="K44" s="21"/>
      <c r="L44" s="20"/>
    </row>
    <row r="45" spans="1:12" x14ac:dyDescent="0.3">
      <c r="A45" s="18"/>
      <c r="B45" s="117"/>
      <c r="C45" s="117"/>
      <c r="D45" s="117"/>
      <c r="E45" s="117"/>
      <c r="F45" s="30" t="str">
        <v>b</v>
      </c>
      <c r="G45" s="30">
        <v>2</v>
      </c>
      <c r="H45" s="21"/>
      <c r="I45" s="117"/>
      <c r="J45" s="21"/>
      <c r="K45" s="21"/>
      <c r="L45" s="20"/>
    </row>
    <row r="46" spans="1:12" x14ac:dyDescent="0.3">
      <c r="A46" s="18"/>
      <c r="B46" s="117"/>
      <c r="C46" s="117"/>
      <c r="D46" s="117"/>
      <c r="E46" s="117"/>
      <c r="F46" s="30" t="str">
        <v>Insert</v>
      </c>
      <c r="G46" s="30" t="str">
        <v>Me</v>
      </c>
      <c r="H46" s="21"/>
      <c r="I46" s="117"/>
      <c r="J46" s="21"/>
      <c r="K46" s="21"/>
      <c r="L46" s="20"/>
    </row>
    <row r="47" spans="1:12" x14ac:dyDescent="0.3">
      <c r="A47" s="18"/>
      <c r="B47" s="117"/>
      <c r="C47" s="117"/>
      <c r="D47" s="117"/>
      <c r="E47" s="117"/>
      <c r="F47" s="30" t="str">
        <v>c</v>
      </c>
      <c r="G47" s="30">
        <v>3</v>
      </c>
      <c r="H47" s="21"/>
      <c r="I47" s="117"/>
      <c r="J47" s="21"/>
      <c r="K47" s="21"/>
      <c r="L47" s="20"/>
    </row>
    <row r="48" spans="1:12" x14ac:dyDescent="0.3">
      <c r="A48" s="18"/>
      <c r="B48" s="117"/>
      <c r="C48" s="117"/>
      <c r="D48" s="117"/>
      <c r="E48" s="117"/>
      <c r="F48" s="30" t="e">
        <v>#N/A</v>
      </c>
      <c r="G48" s="30" t="e">
        <v>#N/A</v>
      </c>
      <c r="H48" s="21"/>
      <c r="I48" s="117"/>
      <c r="J48" s="21"/>
      <c r="K48" s="21"/>
      <c r="L48" s="20"/>
    </row>
    <row r="49" spans="1:12" x14ac:dyDescent="0.3">
      <c r="A49" s="18"/>
      <c r="B49" s="117"/>
      <c r="C49" s="117"/>
      <c r="D49" s="117"/>
      <c r="E49" s="117"/>
      <c r="F49" s="21"/>
      <c r="G49" s="21"/>
      <c r="H49" s="21"/>
      <c r="I49" s="117"/>
      <c r="J49" s="21"/>
      <c r="K49" s="21"/>
      <c r="L49" s="20"/>
    </row>
    <row r="50" spans="1:12" x14ac:dyDescent="0.3">
      <c r="A50" s="18"/>
      <c r="B50" s="117"/>
      <c r="C50" s="117"/>
      <c r="D50" s="117"/>
      <c r="E50" s="117"/>
      <c r="F50" s="21"/>
      <c r="G50" s="21"/>
      <c r="H50" s="21"/>
      <c r="I50" s="117"/>
      <c r="J50" s="21"/>
      <c r="K50" s="21"/>
      <c r="L50" s="20"/>
    </row>
    <row r="51" spans="1:12" x14ac:dyDescent="0.3">
      <c r="A51" s="18"/>
      <c r="B51" s="117"/>
      <c r="C51" s="117"/>
      <c r="D51" s="117"/>
      <c r="E51" s="117"/>
      <c r="F51" s="30" t="str">
        <f t="array" ref="F51:G54">_xll.U.VINSERT(B13:C15,B17:C17,-3)</f>
        <v>a</v>
      </c>
      <c r="G51" s="30">
        <v>1</v>
      </c>
      <c r="H51" s="21"/>
      <c r="I51" s="117"/>
      <c r="J51" s="21"/>
      <c r="K51" s="21"/>
      <c r="L51" s="20"/>
    </row>
    <row r="52" spans="1:12" x14ac:dyDescent="0.3">
      <c r="A52" s="18"/>
      <c r="B52" s="117"/>
      <c r="C52" s="117"/>
      <c r="D52" s="117"/>
      <c r="E52" s="117"/>
      <c r="F52" s="30" t="str">
        <v>Insert</v>
      </c>
      <c r="G52" s="30" t="str">
        <v>Me</v>
      </c>
      <c r="H52" s="21"/>
      <c r="I52" s="117"/>
      <c r="J52" s="21"/>
      <c r="K52" s="21"/>
      <c r="L52" s="20"/>
    </row>
    <row r="53" spans="1:12" x14ac:dyDescent="0.3">
      <c r="A53" s="18"/>
      <c r="B53" s="117"/>
      <c r="C53" s="117"/>
      <c r="D53" s="117"/>
      <c r="E53" s="117"/>
      <c r="F53" s="30" t="str">
        <v>b</v>
      </c>
      <c r="G53" s="30">
        <v>2</v>
      </c>
      <c r="H53" s="21"/>
      <c r="I53" s="117"/>
      <c r="J53" s="21"/>
      <c r="K53" s="21"/>
      <c r="L53" s="20"/>
    </row>
    <row r="54" spans="1:12" x14ac:dyDescent="0.3">
      <c r="A54" s="18"/>
      <c r="B54" s="117"/>
      <c r="C54" s="117"/>
      <c r="D54" s="117"/>
      <c r="E54" s="117"/>
      <c r="F54" s="30" t="str">
        <v>c</v>
      </c>
      <c r="G54" s="30">
        <v>3</v>
      </c>
      <c r="H54" s="21"/>
      <c r="I54" s="117"/>
      <c r="J54" s="21"/>
      <c r="K54" s="21"/>
      <c r="L54" s="20"/>
    </row>
    <row r="55" spans="1:12" x14ac:dyDescent="0.3">
      <c r="A55" s="18"/>
      <c r="B55" s="117"/>
      <c r="C55" s="117"/>
      <c r="D55" s="117"/>
      <c r="E55" s="117"/>
      <c r="F55" s="117"/>
      <c r="G55" s="117"/>
      <c r="H55" s="21"/>
      <c r="I55" s="117"/>
      <c r="J55" s="21"/>
      <c r="K55" s="21"/>
      <c r="L55" s="20"/>
    </row>
    <row r="56" spans="1:12" x14ac:dyDescent="0.3">
      <c r="A56" s="18"/>
      <c r="B56" s="117"/>
      <c r="C56" s="117"/>
      <c r="D56" s="117"/>
      <c r="E56" s="117"/>
      <c r="F56" s="21"/>
      <c r="G56" s="21"/>
      <c r="H56" s="21"/>
      <c r="I56" s="117"/>
      <c r="J56" s="21"/>
      <c r="K56" s="21"/>
      <c r="L56" s="20"/>
    </row>
    <row r="57" spans="1:12" x14ac:dyDescent="0.3">
      <c r="A57" s="18"/>
      <c r="B57" s="181" t="s">
        <v>77</v>
      </c>
      <c r="C57" s="181">
        <v>1</v>
      </c>
      <c r="D57" s="117"/>
      <c r="E57" s="117"/>
      <c r="F57" s="30" t="str">
        <f t="array" ref="F57:G65">_xll.U.VINSERT(B57:C62,B64:C66,2,TRUE,1)</f>
        <v>a</v>
      </c>
      <c r="G57" s="30">
        <v>1</v>
      </c>
      <c r="H57" s="21"/>
      <c r="I57" s="117"/>
      <c r="J57" s="21"/>
      <c r="K57" s="21"/>
      <c r="L57" s="20"/>
    </row>
    <row r="58" spans="1:12" x14ac:dyDescent="0.3">
      <c r="A58" s="18"/>
      <c r="B58" s="181" t="s">
        <v>77</v>
      </c>
      <c r="C58" s="181">
        <v>2</v>
      </c>
      <c r="D58" s="117"/>
      <c r="E58" s="117"/>
      <c r="F58" s="30" t="str">
        <v>a</v>
      </c>
      <c r="G58" s="30">
        <v>2</v>
      </c>
      <c r="H58" s="21"/>
      <c r="I58" s="117"/>
      <c r="J58" s="21"/>
      <c r="K58" s="21"/>
      <c r="L58" s="20"/>
    </row>
    <row r="59" spans="1:12" x14ac:dyDescent="0.3">
      <c r="A59" s="18"/>
      <c r="B59" s="181" t="s">
        <v>78</v>
      </c>
      <c r="C59" s="181">
        <v>3</v>
      </c>
      <c r="D59" s="117"/>
      <c r="E59" s="117"/>
      <c r="F59" s="30" t="str">
        <v>Total A</v>
      </c>
      <c r="G59" s="30">
        <v>3</v>
      </c>
      <c r="H59" s="21"/>
      <c r="I59" s="117"/>
      <c r="J59" s="21"/>
      <c r="K59" s="21"/>
      <c r="L59" s="20"/>
    </row>
    <row r="60" spans="1:12" x14ac:dyDescent="0.3">
      <c r="A60" s="18"/>
      <c r="B60" s="181" t="s">
        <v>78</v>
      </c>
      <c r="C60" s="181">
        <v>4</v>
      </c>
      <c r="D60" s="117"/>
      <c r="E60" s="117"/>
      <c r="F60" s="30" t="str">
        <v>b</v>
      </c>
      <c r="G60" s="30">
        <v>3</v>
      </c>
      <c r="H60" s="21"/>
      <c r="I60" s="117"/>
      <c r="J60" s="21"/>
      <c r="K60" s="21"/>
      <c r="L60" s="20"/>
    </row>
    <row r="61" spans="1:12" x14ac:dyDescent="0.3">
      <c r="A61" s="18"/>
      <c r="B61" s="181" t="s">
        <v>79</v>
      </c>
      <c r="C61" s="181">
        <v>5</v>
      </c>
      <c r="D61" s="117"/>
      <c r="E61" s="117"/>
      <c r="F61" s="30" t="str">
        <v>b</v>
      </c>
      <c r="G61" s="30">
        <v>4</v>
      </c>
      <c r="H61" s="21"/>
      <c r="I61" s="117"/>
      <c r="J61" s="21"/>
      <c r="K61" s="21"/>
      <c r="L61" s="20"/>
    </row>
    <row r="62" spans="1:12" x14ac:dyDescent="0.3">
      <c r="A62" s="18"/>
      <c r="B62" s="181" t="s">
        <v>79</v>
      </c>
      <c r="C62" s="181">
        <v>6</v>
      </c>
      <c r="D62" s="117"/>
      <c r="E62" s="117"/>
      <c r="F62" s="30" t="str">
        <v>Total B</v>
      </c>
      <c r="G62" s="30">
        <v>7</v>
      </c>
      <c r="H62" s="21"/>
      <c r="I62" s="117"/>
      <c r="J62" s="21"/>
      <c r="K62" s="21"/>
      <c r="L62" s="20"/>
    </row>
    <row r="63" spans="1:12" x14ac:dyDescent="0.3">
      <c r="A63" s="18"/>
      <c r="B63" s="117"/>
      <c r="C63" s="117"/>
      <c r="D63" s="117"/>
      <c r="E63" s="117"/>
      <c r="F63" s="30" t="str">
        <v>c</v>
      </c>
      <c r="G63" s="30">
        <v>5</v>
      </c>
      <c r="H63" s="21"/>
      <c r="I63" s="117"/>
      <c r="J63" s="21"/>
      <c r="K63" s="21"/>
      <c r="L63" s="20"/>
    </row>
    <row r="64" spans="1:12" x14ac:dyDescent="0.3">
      <c r="A64" s="18"/>
      <c r="B64" s="181" t="str">
        <f t="array" ref="B64:C66">_xll.U.REPLACE(_xll.U.VAGGREGATE(B57:C62),"**","insert(total {0}),proper()")</f>
        <v>Total A</v>
      </c>
      <c r="C64" s="181">
        <v>3</v>
      </c>
      <c r="D64" s="117"/>
      <c r="E64" s="117"/>
      <c r="F64" s="30" t="str">
        <v>c</v>
      </c>
      <c r="G64" s="30">
        <v>6</v>
      </c>
      <c r="H64" s="21"/>
      <c r="I64" s="117"/>
      <c r="J64" s="21"/>
      <c r="K64" s="21"/>
      <c r="L64" s="20"/>
    </row>
    <row r="65" spans="1:12" x14ac:dyDescent="0.3">
      <c r="A65" s="18"/>
      <c r="B65" s="181" t="str">
        <v>Total B</v>
      </c>
      <c r="C65" s="181">
        <v>7</v>
      </c>
      <c r="D65" s="117"/>
      <c r="E65" s="117"/>
      <c r="F65" s="30" t="str">
        <v>Total C</v>
      </c>
      <c r="G65" s="30">
        <v>11</v>
      </c>
      <c r="H65" s="21"/>
      <c r="I65" s="117"/>
      <c r="J65" s="21"/>
      <c r="K65" s="21"/>
      <c r="L65" s="20"/>
    </row>
    <row r="66" spans="1:12" x14ac:dyDescent="0.3">
      <c r="A66" s="18"/>
      <c r="B66" s="181" t="str">
        <v>Total C</v>
      </c>
      <c r="C66" s="181">
        <v>11</v>
      </c>
      <c r="D66" s="117"/>
      <c r="E66" s="117"/>
      <c r="F66" s="21"/>
      <c r="G66" s="21"/>
      <c r="H66" s="21"/>
      <c r="I66" s="117"/>
      <c r="J66" s="21"/>
      <c r="K66" s="21"/>
      <c r="L66" s="20"/>
    </row>
    <row r="67" spans="1:12" x14ac:dyDescent="0.3">
      <c r="A67" s="18"/>
      <c r="B67" s="117"/>
      <c r="C67" s="117"/>
      <c r="D67" s="117"/>
      <c r="E67" s="117"/>
      <c r="F67" s="30" t="str">
        <f t="array" ref="F67:G75">_xll.U.VINSERT(B57:C62,B64:C66,2,TRUE,"2,1")</f>
        <v>a</v>
      </c>
      <c r="G67" s="30">
        <v>1</v>
      </c>
      <c r="H67" s="21"/>
      <c r="I67" s="117"/>
      <c r="J67" s="21"/>
      <c r="K67" s="21"/>
      <c r="L67" s="20"/>
    </row>
    <row r="68" spans="1:12" x14ac:dyDescent="0.3">
      <c r="A68" s="18"/>
      <c r="B68" s="117"/>
      <c r="C68" s="117"/>
      <c r="D68" s="117"/>
      <c r="E68" s="117"/>
      <c r="F68" s="30" t="str">
        <v>a</v>
      </c>
      <c r="G68" s="30">
        <v>2</v>
      </c>
      <c r="H68" s="21"/>
      <c r="I68" s="117"/>
      <c r="J68" s="21"/>
      <c r="K68" s="21"/>
      <c r="L68" s="20"/>
    </row>
    <row r="69" spans="1:12" x14ac:dyDescent="0.3">
      <c r="A69" s="18"/>
      <c r="B69" s="117"/>
      <c r="C69" s="117"/>
      <c r="D69" s="117"/>
      <c r="E69" s="117"/>
      <c r="F69" s="30" t="str">
        <v>Total A</v>
      </c>
      <c r="G69" s="30">
        <v>3</v>
      </c>
      <c r="H69" s="21"/>
      <c r="I69" s="117"/>
      <c r="J69" s="21"/>
      <c r="K69" s="21"/>
      <c r="L69" s="20"/>
    </row>
    <row r="70" spans="1:12" x14ac:dyDescent="0.3">
      <c r="A70" s="18"/>
      <c r="B70" s="117"/>
      <c r="C70" s="117"/>
      <c r="D70" s="117"/>
      <c r="E70" s="117"/>
      <c r="F70" s="30" t="str">
        <v>Total B</v>
      </c>
      <c r="G70" s="30">
        <v>7</v>
      </c>
      <c r="H70" s="21"/>
      <c r="I70" s="117"/>
      <c r="J70" s="21"/>
      <c r="K70" s="21"/>
      <c r="L70" s="20"/>
    </row>
    <row r="71" spans="1:12" x14ac:dyDescent="0.3">
      <c r="A71" s="18"/>
      <c r="B71" s="117"/>
      <c r="C71" s="117"/>
      <c r="D71" s="117"/>
      <c r="E71" s="117"/>
      <c r="F71" s="30" t="str">
        <v>b</v>
      </c>
      <c r="G71" s="30">
        <v>3</v>
      </c>
      <c r="H71" s="21"/>
      <c r="I71" s="117"/>
      <c r="J71" s="21"/>
      <c r="K71" s="21"/>
      <c r="L71" s="20"/>
    </row>
    <row r="72" spans="1:12" x14ac:dyDescent="0.3">
      <c r="A72" s="18"/>
      <c r="B72" s="117"/>
      <c r="C72" s="117"/>
      <c r="D72" s="117"/>
      <c r="E72" s="117"/>
      <c r="F72" s="30" t="str">
        <v>b</v>
      </c>
      <c r="G72" s="30">
        <v>4</v>
      </c>
      <c r="H72" s="21"/>
      <c r="I72" s="117"/>
      <c r="J72" s="21"/>
      <c r="K72" s="21"/>
      <c r="L72" s="20"/>
    </row>
    <row r="73" spans="1:12" x14ac:dyDescent="0.3">
      <c r="A73" s="18"/>
      <c r="B73" s="117"/>
      <c r="C73" s="117"/>
      <c r="D73" s="117"/>
      <c r="E73" s="117"/>
      <c r="F73" s="30" t="str">
        <v>Total C</v>
      </c>
      <c r="G73" s="30">
        <v>11</v>
      </c>
      <c r="H73" s="21"/>
      <c r="I73" s="117"/>
      <c r="J73" s="21"/>
      <c r="K73" s="21"/>
      <c r="L73" s="20"/>
    </row>
    <row r="74" spans="1:12" x14ac:dyDescent="0.3">
      <c r="A74" s="18"/>
      <c r="B74" s="117"/>
      <c r="C74" s="117"/>
      <c r="D74" s="117"/>
      <c r="E74" s="117"/>
      <c r="F74" s="30" t="str">
        <v>c</v>
      </c>
      <c r="G74" s="30">
        <v>5</v>
      </c>
      <c r="H74" s="21"/>
      <c r="I74" s="117"/>
      <c r="J74" s="21"/>
      <c r="K74" s="21"/>
      <c r="L74" s="20"/>
    </row>
    <row r="75" spans="1:12" x14ac:dyDescent="0.3">
      <c r="A75" s="18"/>
      <c r="B75" s="117"/>
      <c r="C75" s="117"/>
      <c r="D75" s="117"/>
      <c r="E75" s="117"/>
      <c r="F75" s="30" t="str">
        <v>c</v>
      </c>
      <c r="G75" s="30">
        <v>6</v>
      </c>
      <c r="H75" s="21"/>
      <c r="I75" s="117"/>
      <c r="J75" s="21"/>
      <c r="K75" s="21"/>
      <c r="L75" s="20"/>
    </row>
    <row r="76" spans="1:12" x14ac:dyDescent="0.3">
      <c r="A76" s="18"/>
      <c r="B76" s="117"/>
      <c r="C76" s="117"/>
      <c r="D76" s="117"/>
      <c r="E76" s="117"/>
      <c r="F76" s="21"/>
      <c r="G76" s="21"/>
      <c r="H76" s="21"/>
      <c r="I76" s="117"/>
      <c r="J76" s="21"/>
      <c r="K76" s="21"/>
      <c r="L76" s="20"/>
    </row>
    <row r="77" spans="1:12" x14ac:dyDescent="0.3">
      <c r="A77" s="18"/>
      <c r="B77" s="117"/>
      <c r="C77" s="117"/>
      <c r="D77" s="117"/>
      <c r="E77" s="117"/>
      <c r="F77" s="30" t="str">
        <f t="array" ref="F77:G85">_xll.U.VINSERT(B57:C62,B64:C66,"change(1)",TRUE,1)</f>
        <v>a</v>
      </c>
      <c r="G77" s="30">
        <v>1</v>
      </c>
      <c r="H77" s="21"/>
      <c r="I77" s="117"/>
      <c r="J77" s="21"/>
      <c r="K77" s="21"/>
      <c r="L77" s="20"/>
    </row>
    <row r="78" spans="1:12" x14ac:dyDescent="0.3">
      <c r="A78" s="18"/>
      <c r="B78" s="117"/>
      <c r="C78" s="117"/>
      <c r="D78" s="117"/>
      <c r="E78" s="117"/>
      <c r="F78" s="30" t="str">
        <v>a</v>
      </c>
      <c r="G78" s="30">
        <v>2</v>
      </c>
      <c r="H78" s="21"/>
      <c r="I78" s="117"/>
      <c r="J78" s="21"/>
      <c r="K78" s="21"/>
      <c r="L78" s="20"/>
    </row>
    <row r="79" spans="1:12" x14ac:dyDescent="0.3">
      <c r="A79" s="18"/>
      <c r="B79" s="117"/>
      <c r="C79" s="117"/>
      <c r="D79" s="117"/>
      <c r="E79" s="117"/>
      <c r="F79" s="30" t="str">
        <v>Total A</v>
      </c>
      <c r="G79" s="30">
        <v>3</v>
      </c>
      <c r="H79" s="21"/>
      <c r="I79" s="117"/>
      <c r="J79" s="21"/>
      <c r="K79" s="21"/>
      <c r="L79" s="20"/>
    </row>
    <row r="80" spans="1:12" x14ac:dyDescent="0.3">
      <c r="A80" s="18"/>
      <c r="B80" s="117"/>
      <c r="C80" s="117"/>
      <c r="D80" s="117"/>
      <c r="E80" s="117"/>
      <c r="F80" s="30" t="str">
        <v>b</v>
      </c>
      <c r="G80" s="30">
        <v>3</v>
      </c>
      <c r="H80" s="21"/>
      <c r="I80" s="117"/>
      <c r="J80" s="21"/>
      <c r="K80" s="21"/>
      <c r="L80" s="20"/>
    </row>
    <row r="81" spans="1:12" x14ac:dyDescent="0.3">
      <c r="A81" s="18"/>
      <c r="B81" s="117"/>
      <c r="C81" s="117"/>
      <c r="D81" s="117"/>
      <c r="E81" s="117"/>
      <c r="F81" s="30" t="str">
        <v>b</v>
      </c>
      <c r="G81" s="30">
        <v>4</v>
      </c>
      <c r="H81" s="21"/>
      <c r="I81" s="117"/>
      <c r="J81" s="21"/>
      <c r="K81" s="21"/>
      <c r="L81" s="20"/>
    </row>
    <row r="82" spans="1:12" x14ac:dyDescent="0.3">
      <c r="A82" s="18"/>
      <c r="B82" s="117"/>
      <c r="C82" s="117"/>
      <c r="D82" s="117"/>
      <c r="E82" s="117"/>
      <c r="F82" s="30" t="str">
        <v>Total B</v>
      </c>
      <c r="G82" s="30">
        <v>7</v>
      </c>
      <c r="H82" s="21"/>
      <c r="I82" s="117"/>
      <c r="J82" s="21"/>
      <c r="K82" s="21"/>
      <c r="L82" s="20"/>
    </row>
    <row r="83" spans="1:12" x14ac:dyDescent="0.3">
      <c r="A83" s="18"/>
      <c r="B83" s="117"/>
      <c r="C83" s="117"/>
      <c r="D83" s="117"/>
      <c r="E83" s="117"/>
      <c r="F83" s="30" t="str">
        <v>c</v>
      </c>
      <c r="G83" s="30">
        <v>5</v>
      </c>
      <c r="H83" s="21"/>
      <c r="I83" s="117"/>
      <c r="J83" s="21"/>
      <c r="K83" s="21"/>
      <c r="L83" s="20"/>
    </row>
    <row r="84" spans="1:12" x14ac:dyDescent="0.3">
      <c r="A84" s="18"/>
      <c r="B84" s="117"/>
      <c r="C84" s="117"/>
      <c r="D84" s="117"/>
      <c r="E84" s="117"/>
      <c r="F84" s="30" t="str">
        <v>c</v>
      </c>
      <c r="G84" s="30">
        <v>6</v>
      </c>
      <c r="H84" s="21"/>
      <c r="I84" s="117"/>
      <c r="J84" s="21"/>
      <c r="K84" s="21"/>
      <c r="L84" s="20"/>
    </row>
    <row r="85" spans="1:12" x14ac:dyDescent="0.3">
      <c r="A85" s="18"/>
      <c r="B85" s="117"/>
      <c r="C85" s="117"/>
      <c r="D85" s="117"/>
      <c r="E85" s="117"/>
      <c r="F85" s="30" t="e">
        <v>#N/A</v>
      </c>
      <c r="G85" s="30" t="e">
        <v>#N/A</v>
      </c>
      <c r="H85" s="21"/>
      <c r="I85" s="117"/>
      <c r="J85" s="21"/>
      <c r="K85" s="21"/>
      <c r="L85" s="20"/>
    </row>
    <row r="86" spans="1:12" x14ac:dyDescent="0.3">
      <c r="A86" s="18"/>
      <c r="B86" s="117"/>
      <c r="C86" s="117"/>
      <c r="D86" s="117"/>
      <c r="E86" s="117"/>
      <c r="F86" s="21"/>
      <c r="G86" s="21"/>
      <c r="H86" s="21"/>
      <c r="I86" s="117"/>
      <c r="J86" s="21"/>
      <c r="K86" s="21"/>
      <c r="L86" s="20"/>
    </row>
    <row r="87" spans="1:12" x14ac:dyDescent="0.3">
      <c r="A87" s="18"/>
      <c r="B87" s="117"/>
      <c r="C87" s="117"/>
      <c r="D87" s="117"/>
      <c r="E87" s="117"/>
      <c r="F87" s="21"/>
      <c r="G87" s="21"/>
      <c r="H87" s="21"/>
      <c r="I87" s="117"/>
      <c r="J87" s="21"/>
      <c r="K87" s="21"/>
      <c r="L87" s="20"/>
    </row>
    <row r="88" spans="1:12" x14ac:dyDescent="0.3">
      <c r="A88" s="18"/>
      <c r="B88" s="117"/>
      <c r="C88" s="117"/>
      <c r="D88" s="117"/>
      <c r="E88" s="117"/>
      <c r="F88" s="21"/>
      <c r="G88" s="21"/>
      <c r="H88" s="21"/>
      <c r="I88" s="117"/>
      <c r="J88" s="21"/>
      <c r="K88" s="21"/>
      <c r="L88" s="20"/>
    </row>
    <row r="89" spans="1:12" x14ac:dyDescent="0.3">
      <c r="A89" s="18"/>
      <c r="B89" s="117"/>
      <c r="C89" s="117"/>
      <c r="D89" s="117"/>
      <c r="E89" s="117"/>
      <c r="F89" s="21"/>
      <c r="G89" s="21"/>
      <c r="H89" s="21"/>
      <c r="I89" s="117"/>
      <c r="J89" s="21"/>
      <c r="K89" s="21"/>
      <c r="L89" s="20"/>
    </row>
    <row r="90" spans="1:12" x14ac:dyDescent="0.3">
      <c r="A90" s="18"/>
      <c r="B90" s="117"/>
      <c r="C90" s="117"/>
      <c r="D90" s="117"/>
      <c r="E90" s="117"/>
      <c r="F90" s="21"/>
      <c r="G90" s="21"/>
      <c r="H90" s="21"/>
      <c r="I90" s="117"/>
      <c r="J90" s="21"/>
      <c r="K90" s="21"/>
      <c r="L90" s="20"/>
    </row>
    <row r="91" spans="1:12" x14ac:dyDescent="0.3">
      <c r="A91" s="18"/>
      <c r="B91" s="117"/>
      <c r="C91" s="117"/>
      <c r="D91" s="117"/>
      <c r="E91" s="117"/>
      <c r="F91" s="30" t="str">
        <f t="array" ref="F91:G99">_xll.U.VINSERT(B57:C62,B64:C66,I91:I92,TRUE,1)</f>
        <v>a</v>
      </c>
      <c r="G91" s="30">
        <v>1</v>
      </c>
      <c r="H91" s="21"/>
      <c r="I91" s="181" t="s">
        <v>1102</v>
      </c>
      <c r="J91" s="21"/>
      <c r="K91" s="21"/>
      <c r="L91" s="20"/>
    </row>
    <row r="92" spans="1:12" x14ac:dyDescent="0.3">
      <c r="A92" s="18"/>
      <c r="B92" s="117"/>
      <c r="C92" s="117"/>
      <c r="D92" s="117"/>
      <c r="E92" s="117"/>
      <c r="F92" s="30" t="str">
        <v>a</v>
      </c>
      <c r="G92" s="30">
        <v>2</v>
      </c>
      <c r="H92" s="21"/>
      <c r="I92" s="181" t="s">
        <v>1103</v>
      </c>
      <c r="J92" s="21"/>
      <c r="K92" s="21"/>
      <c r="L92" s="20"/>
    </row>
    <row r="93" spans="1:12" x14ac:dyDescent="0.3">
      <c r="A93" s="18"/>
      <c r="B93" s="117"/>
      <c r="C93" s="117"/>
      <c r="D93" s="117"/>
      <c r="E93" s="117"/>
      <c r="F93" s="30" t="str">
        <v>Total A</v>
      </c>
      <c r="G93" s="30">
        <v>3</v>
      </c>
      <c r="H93" s="21"/>
      <c r="I93" s="117"/>
      <c r="J93" s="21"/>
      <c r="K93" s="21"/>
      <c r="L93" s="20"/>
    </row>
    <row r="94" spans="1:12" x14ac:dyDescent="0.3">
      <c r="A94" s="18"/>
      <c r="B94" s="117"/>
      <c r="C94" s="117"/>
      <c r="D94" s="117"/>
      <c r="E94" s="117"/>
      <c r="F94" s="30" t="str">
        <v>b</v>
      </c>
      <c r="G94" s="30">
        <v>3</v>
      </c>
      <c r="H94" s="21"/>
      <c r="I94" s="117"/>
      <c r="J94" s="21"/>
      <c r="K94" s="21"/>
      <c r="L94" s="20"/>
    </row>
    <row r="95" spans="1:12" x14ac:dyDescent="0.3">
      <c r="A95" s="18"/>
      <c r="B95" s="117"/>
      <c r="C95" s="117"/>
      <c r="D95" s="117"/>
      <c r="E95" s="117"/>
      <c r="F95" s="30" t="str">
        <v>b</v>
      </c>
      <c r="G95" s="30">
        <v>4</v>
      </c>
      <c r="H95" s="21"/>
      <c r="I95" s="117"/>
      <c r="J95" s="21"/>
      <c r="K95" s="21"/>
      <c r="L95" s="20"/>
    </row>
    <row r="96" spans="1:12" x14ac:dyDescent="0.3">
      <c r="A96" s="18"/>
      <c r="B96" s="117"/>
      <c r="C96" s="117"/>
      <c r="D96" s="117"/>
      <c r="E96" s="117"/>
      <c r="F96" s="30" t="str">
        <v>Total B</v>
      </c>
      <c r="G96" s="30">
        <v>7</v>
      </c>
      <c r="H96" s="21"/>
      <c r="I96" s="117"/>
      <c r="J96" s="21"/>
      <c r="K96" s="21"/>
      <c r="L96" s="20"/>
    </row>
    <row r="97" spans="1:12" x14ac:dyDescent="0.3">
      <c r="A97" s="18"/>
      <c r="B97" s="117"/>
      <c r="C97" s="117"/>
      <c r="D97" s="117"/>
      <c r="E97" s="117"/>
      <c r="F97" s="30" t="str">
        <v>c</v>
      </c>
      <c r="G97" s="30">
        <v>5</v>
      </c>
      <c r="H97" s="21"/>
      <c r="I97" s="117"/>
      <c r="J97" s="21"/>
      <c r="K97" s="21"/>
      <c r="L97" s="20"/>
    </row>
    <row r="98" spans="1:12" x14ac:dyDescent="0.3">
      <c r="A98" s="18"/>
      <c r="B98" s="117"/>
      <c r="C98" s="117"/>
      <c r="D98" s="117"/>
      <c r="E98" s="117"/>
      <c r="F98" s="30" t="str">
        <v>c</v>
      </c>
      <c r="G98" s="30">
        <v>6</v>
      </c>
      <c r="H98" s="21"/>
      <c r="I98" s="117"/>
      <c r="J98" s="21"/>
      <c r="K98" s="21"/>
      <c r="L98" s="20"/>
    </row>
    <row r="99" spans="1:12" x14ac:dyDescent="0.3">
      <c r="A99" s="18"/>
      <c r="B99" s="117"/>
      <c r="C99" s="117"/>
      <c r="D99" s="117"/>
      <c r="E99" s="117"/>
      <c r="F99" s="30" t="str">
        <v>Total C</v>
      </c>
      <c r="G99" s="30">
        <v>11</v>
      </c>
      <c r="H99" s="21"/>
      <c r="I99" s="117"/>
      <c r="J99" s="21"/>
      <c r="K99" s="21"/>
      <c r="L99" s="20"/>
    </row>
    <row r="100" spans="1:12" x14ac:dyDescent="0.3">
      <c r="A100" s="18"/>
      <c r="B100" s="117"/>
      <c r="C100" s="117"/>
      <c r="D100" s="117"/>
      <c r="E100" s="117"/>
      <c r="F100" s="21"/>
      <c r="G100" s="21"/>
      <c r="H100" s="21"/>
      <c r="I100" s="117"/>
      <c r="J100" s="21"/>
      <c r="K100" s="21"/>
      <c r="L100" s="20"/>
    </row>
    <row r="101" spans="1:12" x14ac:dyDescent="0.3">
      <c r="A101" s="18"/>
      <c r="B101" s="117"/>
      <c r="C101" s="117"/>
      <c r="D101" s="117"/>
      <c r="E101" s="117"/>
      <c r="F101" s="21"/>
      <c r="G101" s="21"/>
      <c r="H101" s="21"/>
      <c r="I101" s="117"/>
      <c r="J101" s="21"/>
      <c r="K101" s="21"/>
      <c r="L101" s="20"/>
    </row>
    <row r="102" spans="1:12" x14ac:dyDescent="0.3">
      <c r="A102" s="18"/>
      <c r="B102" s="117"/>
      <c r="C102" s="117"/>
      <c r="D102" s="117"/>
      <c r="E102" s="117"/>
      <c r="F102" s="21"/>
      <c r="G102" s="21"/>
      <c r="H102" s="21"/>
      <c r="I102" s="117"/>
      <c r="J102" s="21"/>
      <c r="K102" s="21"/>
      <c r="L102" s="20"/>
    </row>
    <row r="103" spans="1:12" x14ac:dyDescent="0.3">
      <c r="A103" s="18"/>
      <c r="B103" s="117"/>
      <c r="C103" s="117"/>
      <c r="D103" s="117"/>
      <c r="E103" s="117"/>
      <c r="F103" s="21"/>
      <c r="G103" s="21"/>
      <c r="H103" s="21"/>
      <c r="I103" s="117"/>
      <c r="J103" s="21"/>
      <c r="K103" s="21"/>
      <c r="L103" s="20"/>
    </row>
    <row r="104" spans="1:12" x14ac:dyDescent="0.3">
      <c r="A104" s="18"/>
      <c r="B104" s="117"/>
      <c r="C104" s="117"/>
      <c r="D104" s="117"/>
      <c r="E104" s="117"/>
      <c r="F104" s="30" t="str">
        <f t="array" ref="F104:G112">_xll.U.VINSERT(B57:C62,B64:C66,I91:I92,1,1)</f>
        <v>a</v>
      </c>
      <c r="G104" s="30">
        <v>1</v>
      </c>
      <c r="H104" s="21"/>
      <c r="I104" s="117"/>
      <c r="J104" s="21"/>
      <c r="K104" s="21"/>
      <c r="L104" s="20"/>
    </row>
    <row r="105" spans="1:12" x14ac:dyDescent="0.3">
      <c r="A105" s="18"/>
      <c r="B105" s="117"/>
      <c r="C105" s="117"/>
      <c r="D105" s="117"/>
      <c r="E105" s="117"/>
      <c r="F105" s="30" t="str">
        <v>a</v>
      </c>
      <c r="G105" s="30">
        <v>2</v>
      </c>
      <c r="H105" s="21"/>
      <c r="I105" s="117"/>
      <c r="J105" s="21"/>
      <c r="K105" s="21"/>
      <c r="L105" s="20"/>
    </row>
    <row r="106" spans="1:12" x14ac:dyDescent="0.3">
      <c r="A106" s="18"/>
      <c r="B106" s="117"/>
      <c r="C106" s="117"/>
      <c r="D106" s="117"/>
      <c r="E106" s="117"/>
      <c r="F106" s="30" t="str">
        <v>Total A</v>
      </c>
      <c r="G106" s="30">
        <v>3</v>
      </c>
      <c r="H106" s="21"/>
      <c r="I106" s="117"/>
      <c r="J106" s="21"/>
      <c r="K106" s="21"/>
      <c r="L106" s="20"/>
    </row>
    <row r="107" spans="1:12" x14ac:dyDescent="0.3">
      <c r="A107" s="18"/>
      <c r="B107" s="117"/>
      <c r="C107" s="117"/>
      <c r="D107" s="117"/>
      <c r="E107" s="117"/>
      <c r="F107" s="30" t="str">
        <v>b</v>
      </c>
      <c r="G107" s="30">
        <v>3</v>
      </c>
      <c r="H107" s="21"/>
      <c r="I107" s="117"/>
      <c r="J107" s="21"/>
      <c r="K107" s="21"/>
      <c r="L107" s="20"/>
    </row>
    <row r="108" spans="1:12" x14ac:dyDescent="0.3">
      <c r="A108" s="18"/>
      <c r="B108" s="117"/>
      <c r="C108" s="117"/>
      <c r="D108" s="117"/>
      <c r="E108" s="117"/>
      <c r="F108" s="30" t="str">
        <v>b</v>
      </c>
      <c r="G108" s="30">
        <v>4</v>
      </c>
      <c r="H108" s="21"/>
      <c r="I108" s="117"/>
      <c r="J108" s="21"/>
      <c r="K108" s="21"/>
      <c r="L108" s="20"/>
    </row>
    <row r="109" spans="1:12" x14ac:dyDescent="0.3">
      <c r="A109" s="18"/>
      <c r="B109" s="117"/>
      <c r="C109" s="117"/>
      <c r="D109" s="117"/>
      <c r="E109" s="117"/>
      <c r="F109" s="30" t="str">
        <v>c</v>
      </c>
      <c r="G109" s="30">
        <v>5</v>
      </c>
      <c r="H109" s="21"/>
      <c r="I109" s="117"/>
      <c r="J109" s="21"/>
      <c r="K109" s="21"/>
      <c r="L109" s="20"/>
    </row>
    <row r="110" spans="1:12" x14ac:dyDescent="0.3">
      <c r="A110" s="18"/>
      <c r="B110" s="117"/>
      <c r="C110" s="117"/>
      <c r="D110" s="117"/>
      <c r="E110" s="117"/>
      <c r="F110" s="30" t="str">
        <v>c</v>
      </c>
      <c r="G110" s="30">
        <v>6</v>
      </c>
      <c r="H110" s="21"/>
      <c r="I110" s="117"/>
      <c r="J110" s="21"/>
      <c r="K110" s="21"/>
      <c r="L110" s="20"/>
    </row>
    <row r="111" spans="1:12" x14ac:dyDescent="0.3">
      <c r="A111" s="18"/>
      <c r="B111" s="117"/>
      <c r="C111" s="117"/>
      <c r="D111" s="117"/>
      <c r="E111" s="117"/>
      <c r="F111" s="30" t="e">
        <v>#N/A</v>
      </c>
      <c r="G111" s="30" t="e">
        <v>#N/A</v>
      </c>
      <c r="H111" s="21"/>
      <c r="I111" s="117"/>
      <c r="J111" s="21"/>
      <c r="K111" s="21"/>
      <c r="L111" s="20"/>
    </row>
    <row r="112" spans="1:12" x14ac:dyDescent="0.3">
      <c r="A112" s="18"/>
      <c r="B112" s="117"/>
      <c r="C112" s="117"/>
      <c r="D112" s="117"/>
      <c r="E112" s="117"/>
      <c r="F112" s="30" t="e">
        <v>#N/A</v>
      </c>
      <c r="G112" s="30" t="e">
        <v>#N/A</v>
      </c>
      <c r="H112" s="21"/>
      <c r="I112" s="117"/>
      <c r="J112" s="21"/>
      <c r="K112" s="21"/>
      <c r="L112" s="20"/>
    </row>
    <row r="113" spans="1:12" x14ac:dyDescent="0.3">
      <c r="A113" s="18"/>
      <c r="B113" s="117"/>
      <c r="C113" s="117"/>
      <c r="D113" s="117"/>
      <c r="E113" s="117"/>
      <c r="F113" s="21"/>
      <c r="G113" s="21"/>
      <c r="H113" s="21"/>
      <c r="I113" s="117"/>
      <c r="J113" s="21"/>
      <c r="K113" s="21"/>
      <c r="L113" s="20"/>
    </row>
    <row r="114" spans="1:12" x14ac:dyDescent="0.3">
      <c r="A114" s="18"/>
      <c r="B114" s="117"/>
      <c r="C114" s="117"/>
      <c r="D114" s="117"/>
      <c r="E114" s="117"/>
      <c r="F114" s="21"/>
      <c r="G114" s="21"/>
      <c r="H114" s="21"/>
      <c r="I114" s="117"/>
      <c r="J114" s="21"/>
      <c r="K114" s="21"/>
      <c r="L114" s="20"/>
    </row>
    <row r="115" spans="1:12" x14ac:dyDescent="0.3">
      <c r="A115" s="18"/>
      <c r="B115" s="235" t="s">
        <v>2</v>
      </c>
      <c r="C115" s="235" t="s">
        <v>1094</v>
      </c>
      <c r="D115" s="117"/>
      <c r="E115" s="117"/>
      <c r="F115" s="3" t="str">
        <f t="array" ref="F115:G123">_xll.U.VINSERT(B115:C121,B123:C125,"change_order(val)",TRUE,1)</f>
        <v>Symbol</v>
      </c>
      <c r="G115" s="3" t="str">
        <v>Val</v>
      </c>
      <c r="H115" s="21"/>
      <c r="I115" s="117"/>
      <c r="J115" s="21"/>
      <c r="K115" s="21"/>
      <c r="L115" s="20"/>
    </row>
    <row r="116" spans="1:12" x14ac:dyDescent="0.3">
      <c r="A116" s="18"/>
      <c r="B116" s="181" t="s">
        <v>77</v>
      </c>
      <c r="C116" s="181">
        <v>3</v>
      </c>
      <c r="D116" s="117"/>
      <c r="E116" s="117"/>
      <c r="F116" s="30" t="str">
        <v>a</v>
      </c>
      <c r="G116" s="30">
        <v>3</v>
      </c>
      <c r="H116" s="21"/>
      <c r="I116" s="117"/>
      <c r="J116" s="21"/>
      <c r="K116" s="21"/>
      <c r="L116" s="20"/>
    </row>
    <row r="117" spans="1:12" x14ac:dyDescent="0.3">
      <c r="A117" s="18"/>
      <c r="B117" s="181" t="s">
        <v>77</v>
      </c>
      <c r="C117" s="181">
        <v>4</v>
      </c>
      <c r="D117" s="117"/>
      <c r="E117" s="117"/>
      <c r="F117" s="30" t="str">
        <v>a</v>
      </c>
      <c r="G117" s="30">
        <v>4</v>
      </c>
      <c r="H117" s="21"/>
      <c r="I117" s="117"/>
      <c r="J117" s="21"/>
      <c r="K117" s="21"/>
      <c r="L117" s="20"/>
    </row>
    <row r="118" spans="1:12" x14ac:dyDescent="0.3">
      <c r="A118" s="18"/>
      <c r="B118" s="181" t="s">
        <v>78</v>
      </c>
      <c r="C118" s="181">
        <v>2</v>
      </c>
      <c r="D118" s="117"/>
      <c r="E118" s="117"/>
      <c r="F118" s="30" t="str">
        <v>Total A</v>
      </c>
      <c r="G118" s="30">
        <v>7</v>
      </c>
      <c r="H118" s="21"/>
      <c r="I118" s="117"/>
      <c r="J118" s="21"/>
      <c r="K118" s="21"/>
      <c r="L118" s="20"/>
    </row>
    <row r="119" spans="1:12" x14ac:dyDescent="0.3">
      <c r="A119" s="18"/>
      <c r="B119" s="181" t="s">
        <v>78</v>
      </c>
      <c r="C119" s="181">
        <v>3</v>
      </c>
      <c r="D119" s="117"/>
      <c r="E119" s="117"/>
      <c r="F119" s="30" t="str">
        <v>b</v>
      </c>
      <c r="G119" s="30">
        <v>2</v>
      </c>
      <c r="H119" s="21"/>
      <c r="I119" s="117"/>
      <c r="J119" s="21"/>
      <c r="K119" s="21"/>
      <c r="L119" s="20"/>
    </row>
    <row r="120" spans="1:12" x14ac:dyDescent="0.3">
      <c r="A120" s="18"/>
      <c r="B120" s="181" t="s">
        <v>79</v>
      </c>
      <c r="C120" s="181">
        <v>1</v>
      </c>
      <c r="D120" s="117"/>
      <c r="E120" s="117"/>
      <c r="F120" s="30" t="str">
        <v>b</v>
      </c>
      <c r="G120" s="30">
        <v>3</v>
      </c>
      <c r="H120" s="21"/>
      <c r="I120" s="117"/>
      <c r="J120" s="21"/>
      <c r="K120" s="21"/>
      <c r="L120" s="20"/>
    </row>
    <row r="121" spans="1:12" x14ac:dyDescent="0.3">
      <c r="A121" s="18"/>
      <c r="B121" s="181" t="s">
        <v>79</v>
      </c>
      <c r="C121" s="181">
        <v>2</v>
      </c>
      <c r="D121" s="117"/>
      <c r="E121" s="117"/>
      <c r="F121" s="30" t="str">
        <v>Total B</v>
      </c>
      <c r="G121" s="30">
        <v>5</v>
      </c>
      <c r="H121" s="21"/>
      <c r="I121" s="117"/>
      <c r="J121" s="21"/>
      <c r="K121" s="21"/>
      <c r="L121" s="20"/>
    </row>
    <row r="122" spans="1:12" x14ac:dyDescent="0.3">
      <c r="A122" s="18"/>
      <c r="B122" s="117"/>
      <c r="C122" s="117"/>
      <c r="D122" s="117"/>
      <c r="E122" s="117"/>
      <c r="F122" s="30" t="str">
        <v>c</v>
      </c>
      <c r="G122" s="30">
        <v>1</v>
      </c>
      <c r="H122" s="21"/>
      <c r="I122" s="117"/>
      <c r="J122" s="21"/>
      <c r="K122" s="21"/>
      <c r="L122" s="20"/>
    </row>
    <row r="123" spans="1:12" x14ac:dyDescent="0.3">
      <c r="A123" s="18"/>
      <c r="B123" s="181" t="str">
        <f t="array" ref="B123:C125">_xll.U.REPLACE(_xll.U.VAGGREGATE(B116:C121),"*","insert(total {0}),proper()",,,,,1)</f>
        <v>Total A</v>
      </c>
      <c r="C123" s="181">
        <v>7</v>
      </c>
      <c r="D123" s="117"/>
      <c r="E123" s="117"/>
      <c r="F123" s="30" t="str">
        <v>c</v>
      </c>
      <c r="G123" s="30">
        <v>2</v>
      </c>
      <c r="H123" s="21"/>
      <c r="I123" s="117"/>
      <c r="J123" s="21"/>
      <c r="K123" s="21"/>
      <c r="L123" s="20"/>
    </row>
    <row r="124" spans="1:12" x14ac:dyDescent="0.3">
      <c r="A124" s="18"/>
      <c r="B124" s="181" t="str">
        <v>Total B</v>
      </c>
      <c r="C124" s="181">
        <v>5</v>
      </c>
      <c r="D124" s="117"/>
      <c r="E124" s="117"/>
      <c r="F124" s="21"/>
      <c r="G124" s="21"/>
      <c r="H124" s="21"/>
      <c r="I124" s="117"/>
      <c r="J124" s="21"/>
      <c r="K124" s="21"/>
      <c r="L124" s="20"/>
    </row>
    <row r="125" spans="1:12" x14ac:dyDescent="0.3">
      <c r="A125" s="18"/>
      <c r="B125" s="181" t="str">
        <v>Total C</v>
      </c>
      <c r="C125" s="181">
        <v>3</v>
      </c>
      <c r="D125" s="117"/>
      <c r="E125" s="117"/>
      <c r="F125" s="21"/>
      <c r="G125" s="21"/>
      <c r="H125" s="21"/>
      <c r="I125" s="117"/>
      <c r="J125" s="21"/>
      <c r="K125" s="21"/>
      <c r="L125" s="20"/>
    </row>
    <row r="126" spans="1:12" x14ac:dyDescent="0.3">
      <c r="A126" s="18"/>
      <c r="B126" s="117"/>
      <c r="C126" s="117"/>
      <c r="D126" s="117"/>
      <c r="E126" s="117"/>
      <c r="F126" s="21"/>
      <c r="G126" s="21"/>
      <c r="H126" s="21"/>
      <c r="I126" s="117"/>
      <c r="J126" s="21"/>
      <c r="K126" s="21"/>
      <c r="L126" s="20"/>
    </row>
    <row r="127" spans="1:12" x14ac:dyDescent="0.3">
      <c r="A127" s="18"/>
      <c r="B127" s="117"/>
      <c r="C127" s="117"/>
      <c r="D127" s="117"/>
      <c r="E127" s="117"/>
      <c r="F127" s="21"/>
      <c r="G127" s="21"/>
      <c r="H127" s="21"/>
      <c r="I127" s="117"/>
      <c r="J127" s="21"/>
      <c r="K127" s="21"/>
      <c r="L127" s="20"/>
    </row>
    <row r="128" spans="1:12" x14ac:dyDescent="0.3">
      <c r="A128" s="18"/>
      <c r="B128" s="181" t="s">
        <v>77</v>
      </c>
      <c r="C128" s="181">
        <v>1</v>
      </c>
      <c r="D128" s="117"/>
      <c r="E128" s="117"/>
      <c r="F128" s="30" t="str">
        <f t="array" ref="F128:H136">_xll.U.VINSERT(B128:C133,_xll.U.HINSERT(B135:C137,"",1),"change(1),append()",TRUE,1,-1)</f>
        <v/>
      </c>
      <c r="G128" s="30" t="str">
        <v>a</v>
      </c>
      <c r="H128" s="30">
        <v>1</v>
      </c>
      <c r="I128" s="117"/>
      <c r="J128" s="21"/>
      <c r="K128" s="21"/>
      <c r="L128" s="20"/>
    </row>
    <row r="129" spans="1:12" x14ac:dyDescent="0.3">
      <c r="A129" s="18"/>
      <c r="B129" s="181" t="s">
        <v>77</v>
      </c>
      <c r="C129" s="181">
        <v>2</v>
      </c>
      <c r="D129" s="117"/>
      <c r="E129" s="117"/>
      <c r="F129" s="30" t="str">
        <v/>
      </c>
      <c r="G129" s="30" t="str">
        <v>a</v>
      </c>
      <c r="H129" s="30">
        <v>2</v>
      </c>
      <c r="I129" s="117"/>
      <c r="J129" s="21"/>
      <c r="K129" s="21"/>
      <c r="L129" s="20"/>
    </row>
    <row r="130" spans="1:12" x14ac:dyDescent="0.3">
      <c r="A130" s="18"/>
      <c r="B130" s="181" t="s">
        <v>78</v>
      </c>
      <c r="C130" s="181">
        <v>3</v>
      </c>
      <c r="D130" s="117"/>
      <c r="E130" s="117"/>
      <c r="F130" s="30" t="str">
        <v>Total A</v>
      </c>
      <c r="G130" s="30" t="str">
        <v/>
      </c>
      <c r="H130" s="30">
        <v>3</v>
      </c>
      <c r="I130" s="117"/>
      <c r="J130" s="21"/>
      <c r="K130" s="21"/>
      <c r="L130" s="20"/>
    </row>
    <row r="131" spans="1:12" x14ac:dyDescent="0.3">
      <c r="A131" s="18"/>
      <c r="B131" s="181" t="s">
        <v>78</v>
      </c>
      <c r="C131" s="181">
        <v>4</v>
      </c>
      <c r="D131" s="117"/>
      <c r="E131" s="117"/>
      <c r="F131" s="30" t="str">
        <v/>
      </c>
      <c r="G131" s="30" t="str">
        <v>b</v>
      </c>
      <c r="H131" s="30">
        <v>3</v>
      </c>
      <c r="I131" s="117"/>
      <c r="J131" s="21"/>
      <c r="K131" s="21"/>
      <c r="L131" s="20"/>
    </row>
    <row r="132" spans="1:12" x14ac:dyDescent="0.3">
      <c r="A132" s="18"/>
      <c r="B132" s="181" t="s">
        <v>79</v>
      </c>
      <c r="C132" s="181">
        <v>5</v>
      </c>
      <c r="D132" s="117"/>
      <c r="E132" s="117"/>
      <c r="F132" s="30" t="str">
        <v/>
      </c>
      <c r="G132" s="30" t="str">
        <v>b</v>
      </c>
      <c r="H132" s="30">
        <v>4</v>
      </c>
      <c r="I132" s="117"/>
      <c r="J132" s="21"/>
      <c r="K132" s="21"/>
      <c r="L132" s="20"/>
    </row>
    <row r="133" spans="1:12" x14ac:dyDescent="0.3">
      <c r="A133" s="18"/>
      <c r="B133" s="181" t="s">
        <v>79</v>
      </c>
      <c r="C133" s="181">
        <v>6</v>
      </c>
      <c r="D133" s="117"/>
      <c r="E133" s="117"/>
      <c r="F133" s="30" t="str">
        <v>Total B</v>
      </c>
      <c r="G133" s="30" t="str">
        <v/>
      </c>
      <c r="H133" s="30">
        <v>7</v>
      </c>
      <c r="I133" s="117"/>
      <c r="J133" s="21"/>
      <c r="K133" s="21"/>
      <c r="L133" s="20"/>
    </row>
    <row r="134" spans="1:12" x14ac:dyDescent="0.3">
      <c r="A134" s="18"/>
      <c r="B134" s="117"/>
      <c r="C134" s="117"/>
      <c r="D134" s="117"/>
      <c r="E134" s="117"/>
      <c r="F134" s="30" t="str">
        <v/>
      </c>
      <c r="G134" s="30" t="str">
        <v>c</v>
      </c>
      <c r="H134" s="30">
        <v>5</v>
      </c>
      <c r="I134" s="117"/>
      <c r="J134" s="21"/>
      <c r="K134" s="21"/>
      <c r="L134" s="20"/>
    </row>
    <row r="135" spans="1:12" x14ac:dyDescent="0.3">
      <c r="A135" s="18"/>
      <c r="B135" s="181" t="str">
        <f t="array" ref="B135:C137">_xll.U.REPLACE(_xll.U.VAGGREGATE(B128:C133),"**","upper(),insert(Total {0})")</f>
        <v>Total A</v>
      </c>
      <c r="C135" s="181">
        <v>3</v>
      </c>
      <c r="D135" s="117"/>
      <c r="E135" s="117"/>
      <c r="F135" s="30" t="str">
        <v/>
      </c>
      <c r="G135" s="30" t="str">
        <v>c</v>
      </c>
      <c r="H135" s="30">
        <v>6</v>
      </c>
      <c r="I135" s="117"/>
      <c r="J135" s="21"/>
      <c r="K135" s="21"/>
      <c r="L135" s="20"/>
    </row>
    <row r="136" spans="1:12" x14ac:dyDescent="0.3">
      <c r="A136" s="18"/>
      <c r="B136" s="181" t="str">
        <v>Total B</v>
      </c>
      <c r="C136" s="181">
        <v>7</v>
      </c>
      <c r="D136" s="117"/>
      <c r="E136" s="117"/>
      <c r="F136" s="30" t="str">
        <v>Total C</v>
      </c>
      <c r="G136" s="30" t="str">
        <v/>
      </c>
      <c r="H136" s="30">
        <v>11</v>
      </c>
      <c r="I136" s="117"/>
      <c r="J136" s="21"/>
      <c r="K136" s="21"/>
      <c r="L136" s="20"/>
    </row>
    <row r="137" spans="1:12" x14ac:dyDescent="0.3">
      <c r="A137" s="18"/>
      <c r="B137" s="181" t="str">
        <v>Total C</v>
      </c>
      <c r="C137" s="181">
        <v>11</v>
      </c>
      <c r="D137" s="117"/>
      <c r="E137" s="117"/>
      <c r="F137" s="21"/>
      <c r="G137" s="21"/>
      <c r="H137" s="21"/>
      <c r="I137" s="117"/>
      <c r="J137" s="21"/>
      <c r="K137" s="21"/>
      <c r="L137" s="20"/>
    </row>
    <row r="138" spans="1:12" x14ac:dyDescent="0.3">
      <c r="A138" s="18"/>
      <c r="B138" s="117"/>
      <c r="C138" s="117"/>
      <c r="D138" s="117"/>
      <c r="E138" s="117"/>
      <c r="F138" s="21"/>
      <c r="G138" s="21"/>
      <c r="H138" s="21"/>
      <c r="I138" s="117"/>
      <c r="J138" s="21"/>
      <c r="K138" s="21"/>
      <c r="L138" s="20"/>
    </row>
    <row r="139" spans="1:12" x14ac:dyDescent="0.3">
      <c r="A139" s="18"/>
      <c r="B139" s="117"/>
      <c r="C139" s="117"/>
      <c r="D139" s="117"/>
      <c r="E139" s="117"/>
      <c r="F139" s="21"/>
      <c r="G139" s="21"/>
      <c r="H139" s="21"/>
      <c r="I139" s="117"/>
      <c r="J139" s="21"/>
      <c r="K139" s="21"/>
      <c r="L139" s="20"/>
    </row>
    <row r="140" spans="1:12" x14ac:dyDescent="0.3">
      <c r="A140" s="18"/>
      <c r="B140" s="117"/>
      <c r="C140" s="117"/>
      <c r="D140" s="117"/>
      <c r="E140" s="117"/>
      <c r="F140" s="21"/>
      <c r="G140" s="21"/>
      <c r="H140" s="21"/>
      <c r="I140" s="117"/>
      <c r="J140" s="21"/>
      <c r="K140" s="21"/>
      <c r="L140" s="20"/>
    </row>
    <row r="141" spans="1:12" x14ac:dyDescent="0.3">
      <c r="A141" s="18"/>
      <c r="B141" s="117"/>
      <c r="C141" s="117"/>
      <c r="D141" s="117"/>
      <c r="E141" s="117"/>
      <c r="F141" s="117"/>
      <c r="G141" s="117"/>
      <c r="H141" s="117"/>
      <c r="I141" s="117"/>
      <c r="J141" s="21"/>
      <c r="K141" s="21"/>
      <c r="L141" s="20"/>
    </row>
    <row r="142" spans="1:12" x14ac:dyDescent="0.3">
      <c r="A142" s="490" t="s">
        <v>3428</v>
      </c>
      <c r="B142" s="491"/>
      <c r="C142" s="491"/>
      <c r="D142" s="491"/>
      <c r="E142" s="491"/>
      <c r="F142" s="491"/>
      <c r="G142" s="491"/>
      <c r="H142" s="491"/>
      <c r="I142" s="491"/>
      <c r="J142" s="491"/>
      <c r="K142" s="21"/>
      <c r="L142" s="20"/>
    </row>
    <row r="143" spans="1:12" x14ac:dyDescent="0.3">
      <c r="A143" s="18"/>
      <c r="B143" s="117"/>
      <c r="C143" s="117"/>
      <c r="D143" s="117"/>
      <c r="E143" s="117"/>
      <c r="F143" s="117"/>
      <c r="G143" s="117"/>
      <c r="H143" s="117"/>
      <c r="I143" s="117"/>
      <c r="J143" s="21"/>
      <c r="K143" s="21"/>
      <c r="L143" s="20"/>
    </row>
    <row r="144" spans="1:12" x14ac:dyDescent="0.3">
      <c r="A144" s="18"/>
      <c r="B144" s="181" t="s">
        <v>77</v>
      </c>
      <c r="C144" s="181">
        <v>1</v>
      </c>
      <c r="D144" s="117"/>
      <c r="E144" s="117"/>
      <c r="F144" s="100" t="str">
        <f t="array" ref="F144:J146">_xll.U.HINSERT(B144:C146,B148:C149,1)</f>
        <v>a</v>
      </c>
      <c r="G144" s="100" t="str">
        <v>Insert</v>
      </c>
      <c r="H144" s="100" t="str">
        <v>Me</v>
      </c>
      <c r="I144" s="152">
        <v>1</v>
      </c>
      <c r="J144" s="100" t="e">
        <v>#N/A</v>
      </c>
      <c r="K144" s="117"/>
      <c r="L144" s="20"/>
    </row>
    <row r="145" spans="1:12" x14ac:dyDescent="0.3">
      <c r="A145" s="18"/>
      <c r="B145" s="181" t="s">
        <v>78</v>
      </c>
      <c r="C145" s="181">
        <v>2</v>
      </c>
      <c r="D145" s="117"/>
      <c r="E145" s="117"/>
      <c r="F145" s="100" t="str">
        <v>b</v>
      </c>
      <c r="G145" s="100" t="str">
        <v>Into</v>
      </c>
      <c r="H145" s="100" t="str">
        <v>Range</v>
      </c>
      <c r="I145" s="152">
        <v>2</v>
      </c>
      <c r="J145" s="100" t="e">
        <v>#N/A</v>
      </c>
      <c r="K145" s="117"/>
      <c r="L145" s="20"/>
    </row>
    <row r="146" spans="1:12" x14ac:dyDescent="0.3">
      <c r="A146" s="18"/>
      <c r="B146" s="181" t="s">
        <v>79</v>
      </c>
      <c r="C146" s="181">
        <v>3</v>
      </c>
      <c r="D146" s="117"/>
      <c r="E146" s="117"/>
      <c r="F146" s="100" t="str">
        <v>c</v>
      </c>
      <c r="G146" s="100" t="str">
        <v/>
      </c>
      <c r="H146" s="100" t="str">
        <v/>
      </c>
      <c r="I146" s="152">
        <v>3</v>
      </c>
      <c r="J146" s="100" t="e">
        <v>#N/A</v>
      </c>
      <c r="K146" s="117"/>
      <c r="L146" s="20"/>
    </row>
    <row r="147" spans="1:12" x14ac:dyDescent="0.3">
      <c r="A147" s="18"/>
      <c r="B147" s="21"/>
      <c r="C147" s="21"/>
      <c r="D147" s="117"/>
      <c r="E147" s="117"/>
      <c r="F147" s="117"/>
      <c r="G147" s="117"/>
      <c r="H147" s="117"/>
      <c r="I147" s="117"/>
      <c r="J147" s="117"/>
      <c r="K147" s="117"/>
      <c r="L147" s="20"/>
    </row>
    <row r="148" spans="1:12" x14ac:dyDescent="0.3">
      <c r="A148" s="18"/>
      <c r="B148" s="181" t="s">
        <v>1098</v>
      </c>
      <c r="C148" s="181" t="s">
        <v>1099</v>
      </c>
      <c r="D148" s="117"/>
      <c r="E148" s="117"/>
      <c r="F148" s="117"/>
      <c r="G148" s="117"/>
      <c r="H148" s="117"/>
      <c r="I148" s="117"/>
      <c r="J148" s="117"/>
      <c r="K148" s="117"/>
      <c r="L148" s="20"/>
    </row>
    <row r="149" spans="1:12" x14ac:dyDescent="0.3">
      <c r="A149" s="18"/>
      <c r="B149" s="181" t="s">
        <v>1100</v>
      </c>
      <c r="C149" s="181" t="s">
        <v>1101</v>
      </c>
      <c r="D149" s="117"/>
      <c r="E149" s="117"/>
      <c r="F149" s="117"/>
      <c r="G149" s="117"/>
      <c r="H149" s="117"/>
      <c r="I149" s="117"/>
      <c r="J149" s="117"/>
      <c r="K149" s="117"/>
      <c r="L149" s="20"/>
    </row>
    <row r="150" spans="1:12" x14ac:dyDescent="0.3">
      <c r="A150" s="18"/>
      <c r="B150" s="117"/>
      <c r="C150" s="117"/>
      <c r="D150" s="117"/>
      <c r="E150" s="117"/>
      <c r="F150" s="117"/>
      <c r="G150" s="117"/>
      <c r="H150" s="117"/>
      <c r="I150" s="117"/>
      <c r="J150" s="21"/>
      <c r="K150" s="21"/>
      <c r="L150" s="20"/>
    </row>
    <row r="151" spans="1:12" x14ac:dyDescent="0.3">
      <c r="A151" s="18"/>
      <c r="B151" s="117"/>
      <c r="C151" s="117"/>
      <c r="D151" s="117"/>
      <c r="E151" s="117"/>
      <c r="F151" s="117"/>
      <c r="G151" s="117"/>
      <c r="H151" s="117"/>
      <c r="I151" s="117"/>
      <c r="J151" s="21"/>
      <c r="K151" s="21"/>
      <c r="L151" s="20"/>
    </row>
    <row r="152" spans="1:12" x14ac:dyDescent="0.3">
      <c r="A152" s="18"/>
      <c r="B152" s="117"/>
      <c r="C152" s="117"/>
      <c r="D152" s="117"/>
      <c r="E152" s="117"/>
      <c r="F152" s="117"/>
      <c r="G152" s="117"/>
      <c r="H152" s="117"/>
      <c r="I152" s="117"/>
      <c r="J152" s="21"/>
      <c r="K152" s="21"/>
      <c r="L152" s="20"/>
    </row>
    <row r="153" spans="1:12" x14ac:dyDescent="0.3">
      <c r="A153" s="18"/>
      <c r="B153" s="117"/>
      <c r="C153" s="117"/>
      <c r="D153" s="117"/>
      <c r="E153" s="117"/>
      <c r="F153" s="117"/>
      <c r="G153" s="117"/>
      <c r="H153" s="117"/>
      <c r="I153" s="117"/>
      <c r="J153" s="21"/>
      <c r="K153" s="21"/>
      <c r="L153" s="20"/>
    </row>
    <row r="154" spans="1:12" x14ac:dyDescent="0.3">
      <c r="A154" s="18"/>
      <c r="B154" s="117"/>
      <c r="C154" s="21"/>
      <c r="D154" s="123"/>
      <c r="E154" s="123"/>
      <c r="F154" s="21"/>
      <c r="G154" s="21"/>
      <c r="H154" s="21"/>
      <c r="I154" s="21"/>
      <c r="J154" s="21"/>
      <c r="K154" s="21"/>
      <c r="L154" s="20"/>
    </row>
    <row r="155" spans="1:12" ht="15" thickBot="1" x14ac:dyDescent="0.35">
      <c r="A155" s="22"/>
      <c r="B155" s="23"/>
      <c r="C155" s="23"/>
      <c r="D155" s="23"/>
      <c r="E155" s="23"/>
      <c r="F155" s="23"/>
      <c r="G155" s="23"/>
      <c r="H155" s="23"/>
      <c r="I155" s="23"/>
      <c r="J155" s="23"/>
      <c r="K155" s="23"/>
      <c r="L155" s="24"/>
    </row>
  </sheetData>
  <mergeCells count="25">
    <mergeCell ref="A142:J142"/>
    <mergeCell ref="N14:O16"/>
    <mergeCell ref="P14:V16"/>
    <mergeCell ref="W14:W16"/>
    <mergeCell ref="N23:O25"/>
    <mergeCell ref="P23:V25"/>
    <mergeCell ref="W23:W25"/>
    <mergeCell ref="N17:O19"/>
    <mergeCell ref="P17:V19"/>
    <mergeCell ref="W17:W19"/>
    <mergeCell ref="N20:O22"/>
    <mergeCell ref="P20:V22"/>
    <mergeCell ref="W20:W22"/>
    <mergeCell ref="N8:O10"/>
    <mergeCell ref="P8:V10"/>
    <mergeCell ref="W8:W10"/>
    <mergeCell ref="N11:O13"/>
    <mergeCell ref="P11:V13"/>
    <mergeCell ref="W11:W13"/>
    <mergeCell ref="N3:W3"/>
    <mergeCell ref="F4:G4"/>
    <mergeCell ref="N4:O6"/>
    <mergeCell ref="P4:W6"/>
    <mergeCell ref="N7:O7"/>
    <mergeCell ref="P7:V7"/>
  </mergeCells>
  <pageMargins left="0.7" right="0.7" top="0.75" bottom="0.75" header="0.3" footer="0.3"/>
  <pageSetup orientation="portrait" verticalDpi="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Z159"/>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4.77734375" customWidth="1"/>
    <col min="3" max="3" width="24.21875" customWidth="1"/>
    <col min="4" max="4" width="16" customWidth="1"/>
    <col min="5" max="7" width="10" customWidth="1"/>
    <col min="8" max="9" width="16" customWidth="1"/>
    <col min="10" max="10" width="15.21875" customWidth="1"/>
    <col min="11" max="15" width="12.5546875" customWidth="1"/>
    <col min="19" max="25" width="12" customWidth="1"/>
  </cols>
  <sheetData>
    <row r="1" spans="1:26" ht="34.5" customHeight="1" thickBot="1" x14ac:dyDescent="0.35">
      <c r="A1" s="292" t="s">
        <v>1580</v>
      </c>
      <c r="B1" s="473" t="e" vm="1">
        <v>#VALUE!</v>
      </c>
      <c r="C1" s="8" t="s">
        <v>1118</v>
      </c>
      <c r="D1" s="27"/>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4.7" customHeight="1" x14ac:dyDescent="0.3">
      <c r="A3" s="18"/>
      <c r="B3" s="25"/>
      <c r="C3" s="25"/>
      <c r="D3" s="21"/>
      <c r="E3" s="21"/>
      <c r="F3" s="21"/>
      <c r="G3" s="21"/>
      <c r="H3" s="483" t="s">
        <v>3429</v>
      </c>
      <c r="I3" s="483"/>
      <c r="J3" s="483"/>
      <c r="K3" s="21"/>
      <c r="L3" s="21"/>
      <c r="M3" s="21"/>
      <c r="N3" s="21"/>
      <c r="O3" s="20"/>
      <c r="Q3" s="486" t="s">
        <v>3429</v>
      </c>
      <c r="R3" s="486"/>
      <c r="S3" s="486"/>
      <c r="T3" s="486"/>
      <c r="U3" s="486"/>
      <c r="V3" s="486"/>
      <c r="W3" s="486"/>
      <c r="X3" s="486"/>
      <c r="Y3" s="486"/>
      <c r="Z3" s="486"/>
    </row>
    <row r="4" spans="1:26" x14ac:dyDescent="0.3">
      <c r="A4" s="18"/>
      <c r="B4" s="3" t="s">
        <v>1125</v>
      </c>
      <c r="C4" s="3" t="s">
        <v>16</v>
      </c>
      <c r="D4" s="3" t="s">
        <v>17</v>
      </c>
      <c r="E4" s="21"/>
      <c r="F4" s="21"/>
      <c r="G4" s="21"/>
      <c r="H4" s="3" t="str">
        <f t="array" ref="H4:J13">_xll.U.FILL_LABELS(B4:D13)</f>
        <v>Last Name</v>
      </c>
      <c r="I4" s="3" t="str">
        <v>Key</v>
      </c>
      <c r="J4" s="3" t="str">
        <v>Value</v>
      </c>
      <c r="K4" s="21"/>
      <c r="L4" s="21"/>
      <c r="M4" s="21"/>
      <c r="N4" s="21"/>
      <c r="O4" s="20"/>
      <c r="Q4" s="487" t="s">
        <v>333</v>
      </c>
      <c r="R4" s="487"/>
      <c r="S4" s="487" t="s">
        <v>1142</v>
      </c>
      <c r="T4" s="487"/>
      <c r="U4" s="487"/>
      <c r="V4" s="487"/>
      <c r="W4" s="487"/>
      <c r="X4" s="487"/>
      <c r="Y4" s="487"/>
      <c r="Z4" s="487"/>
    </row>
    <row r="5" spans="1:26" x14ac:dyDescent="0.3">
      <c r="A5" s="18"/>
      <c r="B5" s="181" t="s">
        <v>1126</v>
      </c>
      <c r="C5" s="181" t="s">
        <v>1065</v>
      </c>
      <c r="D5" s="181">
        <v>30</v>
      </c>
      <c r="E5" s="21"/>
      <c r="F5" s="21"/>
      <c r="G5" s="21"/>
      <c r="H5" s="30" t="str">
        <v>Smith</v>
      </c>
      <c r="I5" s="30" t="str">
        <v>Age</v>
      </c>
      <c r="J5" s="30">
        <v>30</v>
      </c>
      <c r="K5" s="21"/>
      <c r="L5" s="21"/>
      <c r="M5" s="21"/>
      <c r="N5" s="21"/>
      <c r="O5" s="20"/>
      <c r="Q5" s="487"/>
      <c r="R5" s="487"/>
      <c r="S5" s="487"/>
      <c r="T5" s="487"/>
      <c r="U5" s="487"/>
      <c r="V5" s="487"/>
      <c r="W5" s="487"/>
      <c r="X5" s="487"/>
      <c r="Y5" s="487"/>
      <c r="Z5" s="487"/>
    </row>
    <row r="6" spans="1:26" x14ac:dyDescent="0.3">
      <c r="A6" s="18"/>
      <c r="B6" s="181"/>
      <c r="C6" s="181" t="s">
        <v>1119</v>
      </c>
      <c r="D6" s="181" t="s">
        <v>1122</v>
      </c>
      <c r="E6" s="21"/>
      <c r="F6" s="21"/>
      <c r="G6" s="21"/>
      <c r="H6" s="30" t="str">
        <v>Smith</v>
      </c>
      <c r="I6" s="30" t="str">
        <v>Occupation</v>
      </c>
      <c r="J6" s="30" t="str">
        <v>Engineer</v>
      </c>
      <c r="K6" s="21"/>
      <c r="L6" s="21"/>
      <c r="M6" s="21"/>
      <c r="N6" s="21"/>
      <c r="O6" s="20"/>
      <c r="Q6" s="487"/>
      <c r="R6" s="487"/>
      <c r="S6" s="487"/>
      <c r="T6" s="487"/>
      <c r="U6" s="487"/>
      <c r="V6" s="487"/>
      <c r="W6" s="487"/>
      <c r="X6" s="487"/>
      <c r="Y6" s="487"/>
      <c r="Z6" s="487"/>
    </row>
    <row r="7" spans="1:26" x14ac:dyDescent="0.3">
      <c r="A7" s="18"/>
      <c r="B7" s="181"/>
      <c r="C7" s="181" t="s">
        <v>1120</v>
      </c>
      <c r="D7" s="181">
        <v>5</v>
      </c>
      <c r="E7" s="21"/>
      <c r="F7" s="21"/>
      <c r="G7" s="21"/>
      <c r="H7" s="30" t="str">
        <v>Smith</v>
      </c>
      <c r="I7" s="30" t="str">
        <v>Years Experience</v>
      </c>
      <c r="J7" s="30">
        <v>5</v>
      </c>
      <c r="K7" s="21"/>
      <c r="L7" s="21"/>
      <c r="M7" s="21"/>
      <c r="N7" s="21"/>
      <c r="O7" s="20"/>
      <c r="Q7" s="483" t="s">
        <v>323</v>
      </c>
      <c r="R7" s="483"/>
      <c r="S7" s="483" t="s">
        <v>1</v>
      </c>
      <c r="T7" s="483"/>
      <c r="U7" s="483"/>
      <c r="V7" s="483"/>
      <c r="W7" s="483"/>
      <c r="X7" s="483"/>
      <c r="Y7" s="483"/>
      <c r="Z7" s="85" t="s">
        <v>324</v>
      </c>
    </row>
    <row r="8" spans="1:26" x14ac:dyDescent="0.3">
      <c r="A8" s="18"/>
      <c r="B8" s="181" t="s">
        <v>1127</v>
      </c>
      <c r="C8" s="181" t="s">
        <v>1065</v>
      </c>
      <c r="D8" s="181">
        <v>34</v>
      </c>
      <c r="E8" s="21"/>
      <c r="F8" s="21"/>
      <c r="G8" s="21"/>
      <c r="H8" s="30" t="str">
        <v>Jones</v>
      </c>
      <c r="I8" s="30" t="str">
        <v>Age</v>
      </c>
      <c r="J8" s="30">
        <v>34</v>
      </c>
      <c r="K8" s="21"/>
      <c r="L8" s="21"/>
      <c r="M8" s="21"/>
      <c r="N8" s="21"/>
      <c r="O8" s="20"/>
      <c r="Q8" s="487" t="s">
        <v>443</v>
      </c>
      <c r="R8" s="487"/>
      <c r="S8" s="487" t="s">
        <v>1143</v>
      </c>
      <c r="T8" s="487"/>
      <c r="U8" s="487"/>
      <c r="V8" s="487"/>
      <c r="W8" s="487"/>
      <c r="X8" s="487"/>
      <c r="Y8" s="487"/>
      <c r="Z8" s="509" t="s">
        <v>325</v>
      </c>
    </row>
    <row r="9" spans="1:26" x14ac:dyDescent="0.3">
      <c r="A9" s="18"/>
      <c r="B9" s="181"/>
      <c r="C9" s="181" t="s">
        <v>1119</v>
      </c>
      <c r="D9" s="181" t="s">
        <v>1122</v>
      </c>
      <c r="E9" s="21"/>
      <c r="F9" s="21"/>
      <c r="G9" s="21"/>
      <c r="H9" s="30" t="str">
        <v>Jones</v>
      </c>
      <c r="I9" s="30" t="str">
        <v>Occupation</v>
      </c>
      <c r="J9" s="30" t="str">
        <v>Engineer</v>
      </c>
      <c r="K9" s="21"/>
      <c r="L9" s="21"/>
      <c r="M9" s="21"/>
      <c r="N9" s="21"/>
      <c r="O9" s="20"/>
      <c r="Q9" s="487"/>
      <c r="R9" s="487"/>
      <c r="S9" s="487"/>
      <c r="T9" s="487"/>
      <c r="U9" s="487"/>
      <c r="V9" s="487"/>
      <c r="W9" s="487"/>
      <c r="X9" s="487"/>
      <c r="Y9" s="487"/>
      <c r="Z9" s="509"/>
    </row>
    <row r="10" spans="1:26" x14ac:dyDescent="0.3">
      <c r="A10" s="18"/>
      <c r="B10" s="181"/>
      <c r="C10" s="181" t="s">
        <v>1120</v>
      </c>
      <c r="D10" s="181">
        <v>10</v>
      </c>
      <c r="E10" s="21"/>
      <c r="F10" s="21"/>
      <c r="G10" s="21"/>
      <c r="H10" s="30" t="str">
        <v>Jones</v>
      </c>
      <c r="I10" s="30" t="str">
        <v>Years Experience</v>
      </c>
      <c r="J10" s="30">
        <v>10</v>
      </c>
      <c r="K10" s="21"/>
      <c r="L10" s="21"/>
      <c r="M10" s="21"/>
      <c r="N10" s="21"/>
      <c r="O10" s="20"/>
      <c r="Q10" s="487"/>
      <c r="R10" s="487"/>
      <c r="S10" s="487"/>
      <c r="T10" s="487"/>
      <c r="U10" s="487"/>
      <c r="V10" s="487"/>
      <c r="W10" s="487"/>
      <c r="X10" s="487"/>
      <c r="Y10" s="487"/>
      <c r="Z10" s="509"/>
    </row>
    <row r="11" spans="1:26" x14ac:dyDescent="0.3">
      <c r="A11" s="18"/>
      <c r="B11" s="181" t="s">
        <v>1128</v>
      </c>
      <c r="C11" s="181" t="s">
        <v>1065</v>
      </c>
      <c r="D11" s="181">
        <v>28</v>
      </c>
      <c r="E11" s="21"/>
      <c r="F11" s="21"/>
      <c r="G11" s="21"/>
      <c r="H11" s="30" t="str">
        <v>Buttons</v>
      </c>
      <c r="I11" s="30" t="str">
        <v>Age</v>
      </c>
      <c r="J11" s="30">
        <v>28</v>
      </c>
      <c r="K11" s="21"/>
      <c r="L11" s="21"/>
      <c r="M11" s="21"/>
      <c r="N11" s="21"/>
      <c r="O11" s="20"/>
      <c r="Q11" s="484" t="s">
        <v>1135</v>
      </c>
      <c r="R11" s="484"/>
      <c r="S11" s="484" t="s">
        <v>1829</v>
      </c>
      <c r="T11" s="484"/>
      <c r="U11" s="484"/>
      <c r="V11" s="484"/>
      <c r="W11" s="484"/>
      <c r="X11" s="484"/>
      <c r="Y11" s="484"/>
      <c r="Z11" s="485" t="s">
        <v>326</v>
      </c>
    </row>
    <row r="12" spans="1:26" x14ac:dyDescent="0.3">
      <c r="A12" s="18"/>
      <c r="B12" s="181"/>
      <c r="C12" s="181" t="s">
        <v>1119</v>
      </c>
      <c r="D12" s="181" t="s">
        <v>1123</v>
      </c>
      <c r="E12" s="21"/>
      <c r="F12" s="21"/>
      <c r="G12" s="21"/>
      <c r="H12" s="30" t="str">
        <v>Buttons</v>
      </c>
      <c r="I12" s="30" t="str">
        <v>Occupation</v>
      </c>
      <c r="J12" s="30" t="str">
        <v>Designer</v>
      </c>
      <c r="K12" s="21"/>
      <c r="L12" s="21"/>
      <c r="M12" s="21"/>
      <c r="N12" s="21"/>
      <c r="O12" s="20"/>
      <c r="Q12" s="484"/>
      <c r="R12" s="484"/>
      <c r="S12" s="484"/>
      <c r="T12" s="484"/>
      <c r="U12" s="484"/>
      <c r="V12" s="484"/>
      <c r="W12" s="484"/>
      <c r="X12" s="484"/>
      <c r="Y12" s="484"/>
      <c r="Z12" s="485"/>
    </row>
    <row r="13" spans="1:26" x14ac:dyDescent="0.3">
      <c r="A13" s="18"/>
      <c r="B13" s="181"/>
      <c r="C13" s="181" t="s">
        <v>1120</v>
      </c>
      <c r="D13" s="181">
        <v>6</v>
      </c>
      <c r="E13" s="21"/>
      <c r="F13" s="21"/>
      <c r="G13" s="21"/>
      <c r="H13" s="30" t="str">
        <v>Buttons</v>
      </c>
      <c r="I13" s="30" t="str">
        <v>Years Experience</v>
      </c>
      <c r="J13" s="30">
        <v>6</v>
      </c>
      <c r="K13" s="21"/>
      <c r="L13" s="21"/>
      <c r="M13" s="21"/>
      <c r="N13" s="21"/>
      <c r="O13" s="20"/>
      <c r="Q13" s="484"/>
      <c r="R13" s="484"/>
      <c r="S13" s="484"/>
      <c r="T13" s="484"/>
      <c r="U13" s="484"/>
      <c r="V13" s="484"/>
      <c r="W13" s="484"/>
      <c r="X13" s="484"/>
      <c r="Y13" s="484"/>
      <c r="Z13" s="485"/>
    </row>
    <row r="14" spans="1:26" x14ac:dyDescent="0.3">
      <c r="A14" s="18"/>
      <c r="B14" s="21"/>
      <c r="C14" s="21"/>
      <c r="D14" s="21"/>
      <c r="E14" s="21"/>
      <c r="F14" s="21"/>
      <c r="G14" s="21"/>
      <c r="H14" s="21"/>
      <c r="I14" s="21"/>
      <c r="J14" s="21"/>
      <c r="K14" s="21"/>
      <c r="L14" s="21"/>
      <c r="M14" s="21"/>
      <c r="N14" s="21"/>
      <c r="O14" s="20"/>
      <c r="Q14" s="484" t="s">
        <v>1136</v>
      </c>
      <c r="R14" s="484"/>
      <c r="S14" s="484" t="s">
        <v>1144</v>
      </c>
      <c r="T14" s="484"/>
      <c r="U14" s="484"/>
      <c r="V14" s="484"/>
      <c r="W14" s="484"/>
      <c r="X14" s="484"/>
      <c r="Y14" s="484"/>
      <c r="Z14" s="485" t="s">
        <v>326</v>
      </c>
    </row>
    <row r="15" spans="1:26" x14ac:dyDescent="0.3">
      <c r="A15" s="18"/>
      <c r="B15" s="21"/>
      <c r="C15" s="21"/>
      <c r="D15" s="21"/>
      <c r="E15" s="21"/>
      <c r="F15" s="21"/>
      <c r="G15" s="21"/>
      <c r="H15" s="21"/>
      <c r="I15" s="21"/>
      <c r="J15" s="21"/>
      <c r="K15" s="21"/>
      <c r="L15" s="21"/>
      <c r="M15" s="21"/>
      <c r="N15" s="21"/>
      <c r="O15" s="20"/>
      <c r="Q15" s="484"/>
      <c r="R15" s="484"/>
      <c r="S15" s="484"/>
      <c r="T15" s="484"/>
      <c r="U15" s="484"/>
      <c r="V15" s="484"/>
      <c r="W15" s="484"/>
      <c r="X15" s="484"/>
      <c r="Y15" s="484"/>
      <c r="Z15" s="485"/>
    </row>
    <row r="16" spans="1:26" x14ac:dyDescent="0.3">
      <c r="A16" s="18"/>
      <c r="B16" s="21"/>
      <c r="C16" s="21"/>
      <c r="D16" s="21"/>
      <c r="E16" s="21"/>
      <c r="F16" s="21"/>
      <c r="G16" s="21"/>
      <c r="H16" s="483" t="s">
        <v>3429</v>
      </c>
      <c r="I16" s="483"/>
      <c r="J16" s="483"/>
      <c r="K16" s="483"/>
      <c r="L16" s="21"/>
      <c r="M16" s="21"/>
      <c r="N16" s="21"/>
      <c r="O16" s="20"/>
      <c r="Q16" s="484"/>
      <c r="R16" s="484"/>
      <c r="S16" s="484"/>
      <c r="T16" s="484"/>
      <c r="U16" s="484"/>
      <c r="V16" s="484"/>
      <c r="W16" s="484"/>
      <c r="X16" s="484"/>
      <c r="Y16" s="484"/>
      <c r="Z16" s="485"/>
    </row>
    <row r="17" spans="1:26" x14ac:dyDescent="0.3">
      <c r="A17" s="18"/>
      <c r="B17" s="3" t="s">
        <v>1125</v>
      </c>
      <c r="C17" s="3" t="s">
        <v>1124</v>
      </c>
      <c r="D17" s="3" t="s">
        <v>16</v>
      </c>
      <c r="E17" s="3" t="s">
        <v>17</v>
      </c>
      <c r="F17" s="21"/>
      <c r="G17" s="21"/>
      <c r="H17" s="3" t="str">
        <f t="array" ref="H17:K29">_xll.U.FILL_LABELS(B17:E29,2)</f>
        <v>Last Name</v>
      </c>
      <c r="I17" s="3" t="str">
        <v>First Name</v>
      </c>
      <c r="J17" s="3" t="str">
        <v>Key</v>
      </c>
      <c r="K17" s="3" t="str">
        <v>Value</v>
      </c>
      <c r="L17" s="21"/>
      <c r="M17" s="21"/>
      <c r="N17" s="21"/>
      <c r="O17" s="20"/>
      <c r="Q17" s="484" t="s">
        <v>1137</v>
      </c>
      <c r="R17" s="484"/>
      <c r="S17" s="484" t="s">
        <v>1145</v>
      </c>
      <c r="T17" s="484"/>
      <c r="U17" s="484"/>
      <c r="V17" s="484"/>
      <c r="W17" s="484"/>
      <c r="X17" s="484"/>
      <c r="Y17" s="484"/>
      <c r="Z17" s="485" t="s">
        <v>326</v>
      </c>
    </row>
    <row r="18" spans="1:26" x14ac:dyDescent="0.3">
      <c r="A18" s="18"/>
      <c r="B18" s="181" t="s">
        <v>1126</v>
      </c>
      <c r="C18" s="181" t="s">
        <v>199</v>
      </c>
      <c r="D18" s="181" t="s">
        <v>1065</v>
      </c>
      <c r="E18" s="181">
        <v>30</v>
      </c>
      <c r="F18" s="21"/>
      <c r="G18" s="21"/>
      <c r="H18" s="30" t="str">
        <v>Smith</v>
      </c>
      <c r="I18" s="30" t="str">
        <v>Bob</v>
      </c>
      <c r="J18" s="30" t="str">
        <v>Age</v>
      </c>
      <c r="K18" s="30">
        <v>30</v>
      </c>
      <c r="L18" s="21"/>
      <c r="M18" s="21"/>
      <c r="N18" s="21"/>
      <c r="O18" s="20"/>
      <c r="Q18" s="484"/>
      <c r="R18" s="484"/>
      <c r="S18" s="484"/>
      <c r="T18" s="484"/>
      <c r="U18" s="484"/>
      <c r="V18" s="484"/>
      <c r="W18" s="484"/>
      <c r="X18" s="484"/>
      <c r="Y18" s="484"/>
      <c r="Z18" s="485"/>
    </row>
    <row r="19" spans="1:26" x14ac:dyDescent="0.3">
      <c r="A19" s="18"/>
      <c r="B19" s="181"/>
      <c r="C19" s="181"/>
      <c r="D19" s="181" t="s">
        <v>1119</v>
      </c>
      <c r="E19" s="181" t="s">
        <v>1122</v>
      </c>
      <c r="F19" s="21"/>
      <c r="G19" s="21"/>
      <c r="H19" s="30" t="str">
        <v>Smith</v>
      </c>
      <c r="I19" s="30" t="str">
        <v>Bob</v>
      </c>
      <c r="J19" s="30" t="str">
        <v>Occupation</v>
      </c>
      <c r="K19" s="30" t="str">
        <v>Engineer</v>
      </c>
      <c r="L19" s="21"/>
      <c r="M19" s="21"/>
      <c r="N19" s="21"/>
      <c r="O19" s="20"/>
      <c r="Q19" s="484"/>
      <c r="R19" s="484"/>
      <c r="S19" s="484"/>
      <c r="T19" s="484"/>
      <c r="U19" s="484"/>
      <c r="V19" s="484"/>
      <c r="W19" s="484"/>
      <c r="X19" s="484"/>
      <c r="Y19" s="484"/>
      <c r="Z19" s="485"/>
    </row>
    <row r="20" spans="1:26" ht="14.25" customHeight="1" x14ac:dyDescent="0.3">
      <c r="A20" s="18"/>
      <c r="B20" s="181"/>
      <c r="C20" s="181"/>
      <c r="D20" s="181" t="s">
        <v>1120</v>
      </c>
      <c r="E20" s="181">
        <v>5</v>
      </c>
      <c r="F20" s="21"/>
      <c r="G20" s="21"/>
      <c r="H20" s="30" t="str">
        <v>Smith</v>
      </c>
      <c r="I20" s="30" t="str">
        <v>Bob</v>
      </c>
      <c r="J20" s="30" t="str">
        <v>Years Experience</v>
      </c>
      <c r="K20" s="30">
        <v>5</v>
      </c>
      <c r="L20" s="21"/>
      <c r="M20" s="21"/>
      <c r="N20" s="21"/>
      <c r="O20" s="20"/>
      <c r="Q20" s="484" t="s">
        <v>1138</v>
      </c>
      <c r="R20" s="484"/>
      <c r="S20" s="484" t="s">
        <v>1830</v>
      </c>
      <c r="T20" s="484"/>
      <c r="U20" s="484"/>
      <c r="V20" s="484"/>
      <c r="W20" s="484"/>
      <c r="X20" s="484"/>
      <c r="Y20" s="484"/>
      <c r="Z20" s="485" t="s">
        <v>326</v>
      </c>
    </row>
    <row r="21" spans="1:26" x14ac:dyDescent="0.3">
      <c r="A21" s="18"/>
      <c r="B21" s="181"/>
      <c r="C21" s="181" t="s">
        <v>200</v>
      </c>
      <c r="D21" s="181" t="s">
        <v>1065</v>
      </c>
      <c r="E21" s="181">
        <v>34</v>
      </c>
      <c r="F21" s="21"/>
      <c r="G21" s="21"/>
      <c r="H21" s="30" t="str">
        <v>Smith</v>
      </c>
      <c r="I21" s="30" t="str">
        <v>Sally</v>
      </c>
      <c r="J21" s="30" t="str">
        <v>Age</v>
      </c>
      <c r="K21" s="30">
        <v>34</v>
      </c>
      <c r="L21" s="21"/>
      <c r="M21" s="21"/>
      <c r="N21" s="21"/>
      <c r="O21" s="20"/>
      <c r="Q21" s="484"/>
      <c r="R21" s="484"/>
      <c r="S21" s="484"/>
      <c r="T21" s="484"/>
      <c r="U21" s="484"/>
      <c r="V21" s="484"/>
      <c r="W21" s="484"/>
      <c r="X21" s="484"/>
      <c r="Y21" s="484"/>
      <c r="Z21" s="485"/>
    </row>
    <row r="22" spans="1:26" x14ac:dyDescent="0.3">
      <c r="A22" s="18"/>
      <c r="B22" s="181"/>
      <c r="C22" s="181"/>
      <c r="D22" s="181" t="s">
        <v>1119</v>
      </c>
      <c r="E22" s="181" t="s">
        <v>1122</v>
      </c>
      <c r="F22" s="21"/>
      <c r="G22" s="21"/>
      <c r="H22" s="30" t="str">
        <v>Smith</v>
      </c>
      <c r="I22" s="30" t="str">
        <v>Sally</v>
      </c>
      <c r="J22" s="30" t="str">
        <v>Occupation</v>
      </c>
      <c r="K22" s="30" t="str">
        <v>Engineer</v>
      </c>
      <c r="L22" s="21"/>
      <c r="M22" s="21"/>
      <c r="N22" s="21"/>
      <c r="O22" s="20"/>
      <c r="Q22" s="484"/>
      <c r="R22" s="484"/>
      <c r="S22" s="484"/>
      <c r="T22" s="484"/>
      <c r="U22" s="484"/>
      <c r="V22" s="484"/>
      <c r="W22" s="484"/>
      <c r="X22" s="484"/>
      <c r="Y22" s="484"/>
      <c r="Z22" s="485"/>
    </row>
    <row r="23" spans="1:26" ht="14.25" customHeight="1" x14ac:dyDescent="0.3">
      <c r="A23" s="18"/>
      <c r="B23" s="181"/>
      <c r="C23" s="181"/>
      <c r="D23" s="181" t="s">
        <v>1120</v>
      </c>
      <c r="E23" s="181">
        <v>10</v>
      </c>
      <c r="F23" s="21"/>
      <c r="G23" s="21"/>
      <c r="H23" s="30" t="str">
        <v>Smith</v>
      </c>
      <c r="I23" s="30" t="str">
        <v>Sally</v>
      </c>
      <c r="J23" s="30" t="str">
        <v>Years Experience</v>
      </c>
      <c r="K23" s="30">
        <v>10</v>
      </c>
      <c r="L23" s="21"/>
      <c r="M23" s="21"/>
      <c r="N23" s="21"/>
      <c r="O23" s="20"/>
      <c r="Q23" s="484" t="s">
        <v>1139</v>
      </c>
      <c r="R23" s="484"/>
      <c r="S23" s="484" t="s">
        <v>1146</v>
      </c>
      <c r="T23" s="484"/>
      <c r="U23" s="484"/>
      <c r="V23" s="484"/>
      <c r="W23" s="484"/>
      <c r="X23" s="484"/>
      <c r="Y23" s="484"/>
      <c r="Z23" s="485" t="s">
        <v>326</v>
      </c>
    </row>
    <row r="24" spans="1:26" x14ac:dyDescent="0.3">
      <c r="A24" s="18"/>
      <c r="B24" s="181" t="s">
        <v>1128</v>
      </c>
      <c r="C24" s="181" t="s">
        <v>1121</v>
      </c>
      <c r="D24" s="181" t="s">
        <v>1065</v>
      </c>
      <c r="E24" s="181">
        <v>28</v>
      </c>
      <c r="F24" s="21"/>
      <c r="G24" s="21"/>
      <c r="H24" s="30" t="str">
        <v>Buttons</v>
      </c>
      <c r="I24" s="30" t="str">
        <v>Cindy</v>
      </c>
      <c r="J24" s="30" t="str">
        <v>Age</v>
      </c>
      <c r="K24" s="30">
        <v>28</v>
      </c>
      <c r="L24" s="21"/>
      <c r="M24" s="21"/>
      <c r="N24" s="21"/>
      <c r="O24" s="20"/>
      <c r="Q24" s="484"/>
      <c r="R24" s="484"/>
      <c r="S24" s="484"/>
      <c r="T24" s="484"/>
      <c r="U24" s="484"/>
      <c r="V24" s="484"/>
      <c r="W24" s="484"/>
      <c r="X24" s="484"/>
      <c r="Y24" s="484"/>
      <c r="Z24" s="485"/>
    </row>
    <row r="25" spans="1:26" x14ac:dyDescent="0.3">
      <c r="A25" s="18"/>
      <c r="B25" s="181"/>
      <c r="C25" s="181"/>
      <c r="D25" s="181" t="s">
        <v>1119</v>
      </c>
      <c r="E25" s="181" t="s">
        <v>1123</v>
      </c>
      <c r="F25" s="21"/>
      <c r="G25" s="21"/>
      <c r="H25" s="30" t="str">
        <v>Buttons</v>
      </c>
      <c r="I25" s="30" t="str">
        <v>Cindy</v>
      </c>
      <c r="J25" s="30" t="str">
        <v>Occupation</v>
      </c>
      <c r="K25" s="30" t="str">
        <v>Designer</v>
      </c>
      <c r="L25" s="21"/>
      <c r="M25" s="21"/>
      <c r="N25" s="21"/>
      <c r="O25" s="20"/>
      <c r="Q25" s="484"/>
      <c r="R25" s="484"/>
      <c r="S25" s="484"/>
      <c r="T25" s="484"/>
      <c r="U25" s="484"/>
      <c r="V25" s="484"/>
      <c r="W25" s="484"/>
      <c r="X25" s="484"/>
      <c r="Y25" s="484"/>
      <c r="Z25" s="485"/>
    </row>
    <row r="26" spans="1:26" ht="14.25" customHeight="1" x14ac:dyDescent="0.3">
      <c r="A26" s="18"/>
      <c r="B26" s="181"/>
      <c r="C26" s="181"/>
      <c r="D26" s="181" t="s">
        <v>1120</v>
      </c>
      <c r="E26" s="181">
        <v>6</v>
      </c>
      <c r="F26" s="21"/>
      <c r="G26" s="21"/>
      <c r="H26" s="30" t="str">
        <v>Buttons</v>
      </c>
      <c r="I26" s="30" t="str">
        <v>Cindy</v>
      </c>
      <c r="J26" s="30" t="str">
        <v>Years Experience</v>
      </c>
      <c r="K26" s="30">
        <v>6</v>
      </c>
      <c r="L26" s="21"/>
      <c r="M26" s="21"/>
      <c r="N26" s="21"/>
      <c r="O26" s="20"/>
      <c r="Q26" s="484" t="s">
        <v>1140</v>
      </c>
      <c r="R26" s="484"/>
      <c r="S26" s="484" t="s">
        <v>1147</v>
      </c>
      <c r="T26" s="484"/>
      <c r="U26" s="484"/>
      <c r="V26" s="484"/>
      <c r="W26" s="484"/>
      <c r="X26" s="484"/>
      <c r="Y26" s="484"/>
      <c r="Z26" s="485" t="s">
        <v>326</v>
      </c>
    </row>
    <row r="27" spans="1:26" x14ac:dyDescent="0.3">
      <c r="A27" s="18"/>
      <c r="B27" s="181"/>
      <c r="C27" s="181" t="s">
        <v>1129</v>
      </c>
      <c r="D27" s="181" t="s">
        <v>1065</v>
      </c>
      <c r="E27" s="181">
        <v>50</v>
      </c>
      <c r="F27" s="21"/>
      <c r="G27" s="21"/>
      <c r="H27" s="30" t="str">
        <v>Buttons</v>
      </c>
      <c r="I27" s="30" t="str">
        <v>Eugene</v>
      </c>
      <c r="J27" s="30" t="str">
        <v>Age</v>
      </c>
      <c r="K27" s="30">
        <v>50</v>
      </c>
      <c r="L27" s="21"/>
      <c r="M27" s="21"/>
      <c r="N27" s="21"/>
      <c r="O27" s="20"/>
      <c r="Q27" s="484"/>
      <c r="R27" s="484"/>
      <c r="S27" s="484"/>
      <c r="T27" s="484"/>
      <c r="U27" s="484"/>
      <c r="V27" s="484"/>
      <c r="W27" s="484"/>
      <c r="X27" s="484"/>
      <c r="Y27" s="484"/>
      <c r="Z27" s="485"/>
    </row>
    <row r="28" spans="1:26" x14ac:dyDescent="0.3">
      <c r="A28" s="18"/>
      <c r="B28" s="181"/>
      <c r="C28" s="181"/>
      <c r="D28" s="181" t="s">
        <v>1119</v>
      </c>
      <c r="E28" s="181" t="s">
        <v>1130</v>
      </c>
      <c r="F28" s="21"/>
      <c r="G28" s="21"/>
      <c r="H28" s="30" t="str">
        <v>Buttons</v>
      </c>
      <c r="I28" s="30" t="str">
        <v>Eugene</v>
      </c>
      <c r="J28" s="30" t="str">
        <v>Occupation</v>
      </c>
      <c r="K28" s="30" t="str">
        <v>Editor</v>
      </c>
      <c r="L28" s="21"/>
      <c r="M28" s="21"/>
      <c r="N28" s="21"/>
      <c r="O28" s="20"/>
      <c r="Q28" s="484"/>
      <c r="R28" s="484"/>
      <c r="S28" s="484"/>
      <c r="T28" s="484"/>
      <c r="U28" s="484"/>
      <c r="V28" s="484"/>
      <c r="W28" s="484"/>
      <c r="X28" s="484"/>
      <c r="Y28" s="484"/>
      <c r="Z28" s="485"/>
    </row>
    <row r="29" spans="1:26" x14ac:dyDescent="0.3">
      <c r="A29" s="18"/>
      <c r="B29" s="181"/>
      <c r="C29" s="181"/>
      <c r="D29" s="181" t="s">
        <v>1120</v>
      </c>
      <c r="E29" s="181">
        <v>25</v>
      </c>
      <c r="F29" s="21"/>
      <c r="G29" s="21"/>
      <c r="H29" s="30" t="str">
        <v>Buttons</v>
      </c>
      <c r="I29" s="30" t="str">
        <v>Eugene</v>
      </c>
      <c r="J29" s="30" t="str">
        <v>Years Experience</v>
      </c>
      <c r="K29" s="30">
        <v>25</v>
      </c>
      <c r="L29" s="21"/>
      <c r="M29" s="21"/>
      <c r="N29" s="21"/>
      <c r="O29" s="20"/>
      <c r="Q29" s="484" t="s">
        <v>1141</v>
      </c>
      <c r="R29" s="484"/>
      <c r="S29" s="484" t="s">
        <v>2508</v>
      </c>
      <c r="T29" s="484"/>
      <c r="U29" s="484"/>
      <c r="V29" s="484"/>
      <c r="W29" s="484"/>
      <c r="X29" s="484"/>
      <c r="Y29" s="484"/>
      <c r="Z29" s="485" t="s">
        <v>326</v>
      </c>
    </row>
    <row r="30" spans="1:26" x14ac:dyDescent="0.3">
      <c r="A30" s="18"/>
      <c r="B30" s="117"/>
      <c r="C30" s="117"/>
      <c r="D30" s="117"/>
      <c r="E30" s="21"/>
      <c r="F30" s="21"/>
      <c r="G30" s="21"/>
      <c r="H30" s="21"/>
      <c r="I30" s="21"/>
      <c r="J30" s="21"/>
      <c r="K30" s="21"/>
      <c r="L30" s="21"/>
      <c r="M30" s="21"/>
      <c r="N30" s="21"/>
      <c r="O30" s="20"/>
      <c r="Q30" s="484"/>
      <c r="R30" s="484"/>
      <c r="S30" s="484"/>
      <c r="T30" s="484"/>
      <c r="U30" s="484"/>
      <c r="V30" s="484"/>
      <c r="W30" s="484"/>
      <c r="X30" s="484"/>
      <c r="Y30" s="484"/>
      <c r="Z30" s="485"/>
    </row>
    <row r="31" spans="1:26" x14ac:dyDescent="0.3">
      <c r="A31" s="18"/>
      <c r="B31" s="117"/>
      <c r="C31" s="117"/>
      <c r="D31" s="117"/>
      <c r="E31" s="21"/>
      <c r="F31" s="21"/>
      <c r="G31" s="21"/>
      <c r="H31" s="483" t="s">
        <v>3429</v>
      </c>
      <c r="I31" s="483"/>
      <c r="J31" s="483"/>
      <c r="K31" s="483"/>
      <c r="L31" s="117"/>
      <c r="M31" s="21"/>
      <c r="N31" s="21"/>
      <c r="O31" s="20"/>
      <c r="Q31" s="484"/>
      <c r="R31" s="484"/>
      <c r="S31" s="484"/>
      <c r="T31" s="484"/>
      <c r="U31" s="484"/>
      <c r="V31" s="484"/>
      <c r="W31" s="484"/>
      <c r="X31" s="484"/>
      <c r="Y31" s="484"/>
      <c r="Z31" s="485"/>
    </row>
    <row r="32" spans="1:26" x14ac:dyDescent="0.3">
      <c r="A32" s="18"/>
      <c r="B32" s="3" t="s">
        <v>1125</v>
      </c>
      <c r="C32" s="3" t="s">
        <v>1124</v>
      </c>
      <c r="D32" s="3" t="s">
        <v>16</v>
      </c>
      <c r="E32" s="3" t="s">
        <v>17</v>
      </c>
      <c r="F32" s="21"/>
      <c r="G32" s="21"/>
      <c r="H32" s="3" t="str">
        <f t="array" ref="H32:K44">_xll.U.FILL_LABELS(B32:E44,2,{4,-3})</f>
        <v>Last Name</v>
      </c>
      <c r="I32" s="3" t="str">
        <v>First Name</v>
      </c>
      <c r="J32" s="3" t="str">
        <v>Key</v>
      </c>
      <c r="K32" s="3" t="str">
        <v>Value</v>
      </c>
      <c r="L32" s="117"/>
      <c r="M32" s="21"/>
      <c r="N32" s="21"/>
      <c r="O32" s="20"/>
      <c r="Q32" s="484" t="s">
        <v>2509</v>
      </c>
      <c r="R32" s="484"/>
      <c r="S32" s="484" t="s">
        <v>2510</v>
      </c>
      <c r="T32" s="484"/>
      <c r="U32" s="484"/>
      <c r="V32" s="484"/>
      <c r="W32" s="484"/>
      <c r="X32" s="484"/>
      <c r="Y32" s="484"/>
      <c r="Z32" s="485" t="s">
        <v>326</v>
      </c>
    </row>
    <row r="33" spans="1:26" x14ac:dyDescent="0.3">
      <c r="A33" s="18"/>
      <c r="B33" s="243" t="s">
        <v>1149</v>
      </c>
      <c r="C33" s="181"/>
      <c r="D33" s="181"/>
      <c r="E33" s="181"/>
      <c r="F33" s="21"/>
      <c r="G33" s="21"/>
      <c r="H33" s="30" t="str">
        <v>updated 10/19</v>
      </c>
      <c r="I33" s="30" t="str">
        <v/>
      </c>
      <c r="J33" s="30" t="str">
        <v/>
      </c>
      <c r="K33" s="30" t="str">
        <v/>
      </c>
      <c r="L33" s="117"/>
      <c r="M33" s="21"/>
      <c r="N33" s="21"/>
      <c r="O33" s="20"/>
      <c r="Q33" s="484"/>
      <c r="R33" s="484"/>
      <c r="S33" s="484"/>
      <c r="T33" s="484"/>
      <c r="U33" s="484"/>
      <c r="V33" s="484"/>
      <c r="W33" s="484"/>
      <c r="X33" s="484"/>
      <c r="Y33" s="484"/>
      <c r="Z33" s="485"/>
    </row>
    <row r="34" spans="1:26" x14ac:dyDescent="0.3">
      <c r="A34" s="18"/>
      <c r="B34" s="181"/>
      <c r="C34" s="181"/>
      <c r="D34" s="181"/>
      <c r="E34" s="181"/>
      <c r="F34" s="21"/>
      <c r="G34" s="21"/>
      <c r="H34" s="30" t="str">
        <v/>
      </c>
      <c r="I34" s="30" t="str">
        <v/>
      </c>
      <c r="J34" s="30" t="str">
        <v/>
      </c>
      <c r="K34" s="30" t="str">
        <v/>
      </c>
      <c r="L34" s="117"/>
      <c r="M34" s="21"/>
      <c r="N34" s="21"/>
      <c r="O34" s="20"/>
      <c r="Q34" s="484"/>
      <c r="R34" s="484"/>
      <c r="S34" s="484"/>
      <c r="T34" s="484"/>
      <c r="U34" s="484"/>
      <c r="V34" s="484"/>
      <c r="W34" s="484"/>
      <c r="X34" s="484"/>
      <c r="Y34" s="484"/>
      <c r="Z34" s="485"/>
    </row>
    <row r="35" spans="1:26" x14ac:dyDescent="0.3">
      <c r="A35" s="18"/>
      <c r="B35" s="181"/>
      <c r="C35" s="181"/>
      <c r="D35" s="181"/>
      <c r="E35" s="181"/>
      <c r="F35" s="21"/>
      <c r="G35" s="21"/>
      <c r="H35" s="30" t="str">
        <v/>
      </c>
      <c r="I35" s="30" t="str">
        <v/>
      </c>
      <c r="J35" s="30" t="str">
        <v/>
      </c>
      <c r="K35" s="30" t="str">
        <v/>
      </c>
      <c r="L35" s="117"/>
      <c r="M35" s="21"/>
      <c r="N35" s="21"/>
      <c r="O35" s="20"/>
      <c r="Q35" s="126" t="s">
        <v>328</v>
      </c>
    </row>
    <row r="36" spans="1:26" x14ac:dyDescent="0.3">
      <c r="A36" s="18"/>
      <c r="B36" s="181" t="s">
        <v>1126</v>
      </c>
      <c r="C36" s="181" t="s">
        <v>200</v>
      </c>
      <c r="D36" s="181" t="s">
        <v>1065</v>
      </c>
      <c r="E36" s="181">
        <v>34</v>
      </c>
      <c r="F36" s="21"/>
      <c r="G36" s="21"/>
      <c r="H36" s="30" t="str">
        <v>Smith</v>
      </c>
      <c r="I36" s="30" t="str">
        <v>Sally</v>
      </c>
      <c r="J36" s="30" t="str">
        <v>Age</v>
      </c>
      <c r="K36" s="30">
        <v>34</v>
      </c>
      <c r="L36" s="117"/>
      <c r="M36" s="21"/>
      <c r="N36" s="21"/>
      <c r="O36" s="20"/>
    </row>
    <row r="37" spans="1:26" x14ac:dyDescent="0.3">
      <c r="A37" s="18"/>
      <c r="B37" s="181"/>
      <c r="C37" s="181"/>
      <c r="D37" s="181" t="s">
        <v>1119</v>
      </c>
      <c r="E37" s="181" t="s">
        <v>1122</v>
      </c>
      <c r="F37" s="21"/>
      <c r="G37" s="21"/>
      <c r="H37" s="30" t="str">
        <v>Smith</v>
      </c>
      <c r="I37" s="30" t="str">
        <v>Sally</v>
      </c>
      <c r="J37" s="30" t="str">
        <v>Occupation</v>
      </c>
      <c r="K37" s="30" t="str">
        <v>Engineer</v>
      </c>
      <c r="L37" s="117"/>
      <c r="M37" s="21"/>
      <c r="N37" s="21"/>
      <c r="O37" s="20"/>
    </row>
    <row r="38" spans="1:26" x14ac:dyDescent="0.3">
      <c r="A38" s="18"/>
      <c r="B38" s="181"/>
      <c r="C38" s="181"/>
      <c r="D38" s="181" t="s">
        <v>1120</v>
      </c>
      <c r="E38" s="181">
        <v>10</v>
      </c>
      <c r="F38" s="21"/>
      <c r="G38" s="21"/>
      <c r="H38" s="30" t="str">
        <v>Smith</v>
      </c>
      <c r="I38" s="30" t="str">
        <v>Sally</v>
      </c>
      <c r="J38" s="30" t="str">
        <v>Years Experience</v>
      </c>
      <c r="K38" s="30">
        <v>10</v>
      </c>
      <c r="L38" s="117"/>
      <c r="M38" s="21"/>
      <c r="N38" s="21"/>
      <c r="O38" s="20"/>
    </row>
    <row r="39" spans="1:26" x14ac:dyDescent="0.3">
      <c r="A39" s="18"/>
      <c r="B39" s="181"/>
      <c r="C39" s="181" t="s">
        <v>1121</v>
      </c>
      <c r="D39" s="181" t="s">
        <v>1065</v>
      </c>
      <c r="E39" s="181">
        <v>28</v>
      </c>
      <c r="F39" s="21"/>
      <c r="G39" s="21"/>
      <c r="H39" s="30" t="str">
        <v>Smith</v>
      </c>
      <c r="I39" s="30" t="str">
        <v>Cindy</v>
      </c>
      <c r="J39" s="30" t="str">
        <v>Age</v>
      </c>
      <c r="K39" s="30">
        <v>28</v>
      </c>
      <c r="L39" s="117"/>
      <c r="M39" s="21"/>
      <c r="N39" s="21"/>
      <c r="O39" s="20"/>
    </row>
    <row r="40" spans="1:26" x14ac:dyDescent="0.3">
      <c r="A40" s="18"/>
      <c r="B40" s="181"/>
      <c r="C40" s="181"/>
      <c r="D40" s="181" t="s">
        <v>1119</v>
      </c>
      <c r="E40" s="181" t="s">
        <v>1123</v>
      </c>
      <c r="F40" s="21"/>
      <c r="G40" s="21"/>
      <c r="H40" s="30" t="str">
        <v>Smith</v>
      </c>
      <c r="I40" s="30" t="str">
        <v>Cindy</v>
      </c>
      <c r="J40" s="30" t="str">
        <v>Occupation</v>
      </c>
      <c r="K40" s="30" t="str">
        <v>Designer</v>
      </c>
      <c r="L40" s="117"/>
      <c r="M40" s="21"/>
      <c r="N40" s="21"/>
      <c r="O40" s="20"/>
    </row>
    <row r="41" spans="1:26" x14ac:dyDescent="0.3">
      <c r="A41" s="18"/>
      <c r="B41" s="181"/>
      <c r="C41" s="181"/>
      <c r="D41" s="181" t="s">
        <v>1120</v>
      </c>
      <c r="E41" s="181">
        <v>6</v>
      </c>
      <c r="F41" s="21"/>
      <c r="G41" s="21"/>
      <c r="H41" s="30" t="str">
        <v>Smith</v>
      </c>
      <c r="I41" s="30" t="str">
        <v>Cindy</v>
      </c>
      <c r="J41" s="30" t="str">
        <v>Years Experience</v>
      </c>
      <c r="K41" s="30">
        <v>6</v>
      </c>
      <c r="L41" s="117"/>
      <c r="M41" s="21"/>
      <c r="N41" s="21"/>
      <c r="O41" s="20"/>
    </row>
    <row r="42" spans="1:26" x14ac:dyDescent="0.3">
      <c r="A42" s="18"/>
      <c r="B42" s="181"/>
      <c r="C42" s="181" t="s">
        <v>1148</v>
      </c>
      <c r="D42" s="181" t="s">
        <v>1065</v>
      </c>
      <c r="E42" s="181">
        <v>50</v>
      </c>
      <c r="F42" s="21"/>
      <c r="G42" s="21"/>
      <c r="H42" s="30" t="str">
        <v>Smith</v>
      </c>
      <c r="I42" s="30" t="str">
        <v>Eugene*</v>
      </c>
      <c r="J42" s="30" t="str">
        <v>Age</v>
      </c>
      <c r="K42" s="151">
        <v>50</v>
      </c>
      <c r="L42" s="117"/>
      <c r="M42" s="21"/>
      <c r="N42" s="21"/>
      <c r="O42" s="20"/>
    </row>
    <row r="43" spans="1:26" x14ac:dyDescent="0.3">
      <c r="A43" s="18"/>
      <c r="B43" s="181"/>
      <c r="C43" s="181"/>
      <c r="D43" s="181"/>
      <c r="E43" s="181"/>
      <c r="F43" s="21"/>
      <c r="G43" s="21"/>
      <c r="H43" s="30" t="str">
        <v/>
      </c>
      <c r="I43" s="30" t="str">
        <v/>
      </c>
      <c r="J43" s="30" t="str">
        <v/>
      </c>
      <c r="K43" s="100" t="str">
        <v/>
      </c>
      <c r="L43" s="117"/>
      <c r="M43" s="21"/>
      <c r="N43" s="21"/>
      <c r="O43" s="20"/>
    </row>
    <row r="44" spans="1:26" x14ac:dyDescent="0.3">
      <c r="A44" s="18"/>
      <c r="B44" s="181" t="s">
        <v>1150</v>
      </c>
      <c r="C44" s="181"/>
      <c r="D44" s="181"/>
      <c r="E44" s="181"/>
      <c r="F44" s="21"/>
      <c r="G44" s="21"/>
      <c r="H44" s="30" t="str">
        <v>*retired</v>
      </c>
      <c r="I44" s="30" t="str">
        <v/>
      </c>
      <c r="J44" s="30" t="str">
        <v/>
      </c>
      <c r="K44" s="100" t="str">
        <v/>
      </c>
      <c r="L44" s="117"/>
      <c r="M44" s="21"/>
      <c r="N44" s="21"/>
      <c r="O44" s="20"/>
    </row>
    <row r="45" spans="1:26" x14ac:dyDescent="0.3">
      <c r="A45" s="18"/>
      <c r="B45" s="117"/>
      <c r="C45" s="117"/>
      <c r="D45" s="117"/>
      <c r="E45" s="21"/>
      <c r="F45" s="21"/>
      <c r="G45" s="21"/>
      <c r="H45" s="21"/>
      <c r="I45" s="21"/>
      <c r="J45" s="21"/>
      <c r="K45" s="117"/>
      <c r="L45" s="117"/>
      <c r="M45" s="21"/>
      <c r="N45" s="21"/>
      <c r="O45" s="20"/>
    </row>
    <row r="46" spans="1:26" x14ac:dyDescent="0.3">
      <c r="A46" s="18"/>
      <c r="B46" s="117"/>
      <c r="C46" s="117"/>
      <c r="D46" s="117"/>
      <c r="E46" s="21"/>
      <c r="F46" s="21"/>
      <c r="G46" s="21"/>
      <c r="H46" s="21"/>
      <c r="I46" s="21"/>
      <c r="J46" s="21"/>
      <c r="K46" s="117"/>
      <c r="L46" s="117"/>
      <c r="M46" s="21"/>
      <c r="N46" s="21"/>
      <c r="O46" s="20"/>
    </row>
    <row r="47" spans="1:26" x14ac:dyDescent="0.3">
      <c r="A47" s="18"/>
      <c r="B47" s="117"/>
      <c r="C47" s="117"/>
      <c r="D47" s="117"/>
      <c r="E47" s="21"/>
      <c r="F47" s="21"/>
      <c r="G47" s="21"/>
      <c r="H47" s="483" t="s">
        <v>3429</v>
      </c>
      <c r="I47" s="483"/>
      <c r="J47" s="483"/>
      <c r="K47" s="117"/>
      <c r="L47" s="117"/>
      <c r="M47" s="21"/>
      <c r="N47" s="21"/>
      <c r="O47" s="20"/>
    </row>
    <row r="48" spans="1:26" x14ac:dyDescent="0.3">
      <c r="A48" s="18"/>
      <c r="B48" s="3" t="s">
        <v>1125</v>
      </c>
      <c r="C48" s="3" t="s">
        <v>16</v>
      </c>
      <c r="D48" s="3" t="s">
        <v>17</v>
      </c>
      <c r="E48" s="21"/>
      <c r="F48" s="21"/>
      <c r="G48" s="21"/>
      <c r="H48" s="3" t="str">
        <f t="array" ref="H48:J59">_xll.U.FILL_LABELS(B48:E59,1,,"Key")</f>
        <v>Last Name</v>
      </c>
      <c r="I48" s="3" t="str">
        <v>Key</v>
      </c>
      <c r="J48" s="3" t="str">
        <v>Value</v>
      </c>
      <c r="K48" s="117"/>
      <c r="L48" s="117"/>
      <c r="M48" s="21"/>
      <c r="N48" s="21"/>
      <c r="O48" s="20"/>
    </row>
    <row r="49" spans="1:15" x14ac:dyDescent="0.3">
      <c r="A49" s="18"/>
      <c r="B49" s="181" t="s">
        <v>1126</v>
      </c>
      <c r="C49" s="181" t="s">
        <v>1065</v>
      </c>
      <c r="D49" s="181">
        <v>30</v>
      </c>
      <c r="E49" s="21"/>
      <c r="F49" s="21"/>
      <c r="G49" s="21"/>
      <c r="H49" s="30" t="str">
        <v>Smith</v>
      </c>
      <c r="I49" s="30" t="str">
        <v>Age</v>
      </c>
      <c r="J49" s="30">
        <v>30</v>
      </c>
      <c r="K49" s="117"/>
      <c r="L49" s="117"/>
      <c r="M49" s="21"/>
      <c r="N49" s="21"/>
      <c r="O49" s="20"/>
    </row>
    <row r="50" spans="1:15" x14ac:dyDescent="0.3">
      <c r="A50" s="18"/>
      <c r="B50" s="181"/>
      <c r="C50" s="181" t="s">
        <v>1119</v>
      </c>
      <c r="D50" s="181" t="s">
        <v>1122</v>
      </c>
      <c r="E50" s="21"/>
      <c r="F50" s="21"/>
      <c r="G50" s="21"/>
      <c r="H50" s="30" t="str">
        <v>Smith</v>
      </c>
      <c r="I50" s="30" t="str">
        <v>Occupation</v>
      </c>
      <c r="J50" s="30" t="str">
        <v>Engineer</v>
      </c>
      <c r="K50" s="117"/>
      <c r="L50" s="117"/>
      <c r="M50" s="21"/>
      <c r="N50" s="21"/>
      <c r="O50" s="20"/>
    </row>
    <row r="51" spans="1:15" x14ac:dyDescent="0.3">
      <c r="A51" s="18"/>
      <c r="B51" s="181"/>
      <c r="C51" s="181" t="s">
        <v>1120</v>
      </c>
      <c r="D51" s="181">
        <v>5</v>
      </c>
      <c r="E51" s="21"/>
      <c r="F51" s="21"/>
      <c r="G51" s="21"/>
      <c r="H51" s="30" t="str">
        <v>Smith</v>
      </c>
      <c r="I51" s="30" t="str">
        <v>Years Experience</v>
      </c>
      <c r="J51" s="30">
        <v>5</v>
      </c>
      <c r="K51" s="117"/>
      <c r="L51" s="117"/>
      <c r="M51" s="21"/>
      <c r="N51" s="21"/>
      <c r="O51" s="20"/>
    </row>
    <row r="52" spans="1:15" x14ac:dyDescent="0.3">
      <c r="A52" s="18"/>
      <c r="B52" s="181"/>
      <c r="C52" s="181"/>
      <c r="D52" s="244" t="s">
        <v>1151</v>
      </c>
      <c r="E52" s="21"/>
      <c r="F52" s="21"/>
      <c r="G52" s="21"/>
      <c r="H52" s="30" t="str">
        <v/>
      </c>
      <c r="I52" s="30" t="str">
        <v/>
      </c>
      <c r="J52" s="30" t="str">
        <v>--</v>
      </c>
      <c r="K52" s="117"/>
      <c r="L52" s="117"/>
      <c r="M52" s="21"/>
      <c r="N52" s="21"/>
      <c r="O52" s="20"/>
    </row>
    <row r="53" spans="1:15" x14ac:dyDescent="0.3">
      <c r="A53" s="18"/>
      <c r="B53" s="181" t="s">
        <v>1127</v>
      </c>
      <c r="C53" s="181" t="s">
        <v>1065</v>
      </c>
      <c r="D53" s="181">
        <v>34</v>
      </c>
      <c r="E53" s="21"/>
      <c r="F53" s="21"/>
      <c r="G53" s="21"/>
      <c r="H53" s="30" t="str">
        <v>Jones</v>
      </c>
      <c r="I53" s="30" t="str">
        <v>Age</v>
      </c>
      <c r="J53" s="30">
        <v>34</v>
      </c>
      <c r="K53" s="117"/>
      <c r="L53" s="117"/>
      <c r="M53" s="21"/>
      <c r="N53" s="21"/>
      <c r="O53" s="20"/>
    </row>
    <row r="54" spans="1:15" x14ac:dyDescent="0.3">
      <c r="A54" s="18"/>
      <c r="B54" s="181"/>
      <c r="C54" s="181" t="s">
        <v>1119</v>
      </c>
      <c r="D54" s="181" t="s">
        <v>1122</v>
      </c>
      <c r="E54" s="21"/>
      <c r="F54" s="21"/>
      <c r="G54" s="21"/>
      <c r="H54" s="30" t="str">
        <v>Jones</v>
      </c>
      <c r="I54" s="30" t="str">
        <v>Occupation</v>
      </c>
      <c r="J54" s="30" t="str">
        <v>Engineer</v>
      </c>
      <c r="K54" s="117"/>
      <c r="L54" s="117"/>
      <c r="M54" s="21"/>
      <c r="N54" s="21"/>
      <c r="O54" s="20"/>
    </row>
    <row r="55" spans="1:15" x14ac:dyDescent="0.3">
      <c r="A55" s="18"/>
      <c r="B55" s="181"/>
      <c r="C55" s="181" t="s">
        <v>1120</v>
      </c>
      <c r="D55" s="181">
        <v>10</v>
      </c>
      <c r="E55" s="21"/>
      <c r="F55" s="21"/>
      <c r="G55" s="21"/>
      <c r="H55" s="30" t="str">
        <v>Jones</v>
      </c>
      <c r="I55" s="30" t="str">
        <v>Years Experience</v>
      </c>
      <c r="J55" s="30">
        <v>10</v>
      </c>
      <c r="K55" s="117"/>
      <c r="L55" s="117"/>
      <c r="M55" s="21"/>
      <c r="N55" s="21"/>
      <c r="O55" s="20"/>
    </row>
    <row r="56" spans="1:15" x14ac:dyDescent="0.3">
      <c r="A56" s="18"/>
      <c r="B56" s="181"/>
      <c r="C56" s="181"/>
      <c r="D56" s="244" t="s">
        <v>1151</v>
      </c>
      <c r="E56" s="21"/>
      <c r="F56" s="21"/>
      <c r="G56" s="21"/>
      <c r="H56" s="30" t="str">
        <v/>
      </c>
      <c r="I56" s="30" t="str">
        <v/>
      </c>
      <c r="J56" s="30" t="str">
        <v>--</v>
      </c>
      <c r="K56" s="117"/>
      <c r="L56" s="117"/>
      <c r="M56" s="21"/>
      <c r="N56" s="21"/>
      <c r="O56" s="20"/>
    </row>
    <row r="57" spans="1:15" x14ac:dyDescent="0.3">
      <c r="A57" s="18"/>
      <c r="B57" s="181" t="s">
        <v>1128</v>
      </c>
      <c r="C57" s="181" t="s">
        <v>1065</v>
      </c>
      <c r="D57" s="181">
        <v>28</v>
      </c>
      <c r="E57" s="21"/>
      <c r="F57" s="21"/>
      <c r="G57" s="21"/>
      <c r="H57" s="30" t="str">
        <v>Buttons</v>
      </c>
      <c r="I57" s="30" t="str">
        <v>Age</v>
      </c>
      <c r="J57" s="30">
        <v>28</v>
      </c>
      <c r="K57" s="117"/>
      <c r="L57" s="117"/>
      <c r="M57" s="21"/>
      <c r="N57" s="21"/>
      <c r="O57" s="20"/>
    </row>
    <row r="58" spans="1:15" x14ac:dyDescent="0.3">
      <c r="A58" s="18"/>
      <c r="B58" s="181"/>
      <c r="C58" s="181" t="s">
        <v>1119</v>
      </c>
      <c r="D58" s="181" t="s">
        <v>1123</v>
      </c>
      <c r="E58" s="21"/>
      <c r="F58" s="21"/>
      <c r="G58" s="21"/>
      <c r="H58" s="30" t="str">
        <v>Buttons</v>
      </c>
      <c r="I58" s="30" t="str">
        <v>Occupation</v>
      </c>
      <c r="J58" s="30" t="str">
        <v>Designer</v>
      </c>
      <c r="K58" s="117"/>
      <c r="L58" s="117"/>
      <c r="M58" s="21"/>
      <c r="N58" s="21"/>
      <c r="O58" s="20"/>
    </row>
    <row r="59" spans="1:15" x14ac:dyDescent="0.3">
      <c r="A59" s="18"/>
      <c r="B59" s="181"/>
      <c r="C59" s="181" t="s">
        <v>1120</v>
      </c>
      <c r="D59" s="181">
        <v>6</v>
      </c>
      <c r="E59" s="21"/>
      <c r="F59" s="21"/>
      <c r="G59" s="21"/>
      <c r="H59" s="30" t="str">
        <v>Buttons</v>
      </c>
      <c r="I59" s="30" t="str">
        <v>Years Experience</v>
      </c>
      <c r="J59" s="30">
        <v>6</v>
      </c>
      <c r="K59" s="117"/>
      <c r="L59" s="117"/>
      <c r="M59" s="21"/>
      <c r="N59" s="21"/>
      <c r="O59" s="20"/>
    </row>
    <row r="60" spans="1:15" x14ac:dyDescent="0.3">
      <c r="A60" s="18"/>
      <c r="B60" s="117"/>
      <c r="C60" s="117"/>
      <c r="D60" s="117"/>
      <c r="E60" s="21"/>
      <c r="F60" s="21"/>
      <c r="G60" s="21"/>
      <c r="H60" s="21"/>
      <c r="I60" s="21"/>
      <c r="J60" s="21"/>
      <c r="K60" s="117"/>
      <c r="L60" s="117"/>
      <c r="M60" s="21"/>
      <c r="N60" s="21"/>
      <c r="O60" s="20"/>
    </row>
    <row r="61" spans="1:15" x14ac:dyDescent="0.3">
      <c r="A61" s="18"/>
      <c r="B61" s="117"/>
      <c r="C61" s="117"/>
      <c r="D61" s="117"/>
      <c r="E61" s="21"/>
      <c r="F61" s="21"/>
      <c r="G61" s="21"/>
      <c r="H61" s="21"/>
      <c r="I61" s="21"/>
      <c r="J61" s="21"/>
      <c r="K61" s="117"/>
      <c r="L61" s="117"/>
      <c r="M61" s="21"/>
      <c r="N61" s="21"/>
      <c r="O61" s="20"/>
    </row>
    <row r="62" spans="1:15" x14ac:dyDescent="0.3">
      <c r="A62" s="18"/>
      <c r="B62" s="117"/>
      <c r="C62" s="117"/>
      <c r="D62" s="117"/>
      <c r="E62" s="21"/>
      <c r="F62" s="21"/>
      <c r="G62" s="21"/>
      <c r="H62" s="21"/>
      <c r="I62" s="21"/>
      <c r="J62" s="21"/>
      <c r="K62" s="117"/>
      <c r="L62" s="117"/>
      <c r="M62" s="21"/>
      <c r="N62" s="21"/>
      <c r="O62" s="20"/>
    </row>
    <row r="63" spans="1:15" x14ac:dyDescent="0.3">
      <c r="A63" s="18"/>
      <c r="B63" s="117"/>
      <c r="C63" s="117"/>
      <c r="D63" s="117"/>
      <c r="E63" s="21"/>
      <c r="F63" s="21"/>
      <c r="G63" s="21"/>
      <c r="H63" s="21"/>
      <c r="I63" s="21"/>
      <c r="J63" s="21"/>
      <c r="K63" s="117"/>
      <c r="L63" s="117"/>
      <c r="M63" s="21"/>
      <c r="N63" s="21"/>
      <c r="O63" s="20"/>
    </row>
    <row r="64" spans="1:15" x14ac:dyDescent="0.3">
      <c r="A64" s="18"/>
      <c r="B64" s="117"/>
      <c r="C64" s="117"/>
      <c r="D64" s="117"/>
      <c r="E64" s="21"/>
      <c r="F64" s="21"/>
      <c r="G64" s="21"/>
      <c r="H64" s="21"/>
      <c r="I64" s="21"/>
      <c r="J64" s="21"/>
      <c r="K64" s="117"/>
      <c r="L64" s="117"/>
      <c r="M64" s="21"/>
      <c r="N64" s="21"/>
      <c r="O64" s="20"/>
    </row>
    <row r="65" spans="1:15" x14ac:dyDescent="0.3">
      <c r="A65" s="18"/>
      <c r="B65" s="117"/>
      <c r="C65" s="117"/>
      <c r="D65" s="117"/>
      <c r="E65" s="21"/>
      <c r="F65" s="21"/>
      <c r="G65" s="21"/>
      <c r="H65" s="21"/>
      <c r="I65" s="21"/>
      <c r="J65" s="21"/>
      <c r="K65" s="117"/>
      <c r="L65" s="117"/>
      <c r="M65" s="21"/>
      <c r="N65" s="21"/>
      <c r="O65" s="20"/>
    </row>
    <row r="66" spans="1:15" x14ac:dyDescent="0.3">
      <c r="A66" s="18"/>
      <c r="B66" s="117"/>
      <c r="C66" s="117"/>
      <c r="D66" s="237">
        <v>2018</v>
      </c>
      <c r="E66" s="237"/>
      <c r="F66" s="237"/>
      <c r="G66" s="237"/>
      <c r="H66" s="237">
        <v>2019</v>
      </c>
      <c r="I66" s="237"/>
      <c r="J66" s="237"/>
      <c r="K66" s="237"/>
      <c r="L66" s="117"/>
      <c r="M66" s="21"/>
      <c r="N66" s="21"/>
      <c r="O66" s="20"/>
    </row>
    <row r="67" spans="1:15" x14ac:dyDescent="0.3">
      <c r="A67" s="18"/>
      <c r="B67" s="117"/>
      <c r="C67" s="117"/>
      <c r="D67" s="238" t="s">
        <v>1131</v>
      </c>
      <c r="E67" s="237"/>
      <c r="F67" s="238" t="s">
        <v>1132</v>
      </c>
      <c r="G67" s="238"/>
      <c r="H67" s="238" t="s">
        <v>1131</v>
      </c>
      <c r="I67" s="237"/>
      <c r="J67" s="238" t="s">
        <v>1132</v>
      </c>
      <c r="K67" s="238"/>
      <c r="L67" s="117"/>
      <c r="M67" s="21"/>
      <c r="N67" s="21"/>
      <c r="O67" s="20"/>
    </row>
    <row r="68" spans="1:15" x14ac:dyDescent="0.3">
      <c r="A68" s="18"/>
      <c r="B68" s="117"/>
      <c r="C68" s="117"/>
      <c r="D68" s="237" t="s">
        <v>16</v>
      </c>
      <c r="E68" s="237" t="s">
        <v>17</v>
      </c>
      <c r="F68" s="237" t="s">
        <v>16</v>
      </c>
      <c r="G68" s="237" t="s">
        <v>17</v>
      </c>
      <c r="H68" s="237" t="s">
        <v>16</v>
      </c>
      <c r="I68" s="237" t="s">
        <v>17</v>
      </c>
      <c r="J68" s="237" t="s">
        <v>16</v>
      </c>
      <c r="K68" s="237" t="s">
        <v>17</v>
      </c>
      <c r="L68" s="117"/>
      <c r="M68" s="21"/>
      <c r="N68" s="21"/>
      <c r="O68" s="20"/>
    </row>
    <row r="69" spans="1:15" x14ac:dyDescent="0.3">
      <c r="A69" s="18"/>
      <c r="B69" s="237" t="s">
        <v>1126</v>
      </c>
      <c r="C69" s="237" t="s">
        <v>199</v>
      </c>
      <c r="D69" s="181" t="s">
        <v>1065</v>
      </c>
      <c r="E69" s="181">
        <v>30</v>
      </c>
      <c r="F69" s="181" t="s">
        <v>1065</v>
      </c>
      <c r="G69" s="181">
        <v>31</v>
      </c>
      <c r="H69" s="181" t="s">
        <v>1065</v>
      </c>
      <c r="I69" s="181">
        <v>31</v>
      </c>
      <c r="J69" s="181" t="s">
        <v>1065</v>
      </c>
      <c r="K69" s="181">
        <v>32</v>
      </c>
      <c r="L69" s="117"/>
      <c r="M69" s="21"/>
      <c r="N69" s="21"/>
      <c r="O69" s="20"/>
    </row>
    <row r="70" spans="1:15" x14ac:dyDescent="0.3">
      <c r="A70" s="18"/>
      <c r="B70" s="237"/>
      <c r="C70" s="237"/>
      <c r="D70" s="181" t="s">
        <v>1119</v>
      </c>
      <c r="E70" s="181" t="s">
        <v>1122</v>
      </c>
      <c r="F70" s="181" t="s">
        <v>1119</v>
      </c>
      <c r="G70" s="181" t="s">
        <v>1123</v>
      </c>
      <c r="H70" s="181" t="s">
        <v>1119</v>
      </c>
      <c r="I70" s="181" t="s">
        <v>1123</v>
      </c>
      <c r="J70" s="181" t="s">
        <v>1119</v>
      </c>
      <c r="K70" s="181" t="s">
        <v>1123</v>
      </c>
      <c r="L70" s="117"/>
      <c r="M70" s="21"/>
      <c r="N70" s="21"/>
      <c r="O70" s="20"/>
    </row>
    <row r="71" spans="1:15" x14ac:dyDescent="0.3">
      <c r="A71" s="18"/>
      <c r="B71" s="237"/>
      <c r="C71" s="237"/>
      <c r="D71" s="181" t="s">
        <v>1120</v>
      </c>
      <c r="E71" s="181">
        <v>5</v>
      </c>
      <c r="F71" s="181" t="s">
        <v>1120</v>
      </c>
      <c r="G71" s="181">
        <v>5</v>
      </c>
      <c r="H71" s="181" t="s">
        <v>1120</v>
      </c>
      <c r="I71" s="181">
        <v>6</v>
      </c>
      <c r="J71" s="181" t="s">
        <v>1120</v>
      </c>
      <c r="K71" s="181">
        <v>6</v>
      </c>
      <c r="L71" s="117"/>
      <c r="M71" s="21"/>
      <c r="N71" s="21"/>
      <c r="O71" s="20"/>
    </row>
    <row r="72" spans="1:15" x14ac:dyDescent="0.3">
      <c r="A72" s="18"/>
      <c r="B72" s="237"/>
      <c r="C72" s="237" t="s">
        <v>200</v>
      </c>
      <c r="D72" s="181" t="s">
        <v>1065</v>
      </c>
      <c r="E72" s="181">
        <v>34</v>
      </c>
      <c r="F72" s="181" t="s">
        <v>1065</v>
      </c>
      <c r="G72" s="181">
        <v>34</v>
      </c>
      <c r="H72" s="181" t="s">
        <v>1065</v>
      </c>
      <c r="I72" s="181">
        <v>35</v>
      </c>
      <c r="J72" s="181" t="s">
        <v>1065</v>
      </c>
      <c r="K72" s="181">
        <v>35</v>
      </c>
      <c r="L72" s="117"/>
      <c r="M72" s="21"/>
      <c r="N72" s="21"/>
      <c r="O72" s="20"/>
    </row>
    <row r="73" spans="1:15" x14ac:dyDescent="0.3">
      <c r="A73" s="18"/>
      <c r="B73" s="237"/>
      <c r="C73" s="237"/>
      <c r="D73" s="181" t="s">
        <v>1119</v>
      </c>
      <c r="E73" s="181" t="s">
        <v>1122</v>
      </c>
      <c r="F73" s="181" t="s">
        <v>1119</v>
      </c>
      <c r="G73" s="181" t="s">
        <v>1122</v>
      </c>
      <c r="H73" s="181" t="s">
        <v>1119</v>
      </c>
      <c r="I73" s="181" t="s">
        <v>1122</v>
      </c>
      <c r="J73" s="181" t="s">
        <v>1119</v>
      </c>
      <c r="K73" s="181" t="s">
        <v>1133</v>
      </c>
      <c r="L73" s="117"/>
      <c r="M73" s="21"/>
      <c r="N73" s="21"/>
      <c r="O73" s="20"/>
    </row>
    <row r="74" spans="1:15" x14ac:dyDescent="0.3">
      <c r="A74" s="18"/>
      <c r="B74" s="237"/>
      <c r="C74" s="237"/>
      <c r="D74" s="181" t="s">
        <v>1120</v>
      </c>
      <c r="E74" s="181">
        <v>10</v>
      </c>
      <c r="F74" s="181" t="s">
        <v>1120</v>
      </c>
      <c r="G74" s="181">
        <v>11</v>
      </c>
      <c r="H74" s="181" t="s">
        <v>1120</v>
      </c>
      <c r="I74" s="181">
        <v>11</v>
      </c>
      <c r="J74" s="181" t="s">
        <v>1120</v>
      </c>
      <c r="K74" s="181">
        <v>12</v>
      </c>
      <c r="L74" s="117"/>
      <c r="M74" s="21"/>
      <c r="N74" s="21"/>
      <c r="O74" s="20"/>
    </row>
    <row r="75" spans="1:15" x14ac:dyDescent="0.3">
      <c r="A75" s="18"/>
      <c r="B75" s="237" t="s">
        <v>1128</v>
      </c>
      <c r="C75" s="237" t="s">
        <v>1121</v>
      </c>
      <c r="D75" s="181" t="s">
        <v>1065</v>
      </c>
      <c r="E75" s="181">
        <v>28</v>
      </c>
      <c r="F75" s="181" t="s">
        <v>1065</v>
      </c>
      <c r="G75" s="181">
        <v>29</v>
      </c>
      <c r="H75" s="181" t="s">
        <v>1065</v>
      </c>
      <c r="I75" s="181">
        <v>29</v>
      </c>
      <c r="J75" s="181" t="s">
        <v>1065</v>
      </c>
      <c r="K75" s="181">
        <v>30</v>
      </c>
      <c r="L75" s="117"/>
      <c r="M75" s="21"/>
      <c r="N75" s="21"/>
      <c r="O75" s="20"/>
    </row>
    <row r="76" spans="1:15" x14ac:dyDescent="0.3">
      <c r="A76" s="18"/>
      <c r="B76" s="237"/>
      <c r="C76" s="237"/>
      <c r="D76" s="181" t="s">
        <v>1119</v>
      </c>
      <c r="E76" s="181" t="s">
        <v>1123</v>
      </c>
      <c r="F76" s="181" t="s">
        <v>1119</v>
      </c>
      <c r="G76" s="181" t="s">
        <v>1133</v>
      </c>
      <c r="H76" s="181" t="s">
        <v>1119</v>
      </c>
      <c r="I76" s="181" t="s">
        <v>1133</v>
      </c>
      <c r="J76" s="181" t="s">
        <v>1119</v>
      </c>
      <c r="K76" s="181" t="s">
        <v>1133</v>
      </c>
      <c r="L76" s="117"/>
      <c r="M76" s="21"/>
      <c r="N76" s="21"/>
      <c r="O76" s="20"/>
    </row>
    <row r="77" spans="1:15" x14ac:dyDescent="0.3">
      <c r="A77" s="18"/>
      <c r="B77" s="237"/>
      <c r="C77" s="237"/>
      <c r="D77" s="181" t="s">
        <v>1120</v>
      </c>
      <c r="E77" s="181">
        <v>6</v>
      </c>
      <c r="F77" s="181" t="s">
        <v>1120</v>
      </c>
      <c r="G77" s="181">
        <v>6</v>
      </c>
      <c r="H77" s="181" t="s">
        <v>1120</v>
      </c>
      <c r="I77" s="181">
        <v>7</v>
      </c>
      <c r="J77" s="181" t="s">
        <v>1120</v>
      </c>
      <c r="K77" s="181">
        <v>7</v>
      </c>
      <c r="L77" s="117"/>
      <c r="M77" s="21"/>
      <c r="N77" s="21"/>
      <c r="O77" s="20"/>
    </row>
    <row r="78" spans="1:15" x14ac:dyDescent="0.3">
      <c r="A78" s="18"/>
      <c r="B78" s="237"/>
      <c r="C78" s="237" t="s">
        <v>1129</v>
      </c>
      <c r="D78" s="181" t="s">
        <v>1065</v>
      </c>
      <c r="E78" s="181">
        <v>50</v>
      </c>
      <c r="F78" s="181" t="s">
        <v>1065</v>
      </c>
      <c r="G78" s="181">
        <v>50</v>
      </c>
      <c r="H78" s="181" t="s">
        <v>1065</v>
      </c>
      <c r="I78" s="181">
        <v>51</v>
      </c>
      <c r="J78" s="181" t="s">
        <v>1065</v>
      </c>
      <c r="K78" s="181">
        <v>51</v>
      </c>
      <c r="L78" s="117"/>
      <c r="M78" s="21"/>
      <c r="N78" s="21"/>
      <c r="O78" s="20"/>
    </row>
    <row r="79" spans="1:15" x14ac:dyDescent="0.3">
      <c r="A79" s="18"/>
      <c r="B79" s="237"/>
      <c r="C79" s="237"/>
      <c r="D79" s="181" t="s">
        <v>1119</v>
      </c>
      <c r="E79" s="181" t="s">
        <v>1130</v>
      </c>
      <c r="F79" s="181" t="s">
        <v>1119</v>
      </c>
      <c r="G79" s="181" t="s">
        <v>1130</v>
      </c>
      <c r="H79" s="181" t="s">
        <v>1119</v>
      </c>
      <c r="I79" s="181" t="s">
        <v>1130</v>
      </c>
      <c r="J79" s="181" t="s">
        <v>1119</v>
      </c>
      <c r="K79" s="181" t="s">
        <v>1123</v>
      </c>
      <c r="L79" s="117"/>
      <c r="M79" s="21"/>
      <c r="N79" s="21"/>
      <c r="O79" s="20"/>
    </row>
    <row r="80" spans="1:15" x14ac:dyDescent="0.3">
      <c r="A80" s="18"/>
      <c r="B80" s="237"/>
      <c r="C80" s="237"/>
      <c r="D80" s="181" t="s">
        <v>1120</v>
      </c>
      <c r="E80" s="181">
        <v>25</v>
      </c>
      <c r="F80" s="181" t="s">
        <v>1120</v>
      </c>
      <c r="G80" s="181">
        <v>26</v>
      </c>
      <c r="H80" s="181" t="s">
        <v>1120</v>
      </c>
      <c r="I80" s="181">
        <v>26</v>
      </c>
      <c r="J80" s="181" t="s">
        <v>1120</v>
      </c>
      <c r="K80" s="181">
        <v>27</v>
      </c>
      <c r="L80" s="117"/>
      <c r="M80" s="21"/>
      <c r="N80" s="21"/>
      <c r="O80" s="20"/>
    </row>
    <row r="81" spans="1:15" x14ac:dyDescent="0.3">
      <c r="A81" s="18"/>
      <c r="B81" s="117"/>
      <c r="C81" s="117"/>
      <c r="D81" s="117"/>
      <c r="E81" s="21"/>
      <c r="F81" s="21"/>
      <c r="G81" s="21"/>
      <c r="H81" s="21"/>
      <c r="I81" s="21"/>
      <c r="J81" s="21"/>
      <c r="K81" s="117"/>
      <c r="L81" s="117"/>
      <c r="M81" s="21"/>
      <c r="N81" s="21"/>
      <c r="O81" s="20"/>
    </row>
    <row r="82" spans="1:15" x14ac:dyDescent="0.3">
      <c r="A82" s="18"/>
      <c r="B82" s="117"/>
      <c r="C82" s="117"/>
      <c r="D82" s="117"/>
      <c r="E82" s="21"/>
      <c r="F82" s="21"/>
      <c r="G82" s="21"/>
      <c r="H82" s="21"/>
      <c r="I82" s="21"/>
      <c r="J82" s="21"/>
      <c r="K82" s="117"/>
      <c r="L82" s="117"/>
      <c r="M82" s="21"/>
      <c r="N82" s="21"/>
      <c r="O82" s="20"/>
    </row>
    <row r="83" spans="1:15" x14ac:dyDescent="0.3">
      <c r="A83" s="18"/>
      <c r="B83" s="239" t="str">
        <f t="array" ref="B83:K97">_xll.U.FILL_LABELS(B66:K80,2,,,3)</f>
        <v/>
      </c>
      <c r="C83" s="239" t="str">
        <v/>
      </c>
      <c r="D83" s="240">
        <v>2018</v>
      </c>
      <c r="E83" s="240">
        <v>2018</v>
      </c>
      <c r="F83" s="240">
        <v>2018</v>
      </c>
      <c r="G83" s="240">
        <v>2018</v>
      </c>
      <c r="H83" s="240">
        <v>2019</v>
      </c>
      <c r="I83" s="240">
        <v>2019</v>
      </c>
      <c r="J83" s="240">
        <v>2019</v>
      </c>
      <c r="K83" s="240">
        <v>2019</v>
      </c>
      <c r="L83" s="117"/>
      <c r="M83" s="21"/>
      <c r="N83" s="21"/>
      <c r="O83" s="20"/>
    </row>
    <row r="84" spans="1:15" x14ac:dyDescent="0.3">
      <c r="A84" s="18"/>
      <c r="B84" s="239" t="str">
        <v/>
      </c>
      <c r="C84" s="239" t="str">
        <v/>
      </c>
      <c r="D84" s="241" t="str">
        <v>Jan 1</v>
      </c>
      <c r="E84" s="240" t="str">
        <v>Jan 1</v>
      </c>
      <c r="F84" s="241" t="str">
        <v>July 1</v>
      </c>
      <c r="G84" s="241" t="str">
        <v>July 1</v>
      </c>
      <c r="H84" s="241" t="str">
        <v>Jan 1</v>
      </c>
      <c r="I84" s="240" t="str">
        <v>Jan 1</v>
      </c>
      <c r="J84" s="241" t="str">
        <v>July 1</v>
      </c>
      <c r="K84" s="241" t="str">
        <v>July 1</v>
      </c>
      <c r="L84" s="117"/>
      <c r="M84" s="21"/>
      <c r="N84" s="21"/>
      <c r="O84" s="20"/>
    </row>
    <row r="85" spans="1:15" x14ac:dyDescent="0.3">
      <c r="A85" s="18"/>
      <c r="B85" s="239" t="str">
        <v/>
      </c>
      <c r="C85" s="239" t="str">
        <v/>
      </c>
      <c r="D85" s="240" t="str">
        <v>Key</v>
      </c>
      <c r="E85" s="240" t="str">
        <v>Value</v>
      </c>
      <c r="F85" s="240" t="str">
        <v>Key</v>
      </c>
      <c r="G85" s="240" t="str">
        <v>Value</v>
      </c>
      <c r="H85" s="240" t="str">
        <v>Key</v>
      </c>
      <c r="I85" s="240" t="str">
        <v>Value</v>
      </c>
      <c r="J85" s="240" t="str">
        <v>Key</v>
      </c>
      <c r="K85" s="240" t="str">
        <v>Value</v>
      </c>
      <c r="L85" s="117"/>
      <c r="M85" s="21"/>
      <c r="N85" s="21"/>
      <c r="O85" s="20"/>
    </row>
    <row r="86" spans="1:15" x14ac:dyDescent="0.3">
      <c r="A86" s="18"/>
      <c r="B86" s="240" t="str">
        <v>Smith</v>
      </c>
      <c r="C86" s="240" t="str">
        <v>Bob</v>
      </c>
      <c r="D86" s="242" t="str">
        <v>Age</v>
      </c>
      <c r="E86" s="242">
        <v>30</v>
      </c>
      <c r="F86" s="242" t="str">
        <v>Age</v>
      </c>
      <c r="G86" s="242">
        <v>31</v>
      </c>
      <c r="H86" s="242" t="str">
        <v>Age</v>
      </c>
      <c r="I86" s="242">
        <v>31</v>
      </c>
      <c r="J86" s="242" t="str">
        <v>Age</v>
      </c>
      <c r="K86" s="242">
        <v>32</v>
      </c>
      <c r="L86" s="117"/>
      <c r="M86" s="21"/>
      <c r="N86" s="21"/>
      <c r="O86" s="20"/>
    </row>
    <row r="87" spans="1:15" x14ac:dyDescent="0.3">
      <c r="A87" s="18"/>
      <c r="B87" s="240" t="str">
        <v>Smith</v>
      </c>
      <c r="C87" s="240" t="str">
        <v>Bob</v>
      </c>
      <c r="D87" s="242" t="str">
        <v>Occupation</v>
      </c>
      <c r="E87" s="242" t="str">
        <v>Engineer</v>
      </c>
      <c r="F87" s="242" t="str">
        <v>Occupation</v>
      </c>
      <c r="G87" s="242" t="str">
        <v>Designer</v>
      </c>
      <c r="H87" s="242" t="str">
        <v>Occupation</v>
      </c>
      <c r="I87" s="242" t="str">
        <v>Designer</v>
      </c>
      <c r="J87" s="242" t="str">
        <v>Occupation</v>
      </c>
      <c r="K87" s="242" t="str">
        <v>Designer</v>
      </c>
      <c r="L87" s="117"/>
      <c r="M87" s="21"/>
      <c r="N87" s="21"/>
      <c r="O87" s="20"/>
    </row>
    <row r="88" spans="1:15" x14ac:dyDescent="0.3">
      <c r="A88" s="18"/>
      <c r="B88" s="240" t="str">
        <v>Smith</v>
      </c>
      <c r="C88" s="240" t="str">
        <v>Bob</v>
      </c>
      <c r="D88" s="242" t="str">
        <v>Years Experience</v>
      </c>
      <c r="E88" s="242">
        <v>5</v>
      </c>
      <c r="F88" s="242" t="str">
        <v>Years Experience</v>
      </c>
      <c r="G88" s="242">
        <v>5</v>
      </c>
      <c r="H88" s="242" t="str">
        <v>Years Experience</v>
      </c>
      <c r="I88" s="242">
        <v>6</v>
      </c>
      <c r="J88" s="242" t="str">
        <v>Years Experience</v>
      </c>
      <c r="K88" s="242">
        <v>6</v>
      </c>
      <c r="L88" s="117"/>
      <c r="M88" s="21"/>
      <c r="N88" s="21"/>
      <c r="O88" s="20"/>
    </row>
    <row r="89" spans="1:15" x14ac:dyDescent="0.3">
      <c r="A89" s="18"/>
      <c r="B89" s="240" t="str">
        <v>Smith</v>
      </c>
      <c r="C89" s="240" t="str">
        <v>Sally</v>
      </c>
      <c r="D89" s="242" t="str">
        <v>Age</v>
      </c>
      <c r="E89" s="242">
        <v>34</v>
      </c>
      <c r="F89" s="242" t="str">
        <v>Age</v>
      </c>
      <c r="G89" s="242">
        <v>34</v>
      </c>
      <c r="H89" s="242" t="str">
        <v>Age</v>
      </c>
      <c r="I89" s="242">
        <v>35</v>
      </c>
      <c r="J89" s="242" t="str">
        <v>Age</v>
      </c>
      <c r="K89" s="242">
        <v>35</v>
      </c>
      <c r="L89" s="117"/>
      <c r="M89" s="21"/>
      <c r="N89" s="21"/>
      <c r="O89" s="20"/>
    </row>
    <row r="90" spans="1:15" x14ac:dyDescent="0.3">
      <c r="A90" s="18"/>
      <c r="B90" s="240" t="str">
        <v>Smith</v>
      </c>
      <c r="C90" s="240" t="str">
        <v>Sally</v>
      </c>
      <c r="D90" s="242" t="str">
        <v>Occupation</v>
      </c>
      <c r="E90" s="242" t="str">
        <v>Engineer</v>
      </c>
      <c r="F90" s="242" t="str">
        <v>Occupation</v>
      </c>
      <c r="G90" s="242" t="str">
        <v>Engineer</v>
      </c>
      <c r="H90" s="242" t="str">
        <v>Occupation</v>
      </c>
      <c r="I90" s="242" t="str">
        <v>Engineer</v>
      </c>
      <c r="J90" s="242" t="str">
        <v>Occupation</v>
      </c>
      <c r="K90" s="242" t="str">
        <v>Manager</v>
      </c>
      <c r="L90" s="117"/>
      <c r="M90" s="21"/>
      <c r="N90" s="21"/>
      <c r="O90" s="20"/>
    </row>
    <row r="91" spans="1:15" x14ac:dyDescent="0.3">
      <c r="A91" s="18"/>
      <c r="B91" s="240" t="str">
        <v>Smith</v>
      </c>
      <c r="C91" s="240" t="str">
        <v>Sally</v>
      </c>
      <c r="D91" s="242" t="str">
        <v>Years Experience</v>
      </c>
      <c r="E91" s="242">
        <v>10</v>
      </c>
      <c r="F91" s="242" t="str">
        <v>Years Experience</v>
      </c>
      <c r="G91" s="242">
        <v>11</v>
      </c>
      <c r="H91" s="242" t="str">
        <v>Years Experience</v>
      </c>
      <c r="I91" s="242">
        <v>11</v>
      </c>
      <c r="J91" s="242" t="str">
        <v>Years Experience</v>
      </c>
      <c r="K91" s="242">
        <v>12</v>
      </c>
      <c r="L91" s="117"/>
      <c r="M91" s="21"/>
      <c r="N91" s="21"/>
      <c r="O91" s="20"/>
    </row>
    <row r="92" spans="1:15" x14ac:dyDescent="0.3">
      <c r="A92" s="18"/>
      <c r="B92" s="240" t="str">
        <v>Buttons</v>
      </c>
      <c r="C92" s="240" t="str">
        <v>Cindy</v>
      </c>
      <c r="D92" s="242" t="str">
        <v>Age</v>
      </c>
      <c r="E92" s="242">
        <v>28</v>
      </c>
      <c r="F92" s="242" t="str">
        <v>Age</v>
      </c>
      <c r="G92" s="242">
        <v>29</v>
      </c>
      <c r="H92" s="242" t="str">
        <v>Age</v>
      </c>
      <c r="I92" s="242">
        <v>29</v>
      </c>
      <c r="J92" s="242" t="str">
        <v>Age</v>
      </c>
      <c r="K92" s="242">
        <v>30</v>
      </c>
      <c r="L92" s="117"/>
      <c r="M92" s="21"/>
      <c r="N92" s="21"/>
      <c r="O92" s="20"/>
    </row>
    <row r="93" spans="1:15" x14ac:dyDescent="0.3">
      <c r="A93" s="18"/>
      <c r="B93" s="240" t="str">
        <v>Buttons</v>
      </c>
      <c r="C93" s="240" t="str">
        <v>Cindy</v>
      </c>
      <c r="D93" s="242" t="str">
        <v>Occupation</v>
      </c>
      <c r="E93" s="242" t="str">
        <v>Designer</v>
      </c>
      <c r="F93" s="242" t="str">
        <v>Occupation</v>
      </c>
      <c r="G93" s="242" t="str">
        <v>Manager</v>
      </c>
      <c r="H93" s="242" t="str">
        <v>Occupation</v>
      </c>
      <c r="I93" s="242" t="str">
        <v>Manager</v>
      </c>
      <c r="J93" s="242" t="str">
        <v>Occupation</v>
      </c>
      <c r="K93" s="242" t="str">
        <v>Manager</v>
      </c>
      <c r="L93" s="117"/>
      <c r="M93" s="21"/>
      <c r="N93" s="21"/>
      <c r="O93" s="20"/>
    </row>
    <row r="94" spans="1:15" x14ac:dyDescent="0.3">
      <c r="A94" s="18"/>
      <c r="B94" s="240" t="str">
        <v>Buttons</v>
      </c>
      <c r="C94" s="240" t="str">
        <v>Cindy</v>
      </c>
      <c r="D94" s="242" t="str">
        <v>Years Experience</v>
      </c>
      <c r="E94" s="242">
        <v>6</v>
      </c>
      <c r="F94" s="242" t="str">
        <v>Years Experience</v>
      </c>
      <c r="G94" s="242">
        <v>6</v>
      </c>
      <c r="H94" s="242" t="str">
        <v>Years Experience</v>
      </c>
      <c r="I94" s="242">
        <v>7</v>
      </c>
      <c r="J94" s="242" t="str">
        <v>Years Experience</v>
      </c>
      <c r="K94" s="242">
        <v>7</v>
      </c>
      <c r="L94" s="117"/>
      <c r="M94" s="21"/>
      <c r="N94" s="21"/>
      <c r="O94" s="20"/>
    </row>
    <row r="95" spans="1:15" x14ac:dyDescent="0.3">
      <c r="A95" s="18"/>
      <c r="B95" s="240" t="str">
        <v>Buttons</v>
      </c>
      <c r="C95" s="240" t="str">
        <v>Eugene</v>
      </c>
      <c r="D95" s="242" t="str">
        <v>Age</v>
      </c>
      <c r="E95" s="242">
        <v>50</v>
      </c>
      <c r="F95" s="242" t="str">
        <v>Age</v>
      </c>
      <c r="G95" s="242">
        <v>50</v>
      </c>
      <c r="H95" s="242" t="str">
        <v>Age</v>
      </c>
      <c r="I95" s="242">
        <v>51</v>
      </c>
      <c r="J95" s="242" t="str">
        <v>Age</v>
      </c>
      <c r="K95" s="242">
        <v>51</v>
      </c>
      <c r="L95" s="117"/>
      <c r="M95" s="21"/>
      <c r="N95" s="21"/>
      <c r="O95" s="20"/>
    </row>
    <row r="96" spans="1:15" x14ac:dyDescent="0.3">
      <c r="A96" s="18"/>
      <c r="B96" s="240" t="str">
        <v>Buttons</v>
      </c>
      <c r="C96" s="240" t="str">
        <v>Eugene</v>
      </c>
      <c r="D96" s="242" t="str">
        <v>Occupation</v>
      </c>
      <c r="E96" s="242" t="str">
        <v>Editor</v>
      </c>
      <c r="F96" s="242" t="str">
        <v>Occupation</v>
      </c>
      <c r="G96" s="242" t="str">
        <v>Editor</v>
      </c>
      <c r="H96" s="242" t="str">
        <v>Occupation</v>
      </c>
      <c r="I96" s="242" t="str">
        <v>Editor</v>
      </c>
      <c r="J96" s="242" t="str">
        <v>Occupation</v>
      </c>
      <c r="K96" s="242" t="str">
        <v>Designer</v>
      </c>
      <c r="L96" s="117"/>
      <c r="M96" s="21"/>
      <c r="N96" s="21"/>
      <c r="O96" s="20"/>
    </row>
    <row r="97" spans="1:15" x14ac:dyDescent="0.3">
      <c r="A97" s="18"/>
      <c r="B97" s="240" t="str">
        <v>Buttons</v>
      </c>
      <c r="C97" s="240" t="str">
        <v>Eugene</v>
      </c>
      <c r="D97" s="242" t="str">
        <v>Years Experience</v>
      </c>
      <c r="E97" s="242">
        <v>25</v>
      </c>
      <c r="F97" s="242" t="str">
        <v>Years Experience</v>
      </c>
      <c r="G97" s="242">
        <v>26</v>
      </c>
      <c r="H97" s="242" t="str">
        <v>Years Experience</v>
      </c>
      <c r="I97" s="242">
        <v>26</v>
      </c>
      <c r="J97" s="242" t="str">
        <v>Years Experience</v>
      </c>
      <c r="K97" s="242">
        <v>27</v>
      </c>
      <c r="L97" s="117"/>
      <c r="M97" s="21"/>
      <c r="N97" s="21"/>
      <c r="O97" s="20"/>
    </row>
    <row r="98" spans="1:15" x14ac:dyDescent="0.3">
      <c r="A98" s="18"/>
      <c r="B98" s="117"/>
      <c r="C98" s="117"/>
      <c r="D98" s="117"/>
      <c r="E98" s="21"/>
      <c r="F98" s="21"/>
      <c r="G98" s="21"/>
      <c r="H98" s="21"/>
      <c r="I98" s="21"/>
      <c r="J98" s="21"/>
      <c r="K98" s="117"/>
      <c r="L98" s="117"/>
      <c r="M98" s="21"/>
      <c r="N98" s="21"/>
      <c r="O98" s="20"/>
    </row>
    <row r="99" spans="1:15" x14ac:dyDescent="0.3">
      <c r="A99" s="18"/>
      <c r="B99" s="117"/>
      <c r="C99" s="117"/>
      <c r="D99" s="117"/>
      <c r="E99" s="21"/>
      <c r="F99" s="21"/>
      <c r="G99" s="21"/>
      <c r="H99" s="21"/>
      <c r="I99" s="21"/>
      <c r="J99" s="21"/>
      <c r="K99" s="117"/>
      <c r="L99" s="117"/>
      <c r="M99" s="21"/>
      <c r="N99" s="21"/>
      <c r="O99" s="20"/>
    </row>
    <row r="100" spans="1:15" x14ac:dyDescent="0.3">
      <c r="A100" s="18"/>
      <c r="B100" s="117"/>
      <c r="C100" s="117"/>
      <c r="D100" s="117"/>
      <c r="E100" s="21"/>
      <c r="F100" s="21"/>
      <c r="G100" s="21"/>
      <c r="H100" s="483" t="s">
        <v>3429</v>
      </c>
      <c r="I100" s="483"/>
      <c r="J100" s="483"/>
      <c r="K100" s="117"/>
      <c r="L100" s="117"/>
      <c r="M100" s="21"/>
      <c r="N100" s="21"/>
      <c r="O100" s="20"/>
    </row>
    <row r="101" spans="1:15" x14ac:dyDescent="0.3">
      <c r="A101" s="18"/>
      <c r="B101" s="3" t="s">
        <v>1125</v>
      </c>
      <c r="C101" s="3" t="s">
        <v>1831</v>
      </c>
      <c r="D101" s="3" t="s">
        <v>1832</v>
      </c>
      <c r="E101" s="21"/>
      <c r="F101" s="21"/>
      <c r="G101" s="21"/>
      <c r="H101" s="3" t="str">
        <f t="array" ref="H101:J110">_xll.U.FILL_LABELS(B101:D110,TRUE)</f>
        <v>Last Name</v>
      </c>
      <c r="I101" s="3" t="str">
        <v>Department</v>
      </c>
      <c r="J101" s="3" t="str">
        <v>Code</v>
      </c>
      <c r="K101" s="117"/>
      <c r="L101" s="117"/>
      <c r="M101" s="21"/>
      <c r="N101" s="21"/>
      <c r="O101" s="20"/>
    </row>
    <row r="102" spans="1:15" x14ac:dyDescent="0.3">
      <c r="A102" s="18"/>
      <c r="B102" s="181" t="s">
        <v>1126</v>
      </c>
      <c r="C102" s="181" t="s">
        <v>1834</v>
      </c>
      <c r="D102" s="244" t="s">
        <v>1833</v>
      </c>
      <c r="E102" s="21"/>
      <c r="F102" s="21"/>
      <c r="G102" s="21"/>
      <c r="H102" s="30" t="str">
        <v>Smith</v>
      </c>
      <c r="I102" s="30" t="str">
        <v>Finance</v>
      </c>
      <c r="J102" s="30" t="str">
        <v>001</v>
      </c>
      <c r="K102" s="117"/>
      <c r="L102" s="117"/>
      <c r="M102" s="21"/>
      <c r="N102" s="21"/>
      <c r="O102" s="20"/>
    </row>
    <row r="103" spans="1:15" x14ac:dyDescent="0.3">
      <c r="A103" s="18"/>
      <c r="B103" s="181" t="s">
        <v>1127</v>
      </c>
      <c r="C103" s="181"/>
      <c r="D103" s="181"/>
      <c r="E103" s="21"/>
      <c r="F103" s="21"/>
      <c r="G103" s="21"/>
      <c r="H103" s="30" t="str">
        <v>Jones</v>
      </c>
      <c r="I103" s="30" t="str">
        <v>Finance</v>
      </c>
      <c r="J103" s="30" t="str">
        <v>001</v>
      </c>
      <c r="K103" s="117"/>
      <c r="L103" s="117"/>
      <c r="M103" s="21"/>
      <c r="N103" s="21"/>
      <c r="O103" s="20"/>
    </row>
    <row r="104" spans="1:15" x14ac:dyDescent="0.3">
      <c r="A104" s="18"/>
      <c r="B104" s="181" t="s">
        <v>1835</v>
      </c>
      <c r="C104" s="181"/>
      <c r="D104" s="181"/>
      <c r="E104" s="21"/>
      <c r="F104" s="21"/>
      <c r="G104" s="21"/>
      <c r="H104" s="30" t="str">
        <v>Warren</v>
      </c>
      <c r="I104" s="30" t="str">
        <v>Finance</v>
      </c>
      <c r="J104" s="30" t="str">
        <v>001</v>
      </c>
      <c r="K104" s="117"/>
      <c r="L104" s="117"/>
      <c r="M104" s="21"/>
      <c r="N104" s="21"/>
      <c r="O104" s="20"/>
    </row>
    <row r="105" spans="1:15" x14ac:dyDescent="0.3">
      <c r="A105" s="18"/>
      <c r="B105" s="181" t="s">
        <v>1836</v>
      </c>
      <c r="C105" s="181"/>
      <c r="D105" s="181"/>
      <c r="E105" s="21"/>
      <c r="F105" s="21"/>
      <c r="G105" s="21"/>
      <c r="H105" s="30" t="str">
        <v>Dithers</v>
      </c>
      <c r="I105" s="30" t="str">
        <v>Finance</v>
      </c>
      <c r="J105" s="30" t="str">
        <v>001</v>
      </c>
      <c r="K105" s="117"/>
      <c r="L105" s="117"/>
      <c r="M105" s="21"/>
      <c r="N105" s="21"/>
      <c r="O105" s="20"/>
    </row>
    <row r="106" spans="1:15" x14ac:dyDescent="0.3">
      <c r="A106" s="18"/>
      <c r="B106" s="181" t="s">
        <v>1837</v>
      </c>
      <c r="C106" s="181"/>
      <c r="D106" s="181"/>
      <c r="E106" s="21"/>
      <c r="F106" s="21"/>
      <c r="G106" s="21"/>
      <c r="H106" s="30" t="str">
        <v>Andrews</v>
      </c>
      <c r="I106" s="30" t="str">
        <v>Finance</v>
      </c>
      <c r="J106" s="30" t="str">
        <v>001</v>
      </c>
      <c r="K106" s="117"/>
      <c r="L106" s="117"/>
      <c r="M106" s="21"/>
      <c r="N106" s="21"/>
      <c r="O106" s="20"/>
    </row>
    <row r="107" spans="1:15" x14ac:dyDescent="0.3">
      <c r="A107" s="18"/>
      <c r="B107" s="181" t="s">
        <v>1838</v>
      </c>
      <c r="C107" s="181"/>
      <c r="D107" s="181"/>
      <c r="E107" s="21"/>
      <c r="F107" s="21"/>
      <c r="G107" s="21"/>
      <c r="H107" s="30" t="str">
        <v>Bart</v>
      </c>
      <c r="I107" s="30" t="str">
        <v>Finance</v>
      </c>
      <c r="J107" s="30" t="str">
        <v>001</v>
      </c>
      <c r="K107" s="117"/>
      <c r="L107" s="117"/>
      <c r="M107" s="21"/>
      <c r="N107" s="21"/>
      <c r="O107" s="20"/>
    </row>
    <row r="108" spans="1:15" x14ac:dyDescent="0.3">
      <c r="A108" s="18"/>
      <c r="B108" s="181" t="s">
        <v>1839</v>
      </c>
      <c r="C108" s="181"/>
      <c r="D108" s="181"/>
      <c r="E108" s="21"/>
      <c r="F108" s="21"/>
      <c r="G108" s="21"/>
      <c r="H108" s="30" t="str">
        <v>Jobs</v>
      </c>
      <c r="I108" s="30" t="str">
        <v>Finance</v>
      </c>
      <c r="J108" s="30" t="str">
        <v>001</v>
      </c>
      <c r="K108" s="117"/>
      <c r="L108" s="117"/>
      <c r="M108" s="21"/>
      <c r="N108" s="21"/>
      <c r="O108" s="20"/>
    </row>
    <row r="109" spans="1:15" x14ac:dyDescent="0.3">
      <c r="A109" s="18"/>
      <c r="B109" s="181" t="s">
        <v>1840</v>
      </c>
      <c r="C109" s="181"/>
      <c r="D109" s="181"/>
      <c r="E109" s="21"/>
      <c r="F109" s="21"/>
      <c r="G109" s="21"/>
      <c r="H109" s="30" t="str">
        <v>Grant</v>
      </c>
      <c r="I109" s="30" t="str">
        <v>Finance</v>
      </c>
      <c r="J109" s="30" t="str">
        <v>001</v>
      </c>
      <c r="K109" s="117"/>
      <c r="L109" s="117"/>
      <c r="M109" s="21"/>
      <c r="N109" s="21"/>
      <c r="O109" s="20"/>
    </row>
    <row r="110" spans="1:15" x14ac:dyDescent="0.3">
      <c r="A110" s="18"/>
      <c r="B110" s="181" t="s">
        <v>1841</v>
      </c>
      <c r="C110" s="181"/>
      <c r="D110" s="181"/>
      <c r="E110" s="21"/>
      <c r="F110" s="21"/>
      <c r="G110" s="21"/>
      <c r="H110" s="30" t="str">
        <v>Adams</v>
      </c>
      <c r="I110" s="30" t="str">
        <v>Finance</v>
      </c>
      <c r="J110" s="30" t="str">
        <v>001</v>
      </c>
      <c r="K110" s="117"/>
      <c r="L110" s="117"/>
      <c r="M110" s="21"/>
      <c r="N110" s="21"/>
      <c r="O110" s="20"/>
    </row>
    <row r="111" spans="1:15" x14ac:dyDescent="0.3">
      <c r="A111" s="18"/>
      <c r="B111" s="117"/>
      <c r="C111" s="117"/>
      <c r="D111" s="117"/>
      <c r="E111" s="21"/>
      <c r="F111" s="21"/>
      <c r="G111" s="21"/>
      <c r="H111" s="21"/>
      <c r="I111" s="21"/>
      <c r="J111" s="21"/>
      <c r="K111" s="117"/>
      <c r="L111" s="117"/>
      <c r="M111" s="21"/>
      <c r="N111" s="21"/>
      <c r="O111" s="20"/>
    </row>
    <row r="112" spans="1:15" x14ac:dyDescent="0.3">
      <c r="A112" s="18"/>
      <c r="B112" s="117"/>
      <c r="C112" s="117"/>
      <c r="D112" s="117"/>
      <c r="E112" s="21"/>
      <c r="F112" s="21"/>
      <c r="G112" s="21"/>
      <c r="H112" s="21"/>
      <c r="I112" s="21"/>
      <c r="J112" s="21"/>
      <c r="K112" s="117"/>
      <c r="L112" s="117"/>
      <c r="M112" s="21"/>
      <c r="N112" s="21"/>
      <c r="O112" s="20"/>
    </row>
    <row r="113" spans="1:15" x14ac:dyDescent="0.3">
      <c r="A113" s="18"/>
      <c r="B113" s="117"/>
      <c r="C113" s="117"/>
      <c r="D113" s="117"/>
      <c r="E113" s="21"/>
      <c r="F113" s="21"/>
      <c r="G113" s="21"/>
      <c r="H113" s="21"/>
      <c r="I113" s="21"/>
      <c r="J113" s="21"/>
      <c r="K113" s="117"/>
      <c r="L113" s="117"/>
      <c r="M113" s="21"/>
      <c r="N113" s="21"/>
      <c r="O113" s="20"/>
    </row>
    <row r="114" spans="1:15" x14ac:dyDescent="0.3">
      <c r="A114" s="18"/>
      <c r="B114" s="117"/>
      <c r="C114" s="117"/>
      <c r="D114" s="117"/>
      <c r="E114" s="21"/>
      <c r="F114" s="21"/>
      <c r="G114" s="21"/>
      <c r="H114" s="21"/>
      <c r="I114" s="21"/>
      <c r="J114" s="21"/>
      <c r="K114" s="117"/>
      <c r="L114" s="117"/>
      <c r="M114" s="21"/>
      <c r="N114" s="21"/>
      <c r="O114" s="20"/>
    </row>
    <row r="115" spans="1:15" x14ac:dyDescent="0.3">
      <c r="A115" s="490" t="s">
        <v>1134</v>
      </c>
      <c r="B115" s="491"/>
      <c r="C115" s="491"/>
      <c r="D115" s="491"/>
      <c r="E115" s="491"/>
      <c r="F115" s="491"/>
      <c r="G115" s="491"/>
      <c r="H115" s="491"/>
      <c r="I115" s="491"/>
      <c r="J115" s="491"/>
      <c r="K115" s="491"/>
      <c r="L115" s="491"/>
      <c r="M115" s="491"/>
      <c r="N115" s="21"/>
      <c r="O115" s="20"/>
    </row>
    <row r="116" spans="1:15" x14ac:dyDescent="0.3">
      <c r="A116" s="18"/>
      <c r="B116" s="117"/>
      <c r="C116" s="117"/>
      <c r="D116" s="117"/>
      <c r="E116" s="21"/>
      <c r="F116" s="21"/>
      <c r="G116" s="21"/>
      <c r="H116" s="21"/>
      <c r="I116" s="21"/>
      <c r="J116" s="21"/>
      <c r="K116" s="117"/>
      <c r="L116" s="117"/>
      <c r="M116" s="21"/>
      <c r="N116" s="21"/>
      <c r="O116" s="20"/>
    </row>
    <row r="117" spans="1:15" x14ac:dyDescent="0.3">
      <c r="A117" s="18"/>
      <c r="B117" s="239" t="str">
        <f t="array" ref="B117:K131">_xll.U.FILL_LABELS(B83:K97,2,,,3,,,TRUE)</f>
        <v/>
      </c>
      <c r="C117" s="239" t="str">
        <v/>
      </c>
      <c r="D117" s="240">
        <v>2018</v>
      </c>
      <c r="E117" s="240" t="str">
        <v/>
      </c>
      <c r="F117" s="240" t="str">
        <v/>
      </c>
      <c r="G117" s="240" t="str">
        <v/>
      </c>
      <c r="H117" s="240">
        <v>2019</v>
      </c>
      <c r="I117" s="240" t="str">
        <v/>
      </c>
      <c r="J117" s="240" t="str">
        <v/>
      </c>
      <c r="K117" s="240" t="str">
        <v/>
      </c>
      <c r="L117" s="117"/>
      <c r="M117" s="21"/>
      <c r="N117" s="21"/>
      <c r="O117" s="20"/>
    </row>
    <row r="118" spans="1:15" x14ac:dyDescent="0.3">
      <c r="A118" s="18"/>
      <c r="B118" s="239" t="str">
        <v/>
      </c>
      <c r="C118" s="239" t="str">
        <v/>
      </c>
      <c r="D118" s="241" t="str">
        <v>Jan 1</v>
      </c>
      <c r="E118" s="240" t="str">
        <v/>
      </c>
      <c r="F118" s="241" t="str">
        <v>July 1</v>
      </c>
      <c r="G118" s="241" t="str">
        <v/>
      </c>
      <c r="H118" s="241" t="str">
        <v>Jan 1</v>
      </c>
      <c r="I118" s="240" t="str">
        <v/>
      </c>
      <c r="J118" s="241" t="str">
        <v>July 1</v>
      </c>
      <c r="K118" s="241" t="str">
        <v/>
      </c>
      <c r="L118" s="117"/>
      <c r="M118" s="21"/>
      <c r="N118" s="21"/>
      <c r="O118" s="20"/>
    </row>
    <row r="119" spans="1:15" x14ac:dyDescent="0.3">
      <c r="A119" s="18"/>
      <c r="B119" s="239" t="str">
        <v/>
      </c>
      <c r="C119" s="239" t="str">
        <v/>
      </c>
      <c r="D119" s="240" t="str">
        <v>Key</v>
      </c>
      <c r="E119" s="240" t="str">
        <v>Value</v>
      </c>
      <c r="F119" s="240" t="str">
        <v>Key</v>
      </c>
      <c r="G119" s="240" t="str">
        <v>Value</v>
      </c>
      <c r="H119" s="240" t="str">
        <v>Key</v>
      </c>
      <c r="I119" s="240" t="str">
        <v>Value</v>
      </c>
      <c r="J119" s="240" t="str">
        <v>Key</v>
      </c>
      <c r="K119" s="240" t="str">
        <v>Value</v>
      </c>
      <c r="L119" s="117"/>
      <c r="M119" s="21"/>
      <c r="N119" s="21"/>
      <c r="O119" s="20"/>
    </row>
    <row r="120" spans="1:15" x14ac:dyDescent="0.3">
      <c r="A120" s="18"/>
      <c r="B120" s="240" t="str">
        <v>Smith</v>
      </c>
      <c r="C120" s="240" t="str">
        <v>Bob</v>
      </c>
      <c r="D120" s="242" t="str">
        <v>Age</v>
      </c>
      <c r="E120" s="242">
        <v>30</v>
      </c>
      <c r="F120" s="242" t="str">
        <v>Age</v>
      </c>
      <c r="G120" s="242">
        <v>31</v>
      </c>
      <c r="H120" s="242" t="str">
        <v>Age</v>
      </c>
      <c r="I120" s="242">
        <v>31</v>
      </c>
      <c r="J120" s="242" t="str">
        <v>Age</v>
      </c>
      <c r="K120" s="242">
        <v>32</v>
      </c>
      <c r="L120" s="117"/>
      <c r="M120" s="21"/>
      <c r="N120" s="21"/>
      <c r="O120" s="20"/>
    </row>
    <row r="121" spans="1:15" x14ac:dyDescent="0.3">
      <c r="A121" s="18"/>
      <c r="B121" s="240" t="str">
        <v/>
      </c>
      <c r="C121" s="240" t="str">
        <v/>
      </c>
      <c r="D121" s="242" t="str">
        <v>Occupation</v>
      </c>
      <c r="E121" s="242" t="str">
        <v>Engineer</v>
      </c>
      <c r="F121" s="242" t="str">
        <v>Occupation</v>
      </c>
      <c r="G121" s="242" t="str">
        <v>Designer</v>
      </c>
      <c r="H121" s="242" t="str">
        <v>Occupation</v>
      </c>
      <c r="I121" s="242" t="str">
        <v>Designer</v>
      </c>
      <c r="J121" s="242" t="str">
        <v>Occupation</v>
      </c>
      <c r="K121" s="242" t="str">
        <v>Designer</v>
      </c>
      <c r="L121" s="117"/>
      <c r="M121" s="21"/>
      <c r="N121" s="21"/>
      <c r="O121" s="20"/>
    </row>
    <row r="122" spans="1:15" x14ac:dyDescent="0.3">
      <c r="A122" s="18"/>
      <c r="B122" s="240" t="str">
        <v/>
      </c>
      <c r="C122" s="240" t="str">
        <v/>
      </c>
      <c r="D122" s="242" t="str">
        <v>Years Experience</v>
      </c>
      <c r="E122" s="242">
        <v>5</v>
      </c>
      <c r="F122" s="242" t="str">
        <v>Years Experience</v>
      </c>
      <c r="G122" s="242">
        <v>5</v>
      </c>
      <c r="H122" s="242" t="str">
        <v>Years Experience</v>
      </c>
      <c r="I122" s="242">
        <v>6</v>
      </c>
      <c r="J122" s="242" t="str">
        <v>Years Experience</v>
      </c>
      <c r="K122" s="242">
        <v>6</v>
      </c>
      <c r="L122" s="117"/>
      <c r="M122" s="21"/>
      <c r="N122" s="21"/>
      <c r="O122" s="20"/>
    </row>
    <row r="123" spans="1:15" x14ac:dyDescent="0.3">
      <c r="A123" s="18"/>
      <c r="B123" s="240" t="str">
        <v/>
      </c>
      <c r="C123" s="240" t="str">
        <v>Sally</v>
      </c>
      <c r="D123" s="242" t="str">
        <v>Age</v>
      </c>
      <c r="E123" s="242">
        <v>34</v>
      </c>
      <c r="F123" s="242" t="str">
        <v>Age</v>
      </c>
      <c r="G123" s="242">
        <v>34</v>
      </c>
      <c r="H123" s="242" t="str">
        <v>Age</v>
      </c>
      <c r="I123" s="242">
        <v>35</v>
      </c>
      <c r="J123" s="242" t="str">
        <v>Age</v>
      </c>
      <c r="K123" s="242">
        <v>35</v>
      </c>
      <c r="L123" s="117"/>
      <c r="M123" s="21"/>
      <c r="N123" s="21"/>
      <c r="O123" s="20"/>
    </row>
    <row r="124" spans="1:15" x14ac:dyDescent="0.3">
      <c r="A124" s="18"/>
      <c r="B124" s="240" t="str">
        <v/>
      </c>
      <c r="C124" s="240" t="str">
        <v/>
      </c>
      <c r="D124" s="242" t="str">
        <v>Occupation</v>
      </c>
      <c r="E124" s="242" t="str">
        <v>Engineer</v>
      </c>
      <c r="F124" s="242" t="str">
        <v>Occupation</v>
      </c>
      <c r="G124" s="242" t="str">
        <v>Engineer</v>
      </c>
      <c r="H124" s="242" t="str">
        <v>Occupation</v>
      </c>
      <c r="I124" s="242" t="str">
        <v>Engineer</v>
      </c>
      <c r="J124" s="242" t="str">
        <v>Occupation</v>
      </c>
      <c r="K124" s="242" t="str">
        <v>Manager</v>
      </c>
      <c r="L124" s="117"/>
      <c r="M124" s="21"/>
      <c r="N124" s="21"/>
      <c r="O124" s="20"/>
    </row>
    <row r="125" spans="1:15" x14ac:dyDescent="0.3">
      <c r="A125" s="18"/>
      <c r="B125" s="240" t="str">
        <v/>
      </c>
      <c r="C125" s="240" t="str">
        <v/>
      </c>
      <c r="D125" s="242" t="str">
        <v>Years Experience</v>
      </c>
      <c r="E125" s="242">
        <v>10</v>
      </c>
      <c r="F125" s="242" t="str">
        <v>Years Experience</v>
      </c>
      <c r="G125" s="242">
        <v>11</v>
      </c>
      <c r="H125" s="242" t="str">
        <v>Years Experience</v>
      </c>
      <c r="I125" s="242">
        <v>11</v>
      </c>
      <c r="J125" s="242" t="str">
        <v>Years Experience</v>
      </c>
      <c r="K125" s="242">
        <v>12</v>
      </c>
      <c r="L125" s="117"/>
      <c r="M125" s="21"/>
      <c r="N125" s="21"/>
      <c r="O125" s="20"/>
    </row>
    <row r="126" spans="1:15" x14ac:dyDescent="0.3">
      <c r="A126" s="18"/>
      <c r="B126" s="240" t="str">
        <v>Buttons</v>
      </c>
      <c r="C126" s="240" t="str">
        <v>Cindy</v>
      </c>
      <c r="D126" s="242" t="str">
        <v>Age</v>
      </c>
      <c r="E126" s="242">
        <v>28</v>
      </c>
      <c r="F126" s="242" t="str">
        <v>Age</v>
      </c>
      <c r="G126" s="242">
        <v>29</v>
      </c>
      <c r="H126" s="242" t="str">
        <v>Age</v>
      </c>
      <c r="I126" s="242">
        <v>29</v>
      </c>
      <c r="J126" s="242" t="str">
        <v>Age</v>
      </c>
      <c r="K126" s="242">
        <v>30</v>
      </c>
      <c r="L126" s="117"/>
      <c r="M126" s="21"/>
      <c r="N126" s="21"/>
      <c r="O126" s="20"/>
    </row>
    <row r="127" spans="1:15" x14ac:dyDescent="0.3">
      <c r="A127" s="18"/>
      <c r="B127" s="240" t="str">
        <v/>
      </c>
      <c r="C127" s="240" t="str">
        <v/>
      </c>
      <c r="D127" s="242" t="str">
        <v>Occupation</v>
      </c>
      <c r="E127" s="242" t="str">
        <v>Designer</v>
      </c>
      <c r="F127" s="242" t="str">
        <v>Occupation</v>
      </c>
      <c r="G127" s="242" t="str">
        <v>Manager</v>
      </c>
      <c r="H127" s="242" t="str">
        <v>Occupation</v>
      </c>
      <c r="I127" s="242" t="str">
        <v>Manager</v>
      </c>
      <c r="J127" s="242" t="str">
        <v>Occupation</v>
      </c>
      <c r="K127" s="242" t="str">
        <v>Manager</v>
      </c>
      <c r="L127" s="117"/>
      <c r="M127" s="21"/>
      <c r="N127" s="21"/>
      <c r="O127" s="20"/>
    </row>
    <row r="128" spans="1:15" x14ac:dyDescent="0.3">
      <c r="A128" s="18"/>
      <c r="B128" s="240" t="str">
        <v/>
      </c>
      <c r="C128" s="240" t="str">
        <v/>
      </c>
      <c r="D128" s="242" t="str">
        <v>Years Experience</v>
      </c>
      <c r="E128" s="242">
        <v>6</v>
      </c>
      <c r="F128" s="242" t="str">
        <v>Years Experience</v>
      </c>
      <c r="G128" s="242">
        <v>6</v>
      </c>
      <c r="H128" s="242" t="str">
        <v>Years Experience</v>
      </c>
      <c r="I128" s="242">
        <v>7</v>
      </c>
      <c r="J128" s="242" t="str">
        <v>Years Experience</v>
      </c>
      <c r="K128" s="242">
        <v>7</v>
      </c>
      <c r="L128" s="117"/>
      <c r="M128" s="21"/>
      <c r="N128" s="21"/>
      <c r="O128" s="20"/>
    </row>
    <row r="129" spans="1:15" x14ac:dyDescent="0.3">
      <c r="A129" s="18"/>
      <c r="B129" s="240" t="str">
        <v/>
      </c>
      <c r="C129" s="240" t="str">
        <v>Eugene</v>
      </c>
      <c r="D129" s="242" t="str">
        <v>Age</v>
      </c>
      <c r="E129" s="242">
        <v>50</v>
      </c>
      <c r="F129" s="242" t="str">
        <v>Age</v>
      </c>
      <c r="G129" s="242">
        <v>50</v>
      </c>
      <c r="H129" s="242" t="str">
        <v>Age</v>
      </c>
      <c r="I129" s="242">
        <v>51</v>
      </c>
      <c r="J129" s="242" t="str">
        <v>Age</v>
      </c>
      <c r="K129" s="242">
        <v>51</v>
      </c>
      <c r="L129" s="117"/>
      <c r="M129" s="21"/>
      <c r="N129" s="21"/>
      <c r="O129" s="20"/>
    </row>
    <row r="130" spans="1:15" x14ac:dyDescent="0.3">
      <c r="A130" s="18"/>
      <c r="B130" s="240" t="str">
        <v/>
      </c>
      <c r="C130" s="240" t="str">
        <v/>
      </c>
      <c r="D130" s="242" t="str">
        <v>Occupation</v>
      </c>
      <c r="E130" s="242" t="str">
        <v>Editor</v>
      </c>
      <c r="F130" s="242" t="str">
        <v>Occupation</v>
      </c>
      <c r="G130" s="242" t="str">
        <v>Editor</v>
      </c>
      <c r="H130" s="242" t="str">
        <v>Occupation</v>
      </c>
      <c r="I130" s="242" t="str">
        <v>Editor</v>
      </c>
      <c r="J130" s="242" t="str">
        <v>Occupation</v>
      </c>
      <c r="K130" s="242" t="str">
        <v>Designer</v>
      </c>
      <c r="L130" s="117"/>
      <c r="M130" s="21"/>
      <c r="N130" s="21"/>
      <c r="O130" s="20"/>
    </row>
    <row r="131" spans="1:15" x14ac:dyDescent="0.3">
      <c r="A131" s="18"/>
      <c r="B131" s="240" t="str">
        <v/>
      </c>
      <c r="C131" s="240" t="str">
        <v/>
      </c>
      <c r="D131" s="242" t="str">
        <v>Years Experience</v>
      </c>
      <c r="E131" s="242">
        <v>25</v>
      </c>
      <c r="F131" s="242" t="str">
        <v>Years Experience</v>
      </c>
      <c r="G131" s="242">
        <v>26</v>
      </c>
      <c r="H131" s="242" t="str">
        <v>Years Experience</v>
      </c>
      <c r="I131" s="242">
        <v>26</v>
      </c>
      <c r="J131" s="242" t="str">
        <v>Years Experience</v>
      </c>
      <c r="K131" s="242">
        <v>27</v>
      </c>
      <c r="L131" s="117"/>
      <c r="M131" s="21"/>
      <c r="N131" s="21"/>
      <c r="O131" s="20"/>
    </row>
    <row r="132" spans="1:15" x14ac:dyDescent="0.3">
      <c r="A132" s="18"/>
      <c r="B132" s="117"/>
      <c r="C132" s="117"/>
      <c r="D132" s="117"/>
      <c r="E132" s="21"/>
      <c r="F132" s="21"/>
      <c r="G132" s="21"/>
      <c r="H132" s="21"/>
      <c r="I132" s="21"/>
      <c r="J132" s="21"/>
      <c r="K132" s="117"/>
      <c r="L132" s="117"/>
      <c r="M132" s="21"/>
      <c r="N132" s="21"/>
      <c r="O132" s="20"/>
    </row>
    <row r="133" spans="1:15" x14ac:dyDescent="0.3">
      <c r="A133" s="18"/>
      <c r="B133" s="117"/>
      <c r="C133" s="117"/>
      <c r="D133" s="117"/>
      <c r="E133" s="21"/>
      <c r="F133" s="21"/>
      <c r="G133" s="21"/>
      <c r="H133" s="21"/>
      <c r="I133" s="21"/>
      <c r="J133" s="21"/>
      <c r="K133" s="117"/>
      <c r="L133" s="117"/>
      <c r="M133" s="21"/>
      <c r="N133" s="21"/>
      <c r="O133" s="20"/>
    </row>
    <row r="134" spans="1:15" x14ac:dyDescent="0.3">
      <c r="A134" s="490" t="s">
        <v>2498</v>
      </c>
      <c r="B134" s="491"/>
      <c r="C134" s="491"/>
      <c r="D134" s="491"/>
      <c r="E134" s="491"/>
      <c r="F134" s="491"/>
      <c r="G134" s="491"/>
      <c r="H134" s="491"/>
      <c r="I134" s="491"/>
      <c r="J134" s="491"/>
      <c r="K134" s="491"/>
      <c r="L134" s="491"/>
      <c r="M134" s="491"/>
      <c r="N134" s="21"/>
      <c r="O134" s="20"/>
    </row>
    <row r="135" spans="1:15" x14ac:dyDescent="0.3">
      <c r="A135" s="18"/>
      <c r="B135" s="117"/>
      <c r="C135" s="117"/>
      <c r="D135" s="117"/>
      <c r="E135" s="21"/>
      <c r="F135" s="21"/>
      <c r="G135" s="21"/>
      <c r="H135" s="21"/>
      <c r="I135" s="21"/>
      <c r="J135" s="21"/>
      <c r="K135" s="117"/>
      <c r="L135" s="117"/>
      <c r="M135" s="21"/>
      <c r="N135" s="21"/>
      <c r="O135" s="20"/>
    </row>
    <row r="136" spans="1:15" x14ac:dyDescent="0.3">
      <c r="A136" s="18"/>
      <c r="B136" s="117"/>
      <c r="C136" s="117"/>
      <c r="D136" s="117"/>
      <c r="E136" s="21"/>
      <c r="F136" s="21"/>
      <c r="G136" s="21"/>
      <c r="H136" s="21"/>
      <c r="I136" s="21"/>
      <c r="J136" s="21"/>
      <c r="K136" s="117"/>
      <c r="L136" s="117"/>
      <c r="M136" s="21"/>
      <c r="N136" s="21"/>
      <c r="O136" s="20"/>
    </row>
    <row r="137" spans="1:15" x14ac:dyDescent="0.3">
      <c r="A137" s="18"/>
      <c r="B137" s="117"/>
      <c r="C137" s="117"/>
      <c r="D137" s="117"/>
      <c r="E137" s="21"/>
      <c r="F137" s="21"/>
      <c r="G137" s="21"/>
      <c r="H137" s="21"/>
      <c r="I137" s="21"/>
      <c r="J137" s="21"/>
      <c r="K137" s="117"/>
      <c r="L137" s="117"/>
      <c r="M137" s="21"/>
      <c r="N137" s="21"/>
      <c r="O137" s="20"/>
    </row>
    <row r="138" spans="1:15" x14ac:dyDescent="0.3">
      <c r="A138" s="18"/>
      <c r="B138" s="3" t="s">
        <v>2489</v>
      </c>
      <c r="C138" s="9">
        <v>2020</v>
      </c>
      <c r="D138" s="9">
        <v>2019</v>
      </c>
      <c r="E138" s="21"/>
      <c r="F138" s="21"/>
      <c r="G138" s="21"/>
      <c r="H138" s="3" t="str">
        <f t="array" ref="H138:J147">_xll.U.FILL_LABELS(B138:D147,1,,,1,,,,{TRUE,TRUE})</f>
        <v>Country</v>
      </c>
      <c r="I138" s="3">
        <v>2020</v>
      </c>
      <c r="J138" s="3">
        <v>2019</v>
      </c>
      <c r="K138" s="117"/>
      <c r="L138" s="117"/>
      <c r="M138" s="21"/>
      <c r="N138" s="21"/>
      <c r="O138" s="20"/>
    </row>
    <row r="139" spans="1:15" x14ac:dyDescent="0.3">
      <c r="A139" s="18"/>
      <c r="B139" s="102" t="s">
        <v>2490</v>
      </c>
      <c r="C139" s="242" t="s">
        <v>2513</v>
      </c>
      <c r="D139" s="244"/>
      <c r="E139" s="21"/>
      <c r="F139" s="21"/>
      <c r="G139" s="21"/>
      <c r="H139" s="3" t="str">
        <v>USA</v>
      </c>
      <c r="I139" s="30" t="str">
        <v>GDP(col(1),row(1))</v>
      </c>
      <c r="J139" s="30" t="str">
        <v>GDP(col(1),row(1))</v>
      </c>
      <c r="K139" s="117"/>
      <c r="L139" s="117"/>
      <c r="M139" s="21"/>
      <c r="N139" s="21"/>
      <c r="O139" s="20"/>
    </row>
    <row r="140" spans="1:15" x14ac:dyDescent="0.3">
      <c r="A140" s="18"/>
      <c r="B140" s="102" t="s">
        <v>2491</v>
      </c>
      <c r="C140" s="181"/>
      <c r="D140" s="181"/>
      <c r="E140" s="21"/>
      <c r="F140" s="21"/>
      <c r="G140" s="21"/>
      <c r="H140" s="3" t="str">
        <v>Canada</v>
      </c>
      <c r="I140" s="30" t="str">
        <v>GDP(col(1),row(1))</v>
      </c>
      <c r="J140" s="30" t="str">
        <v>GDP(col(1),row(1))</v>
      </c>
      <c r="K140" s="117"/>
      <c r="L140" s="117"/>
      <c r="M140" s="21"/>
      <c r="N140" s="21"/>
      <c r="O140" s="20"/>
    </row>
    <row r="141" spans="1:15" x14ac:dyDescent="0.3">
      <c r="A141" s="18"/>
      <c r="B141" s="102" t="s">
        <v>2492</v>
      </c>
      <c r="C141" s="181"/>
      <c r="D141" s="181"/>
      <c r="E141" s="21"/>
      <c r="F141" s="21"/>
      <c r="G141" s="21"/>
      <c r="H141" s="3" t="str">
        <v>Mexico</v>
      </c>
      <c r="I141" s="30" t="str">
        <v>GDP(col(1),row(1))</v>
      </c>
      <c r="J141" s="30" t="str">
        <v>GDP(col(1),row(1))</v>
      </c>
      <c r="K141" s="117"/>
      <c r="L141" s="117"/>
      <c r="M141" s="21"/>
      <c r="N141" s="21"/>
      <c r="O141" s="20"/>
    </row>
    <row r="142" spans="1:15" x14ac:dyDescent="0.3">
      <c r="A142" s="18"/>
      <c r="B142" s="102" t="s">
        <v>2493</v>
      </c>
      <c r="C142" s="181"/>
      <c r="D142" s="181"/>
      <c r="E142" s="21"/>
      <c r="F142" s="21"/>
      <c r="G142" s="21"/>
      <c r="H142" s="3" t="str">
        <v>England</v>
      </c>
      <c r="I142" s="30" t="str">
        <v>GDP(col(1),row(1))</v>
      </c>
      <c r="J142" s="30" t="str">
        <v>GDP(col(1),row(1))</v>
      </c>
      <c r="K142" s="117"/>
      <c r="L142" s="117"/>
      <c r="M142" s="21"/>
      <c r="N142" s="21"/>
      <c r="O142" s="20"/>
    </row>
    <row r="143" spans="1:15" x14ac:dyDescent="0.3">
      <c r="A143" s="18"/>
      <c r="B143" s="102" t="s">
        <v>2512</v>
      </c>
      <c r="C143" s="181"/>
      <c r="D143" s="181"/>
      <c r="E143" s="21"/>
      <c r="F143" s="21"/>
      <c r="G143" s="21"/>
      <c r="H143" s="3" t="str">
        <v>Germany</v>
      </c>
      <c r="I143" s="30" t="str">
        <v>GDP(col(1),row(1))</v>
      </c>
      <c r="J143" s="30" t="str">
        <v>GDP(col(1),row(1))</v>
      </c>
      <c r="K143" s="117"/>
      <c r="L143" s="117"/>
      <c r="M143" s="21"/>
      <c r="N143" s="21"/>
      <c r="O143" s="20"/>
    </row>
    <row r="144" spans="1:15" x14ac:dyDescent="0.3">
      <c r="A144" s="18"/>
      <c r="B144" s="102" t="s">
        <v>2494</v>
      </c>
      <c r="C144" s="181"/>
      <c r="D144" s="181"/>
      <c r="E144" s="21"/>
      <c r="F144" s="21"/>
      <c r="G144" s="21"/>
      <c r="H144" s="3" t="str">
        <v>Japan</v>
      </c>
      <c r="I144" s="30" t="str">
        <v>GDP(col(1),row(1))</v>
      </c>
      <c r="J144" s="30" t="str">
        <v>GDP(col(1),row(1))</v>
      </c>
      <c r="K144" s="117"/>
      <c r="L144" s="117"/>
      <c r="M144" s="21"/>
      <c r="N144" s="21"/>
      <c r="O144" s="20"/>
    </row>
    <row r="145" spans="1:15" x14ac:dyDescent="0.3">
      <c r="A145" s="18"/>
      <c r="B145" s="102" t="s">
        <v>2495</v>
      </c>
      <c r="C145" s="181"/>
      <c r="D145" s="181"/>
      <c r="E145" s="21"/>
      <c r="F145" s="21"/>
      <c r="G145" s="21"/>
      <c r="H145" s="3" t="str">
        <v>China</v>
      </c>
      <c r="I145" s="30" t="str">
        <v>GDP(col(1),row(1))</v>
      </c>
      <c r="J145" s="30" t="str">
        <v>GDP(col(1),row(1))</v>
      </c>
      <c r="K145" s="117"/>
      <c r="L145" s="117"/>
      <c r="M145" s="21"/>
      <c r="N145" s="21"/>
      <c r="O145" s="20"/>
    </row>
    <row r="146" spans="1:15" x14ac:dyDescent="0.3">
      <c r="A146" s="18"/>
      <c r="B146" s="102" t="s">
        <v>2496</v>
      </c>
      <c r="C146" s="181"/>
      <c r="D146" s="181"/>
      <c r="E146" s="21"/>
      <c r="F146" s="21"/>
      <c r="G146" s="21"/>
      <c r="H146" s="3" t="str">
        <v>Pakistan</v>
      </c>
      <c r="I146" s="30" t="str">
        <v>GDP(col(1),row(1))</v>
      </c>
      <c r="J146" s="30" t="str">
        <v>GDP(col(1),row(1))</v>
      </c>
      <c r="K146" s="117"/>
      <c r="L146" s="117"/>
      <c r="M146" s="21"/>
      <c r="N146" s="21"/>
      <c r="O146" s="20"/>
    </row>
    <row r="147" spans="1:15" x14ac:dyDescent="0.3">
      <c r="A147" s="18"/>
      <c r="B147" s="102" t="s">
        <v>2497</v>
      </c>
      <c r="C147" s="181"/>
      <c r="D147" s="181"/>
      <c r="E147" s="21"/>
      <c r="F147" s="21"/>
      <c r="G147" s="21"/>
      <c r="H147" s="3" t="str">
        <v>Australia</v>
      </c>
      <c r="I147" s="30" t="str">
        <v>GDP(col(1),row(1))</v>
      </c>
      <c r="J147" s="30" t="str">
        <v>GDP(col(1),row(1))</v>
      </c>
      <c r="K147" s="117"/>
      <c r="L147" s="117"/>
      <c r="M147" s="21"/>
      <c r="N147" s="21"/>
      <c r="O147" s="20"/>
    </row>
    <row r="148" spans="1:15" x14ac:dyDescent="0.3">
      <c r="A148" s="18"/>
      <c r="B148" s="117"/>
      <c r="C148" s="117"/>
      <c r="D148" s="117"/>
      <c r="E148" s="21"/>
      <c r="F148" s="21"/>
      <c r="G148" s="21"/>
      <c r="H148" s="21"/>
      <c r="I148" s="21"/>
      <c r="J148" s="21"/>
      <c r="K148" s="117"/>
      <c r="L148" s="117"/>
      <c r="M148" s="21"/>
      <c r="N148" s="21"/>
      <c r="O148" s="20"/>
    </row>
    <row r="149" spans="1:15" x14ac:dyDescent="0.3">
      <c r="A149" s="18"/>
      <c r="B149" s="117"/>
      <c r="C149" s="117"/>
      <c r="D149" s="117"/>
      <c r="E149" s="21"/>
      <c r="F149" s="21"/>
      <c r="G149" s="21"/>
      <c r="H149" s="21"/>
      <c r="I149" s="21"/>
      <c r="J149" s="21"/>
      <c r="K149" s="117"/>
      <c r="L149" s="117"/>
      <c r="M149" s="21"/>
      <c r="N149" s="21"/>
      <c r="O149" s="20"/>
    </row>
    <row r="150" spans="1:15" x14ac:dyDescent="0.3">
      <c r="A150" s="18"/>
      <c r="B150" s="117"/>
      <c r="C150" s="117"/>
      <c r="D150" s="117"/>
      <c r="E150" s="21"/>
      <c r="F150" s="21"/>
      <c r="G150" s="21"/>
      <c r="H150" s="21"/>
      <c r="I150" s="21"/>
      <c r="J150" s="21"/>
      <c r="K150" s="117"/>
      <c r="L150" s="117"/>
      <c r="M150" s="21"/>
      <c r="N150" s="21"/>
      <c r="O150" s="20"/>
    </row>
    <row r="151" spans="1:15" x14ac:dyDescent="0.3">
      <c r="A151" s="18"/>
      <c r="B151" s="117"/>
      <c r="C151" s="117"/>
      <c r="D151" s="117"/>
      <c r="E151" s="21"/>
      <c r="F151" s="21"/>
      <c r="G151" s="21"/>
      <c r="H151" s="21"/>
      <c r="I151" s="21"/>
      <c r="J151" s="21"/>
      <c r="K151" s="117"/>
      <c r="L151" s="117"/>
      <c r="M151" s="21"/>
      <c r="N151" s="21"/>
      <c r="O151" s="20"/>
    </row>
    <row r="152" spans="1:15" x14ac:dyDescent="0.3">
      <c r="A152" s="18"/>
      <c r="B152" s="117"/>
      <c r="C152" s="117"/>
      <c r="D152" s="117"/>
      <c r="E152" s="21"/>
      <c r="F152" s="21"/>
      <c r="G152" s="21"/>
      <c r="H152" s="21"/>
      <c r="I152" s="21"/>
      <c r="J152" s="21"/>
      <c r="K152" s="117"/>
      <c r="L152" s="117"/>
      <c r="M152" s="21"/>
      <c r="N152" s="21"/>
      <c r="O152" s="20"/>
    </row>
    <row r="153" spans="1:15" x14ac:dyDescent="0.3">
      <c r="A153" s="18"/>
      <c r="B153" s="117"/>
      <c r="C153" s="117"/>
      <c r="D153" s="117"/>
      <c r="E153" s="21"/>
      <c r="F153" s="21"/>
      <c r="G153" s="21"/>
      <c r="H153" s="21"/>
      <c r="I153" s="21"/>
      <c r="J153" s="21"/>
      <c r="K153" s="117"/>
      <c r="L153" s="117"/>
      <c r="M153" s="21"/>
      <c r="N153" s="21"/>
      <c r="O153" s="20"/>
    </row>
    <row r="154" spans="1:15" x14ac:dyDescent="0.3">
      <c r="A154" s="18"/>
      <c r="B154" s="117"/>
      <c r="C154" s="117"/>
      <c r="D154" s="117"/>
      <c r="E154" s="21"/>
      <c r="F154" s="21"/>
      <c r="G154" s="21"/>
      <c r="H154" s="21"/>
      <c r="I154" s="21"/>
      <c r="J154" s="21"/>
      <c r="K154" s="117"/>
      <c r="L154" s="117"/>
      <c r="M154" s="21"/>
      <c r="N154" s="21"/>
      <c r="O154" s="20"/>
    </row>
    <row r="155" spans="1:15" x14ac:dyDescent="0.3">
      <c r="A155" s="18"/>
      <c r="B155" s="117"/>
      <c r="C155" s="117"/>
      <c r="D155" s="117"/>
      <c r="E155" s="21"/>
      <c r="F155" s="21"/>
      <c r="G155" s="21"/>
      <c r="H155" s="21"/>
      <c r="I155" s="21"/>
      <c r="J155" s="21"/>
      <c r="K155" s="117"/>
      <c r="L155" s="117"/>
      <c r="M155" s="21"/>
      <c r="N155" s="21"/>
      <c r="O155" s="20"/>
    </row>
    <row r="156" spans="1:15" x14ac:dyDescent="0.3">
      <c r="A156" s="18"/>
      <c r="B156" s="117"/>
      <c r="C156" s="117"/>
      <c r="D156" s="117"/>
      <c r="E156" s="21"/>
      <c r="F156" s="21"/>
      <c r="G156" s="21"/>
      <c r="H156" s="21"/>
      <c r="I156" s="21"/>
      <c r="J156" s="21"/>
      <c r="K156" s="117"/>
      <c r="L156" s="117"/>
      <c r="M156" s="21"/>
      <c r="N156" s="21"/>
      <c r="O156" s="20"/>
    </row>
    <row r="157" spans="1:15" x14ac:dyDescent="0.3">
      <c r="A157" s="18"/>
      <c r="B157" s="117"/>
      <c r="C157" s="117"/>
      <c r="D157" s="117"/>
      <c r="E157" s="21"/>
      <c r="F157" s="21"/>
      <c r="G157" s="21"/>
      <c r="H157" s="21"/>
      <c r="I157" s="21"/>
      <c r="J157" s="21"/>
      <c r="K157" s="117"/>
      <c r="L157" s="117"/>
      <c r="M157" s="21"/>
      <c r="N157" s="21"/>
      <c r="O157" s="20"/>
    </row>
    <row r="158" spans="1:15" x14ac:dyDescent="0.3">
      <c r="A158" s="18"/>
      <c r="B158" s="117"/>
      <c r="C158" s="117"/>
      <c r="D158" s="117"/>
      <c r="E158" s="21"/>
      <c r="F158" s="21"/>
      <c r="G158" s="21"/>
      <c r="H158" s="21"/>
      <c r="I158" s="21"/>
      <c r="J158" s="21"/>
      <c r="K158" s="117"/>
      <c r="L158" s="117"/>
      <c r="M158" s="21"/>
      <c r="N158" s="21"/>
      <c r="O158" s="20"/>
    </row>
    <row r="159" spans="1:15" ht="15" thickBot="1" x14ac:dyDescent="0.35">
      <c r="A159" s="22"/>
      <c r="B159" s="23"/>
      <c r="C159" s="23"/>
      <c r="D159" s="23"/>
      <c r="E159" s="23"/>
      <c r="F159" s="23"/>
      <c r="G159" s="23"/>
      <c r="H159" s="23"/>
      <c r="I159" s="23"/>
      <c r="J159" s="23"/>
      <c r="K159" s="23"/>
      <c r="L159" s="23"/>
      <c r="M159" s="23"/>
      <c r="N159" s="23"/>
      <c r="O159" s="24"/>
    </row>
  </sheetData>
  <mergeCells count="39">
    <mergeCell ref="A134:M134"/>
    <mergeCell ref="A115:M115"/>
    <mergeCell ref="Q26:R28"/>
    <mergeCell ref="S26:Y28"/>
    <mergeCell ref="Z23:Z25"/>
    <mergeCell ref="Z26:Z28"/>
    <mergeCell ref="Q32:R34"/>
    <mergeCell ref="S32:Y34"/>
    <mergeCell ref="Z32:Z34"/>
    <mergeCell ref="H100:J100"/>
    <mergeCell ref="Q29:R31"/>
    <mergeCell ref="S29:Y31"/>
    <mergeCell ref="Z29:Z31"/>
    <mergeCell ref="H3:J3"/>
    <mergeCell ref="H16:K16"/>
    <mergeCell ref="H31:K31"/>
    <mergeCell ref="H47:J47"/>
    <mergeCell ref="Q14:R16"/>
    <mergeCell ref="Q8:R10"/>
    <mergeCell ref="Q3:Z3"/>
    <mergeCell ref="Q4:R6"/>
    <mergeCell ref="S4:Z6"/>
    <mergeCell ref="Q7:R7"/>
    <mergeCell ref="S7:Y7"/>
    <mergeCell ref="Q20:R22"/>
    <mergeCell ref="S20:Y22"/>
    <mergeCell ref="Z20:Z22"/>
    <mergeCell ref="Q23:R25"/>
    <mergeCell ref="S23:Y25"/>
    <mergeCell ref="S14:Y16"/>
    <mergeCell ref="Z14:Z16"/>
    <mergeCell ref="Q17:R19"/>
    <mergeCell ref="S17:Y19"/>
    <mergeCell ref="Z17:Z19"/>
    <mergeCell ref="S8:Y10"/>
    <mergeCell ref="Z8:Z10"/>
    <mergeCell ref="Q11:R13"/>
    <mergeCell ref="S11:Y13"/>
    <mergeCell ref="Z11:Z13"/>
  </mergeCell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Z145"/>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17.44140625" customWidth="1"/>
    <col min="4" max="4" width="9.21875" customWidth="1"/>
    <col min="5" max="6" width="10.21875" customWidth="1"/>
    <col min="10" max="11" width="9.21875" customWidth="1"/>
    <col min="12" max="15" width="12" customWidth="1"/>
    <col min="19" max="25" width="12" customWidth="1"/>
  </cols>
  <sheetData>
    <row r="1" spans="1:26" ht="34.5" customHeight="1" thickBot="1" x14ac:dyDescent="0.35">
      <c r="A1" s="292" t="s">
        <v>1580</v>
      </c>
      <c r="B1" s="473" t="e" vm="1">
        <v>#VALUE!</v>
      </c>
      <c r="C1" s="8" t="s">
        <v>85</v>
      </c>
      <c r="D1" s="27"/>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86</v>
      </c>
      <c r="B3" s="491"/>
      <c r="C3" s="491"/>
      <c r="D3" s="491"/>
      <c r="E3" s="491"/>
      <c r="F3" s="491"/>
      <c r="G3" s="491"/>
      <c r="H3" s="491"/>
      <c r="I3" s="491"/>
      <c r="J3" s="491"/>
      <c r="K3" s="491"/>
      <c r="L3" s="491"/>
      <c r="M3" s="491"/>
      <c r="N3" s="21"/>
      <c r="O3" s="20"/>
      <c r="Q3" s="486" t="s">
        <v>3430</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2770</v>
      </c>
      <c r="T4" s="487"/>
      <c r="U4" s="487"/>
      <c r="V4" s="487"/>
      <c r="W4" s="487"/>
      <c r="X4" s="487"/>
      <c r="Y4" s="487"/>
      <c r="Z4" s="487"/>
    </row>
    <row r="5" spans="1:26" ht="15" customHeight="1" x14ac:dyDescent="0.3">
      <c r="A5" s="18"/>
      <c r="B5" s="21"/>
      <c r="C5" s="21"/>
      <c r="D5" s="26"/>
      <c r="E5" s="483" t="s">
        <v>91</v>
      </c>
      <c r="F5" s="483"/>
      <c r="G5" s="21"/>
      <c r="H5" s="483" t="s">
        <v>3430</v>
      </c>
      <c r="I5" s="483"/>
      <c r="J5" s="21"/>
      <c r="K5" s="21"/>
      <c r="L5" s="21"/>
      <c r="M5" s="21"/>
      <c r="N5" s="21"/>
      <c r="O5" s="20"/>
      <c r="Q5" s="487"/>
      <c r="R5" s="487"/>
      <c r="S5" s="487"/>
      <c r="T5" s="487"/>
      <c r="U5" s="487"/>
      <c r="V5" s="487"/>
      <c r="W5" s="487"/>
      <c r="X5" s="487"/>
      <c r="Y5" s="487"/>
      <c r="Z5" s="487"/>
    </row>
    <row r="6" spans="1:26" ht="15" customHeight="1" x14ac:dyDescent="0.3">
      <c r="A6" s="18"/>
      <c r="B6" s="21"/>
      <c r="C6" s="21"/>
      <c r="D6" s="26"/>
      <c r="E6" s="21"/>
      <c r="F6" s="21"/>
      <c r="G6" s="21"/>
      <c r="H6" s="21"/>
      <c r="I6" s="21"/>
      <c r="J6" s="21"/>
      <c r="K6" s="21"/>
      <c r="L6" s="21"/>
      <c r="M6" s="21"/>
      <c r="N6" s="21"/>
      <c r="O6" s="20"/>
      <c r="Q6" s="487"/>
      <c r="R6" s="487"/>
      <c r="S6" s="487"/>
      <c r="T6" s="487"/>
      <c r="U6" s="487"/>
      <c r="V6" s="487"/>
      <c r="W6" s="487"/>
      <c r="X6" s="487"/>
      <c r="Y6" s="487"/>
      <c r="Z6" s="487"/>
    </row>
    <row r="7" spans="1:26" x14ac:dyDescent="0.3">
      <c r="A7" s="18"/>
      <c r="B7" s="492" t="s">
        <v>90</v>
      </c>
      <c r="C7" s="493"/>
      <c r="D7" s="21"/>
      <c r="E7" s="47" t="str">
        <f t="array" ref="E7:F10">B8</f>
        <v>a</v>
      </c>
      <c r="F7" s="47" t="str">
        <v>a</v>
      </c>
      <c r="G7" s="21"/>
      <c r="H7" s="30" t="str">
        <f t="array" ref="H7:I10">_xll.U.PAD(B8)</f>
        <v>a</v>
      </c>
      <c r="I7" s="30" t="str">
        <v/>
      </c>
      <c r="J7" s="21"/>
      <c r="K7" s="21"/>
      <c r="L7" s="21"/>
      <c r="M7" s="21"/>
      <c r="N7" s="21"/>
      <c r="O7" s="20"/>
      <c r="Q7" s="483" t="s">
        <v>323</v>
      </c>
      <c r="R7" s="483"/>
      <c r="S7" s="483" t="s">
        <v>1</v>
      </c>
      <c r="T7" s="483"/>
      <c r="U7" s="483"/>
      <c r="V7" s="483"/>
      <c r="W7" s="483"/>
      <c r="X7" s="483"/>
      <c r="Y7" s="483"/>
      <c r="Z7" s="85" t="s">
        <v>324</v>
      </c>
    </row>
    <row r="8" spans="1:26" x14ac:dyDescent="0.3">
      <c r="A8" s="18"/>
      <c r="B8" s="42" t="s">
        <v>77</v>
      </c>
      <c r="C8" s="42"/>
      <c r="D8" s="21"/>
      <c r="E8" s="47" t="str">
        <v>a</v>
      </c>
      <c r="F8" s="47" t="str">
        <v>a</v>
      </c>
      <c r="G8" s="21"/>
      <c r="H8" s="30" t="str">
        <v/>
      </c>
      <c r="I8" s="30" t="str">
        <v/>
      </c>
      <c r="J8" s="21"/>
      <c r="K8" s="21"/>
      <c r="L8" s="21"/>
      <c r="M8" s="21"/>
      <c r="N8" s="21"/>
      <c r="O8" s="20"/>
      <c r="Q8" s="487" t="s">
        <v>443</v>
      </c>
      <c r="R8" s="487"/>
      <c r="S8" s="487" t="s">
        <v>2968</v>
      </c>
      <c r="T8" s="487"/>
      <c r="U8" s="487"/>
      <c r="V8" s="487"/>
      <c r="W8" s="487"/>
      <c r="X8" s="487"/>
      <c r="Y8" s="487"/>
      <c r="Z8" s="509" t="s">
        <v>325</v>
      </c>
    </row>
    <row r="9" spans="1:26" x14ac:dyDescent="0.3">
      <c r="A9" s="18"/>
      <c r="B9" s="42"/>
      <c r="C9" s="42"/>
      <c r="D9" s="21"/>
      <c r="E9" s="47" t="str">
        <v>a</v>
      </c>
      <c r="F9" s="47" t="str">
        <v>a</v>
      </c>
      <c r="G9" s="21"/>
      <c r="H9" s="30" t="str">
        <v/>
      </c>
      <c r="I9" s="30" t="str">
        <v/>
      </c>
      <c r="J9" s="21"/>
      <c r="K9" s="21"/>
      <c r="L9" s="21"/>
      <c r="M9" s="21"/>
      <c r="N9" s="21"/>
      <c r="O9" s="20"/>
      <c r="Q9" s="487"/>
      <c r="R9" s="487"/>
      <c r="S9" s="487"/>
      <c r="T9" s="487"/>
      <c r="U9" s="487"/>
      <c r="V9" s="487"/>
      <c r="W9" s="487"/>
      <c r="X9" s="487"/>
      <c r="Y9" s="487"/>
      <c r="Z9" s="509"/>
    </row>
    <row r="10" spans="1:26" x14ac:dyDescent="0.3">
      <c r="A10" s="18"/>
      <c r="B10" s="42"/>
      <c r="C10" s="42"/>
      <c r="D10" s="21"/>
      <c r="E10" s="47" t="str">
        <v>a</v>
      </c>
      <c r="F10" s="47" t="str">
        <v>a</v>
      </c>
      <c r="G10" s="21"/>
      <c r="H10" s="30" t="str">
        <v/>
      </c>
      <c r="I10" s="30" t="str">
        <v/>
      </c>
      <c r="J10" s="21"/>
      <c r="K10" s="21"/>
      <c r="L10" s="21"/>
      <c r="M10" s="21"/>
      <c r="N10" s="21"/>
      <c r="O10" s="20"/>
      <c r="Q10" s="487"/>
      <c r="R10" s="487"/>
      <c r="S10" s="487"/>
      <c r="T10" s="487"/>
      <c r="U10" s="487"/>
      <c r="V10" s="487"/>
      <c r="W10" s="487"/>
      <c r="X10" s="487"/>
      <c r="Y10" s="487"/>
      <c r="Z10" s="509"/>
    </row>
    <row r="11" spans="1:26" x14ac:dyDescent="0.3">
      <c r="A11" s="18"/>
      <c r="B11" s="21"/>
      <c r="C11" s="21"/>
      <c r="D11" s="21"/>
      <c r="E11" s="21"/>
      <c r="F11" s="21"/>
      <c r="G11" s="21"/>
      <c r="H11" s="21"/>
      <c r="I11" s="21"/>
      <c r="J11" s="21"/>
      <c r="K11" s="21"/>
      <c r="L11" s="21"/>
      <c r="M11" s="21"/>
      <c r="N11" s="21"/>
      <c r="O11" s="20"/>
      <c r="Q11" s="484" t="s">
        <v>2548</v>
      </c>
      <c r="R11" s="484"/>
      <c r="S11" s="484" t="s">
        <v>2549</v>
      </c>
      <c r="T11" s="484"/>
      <c r="U11" s="484"/>
      <c r="V11" s="484"/>
      <c r="W11" s="484"/>
      <c r="X11" s="484"/>
      <c r="Y11" s="484"/>
      <c r="Z11" s="485" t="s">
        <v>326</v>
      </c>
    </row>
    <row r="12" spans="1:26" x14ac:dyDescent="0.3">
      <c r="A12" s="18"/>
      <c r="B12" s="492" t="s">
        <v>87</v>
      </c>
      <c r="C12" s="493"/>
      <c r="D12" s="21"/>
      <c r="E12" s="47" t="str">
        <f t="array" ref="E12:F15">B13:C13</f>
        <v>a</v>
      </c>
      <c r="F12" s="47">
        <v>1</v>
      </c>
      <c r="G12" s="21"/>
      <c r="H12" s="30" t="str">
        <f t="array" ref="H12:I15">_xll.U.PAD(B13:C13)</f>
        <v>a</v>
      </c>
      <c r="I12" s="30">
        <v>1</v>
      </c>
      <c r="J12" s="21"/>
      <c r="K12" s="21"/>
      <c r="L12" s="21"/>
      <c r="M12" s="21"/>
      <c r="N12" s="21"/>
      <c r="O12" s="20"/>
      <c r="Q12" s="484"/>
      <c r="R12" s="484"/>
      <c r="S12" s="484"/>
      <c r="T12" s="484"/>
      <c r="U12" s="484"/>
      <c r="V12" s="484"/>
      <c r="W12" s="484"/>
      <c r="X12" s="484"/>
      <c r="Y12" s="484"/>
      <c r="Z12" s="485"/>
    </row>
    <row r="13" spans="1:26" x14ac:dyDescent="0.3">
      <c r="A13" s="18"/>
      <c r="B13" s="42" t="s">
        <v>77</v>
      </c>
      <c r="C13" s="42">
        <v>1</v>
      </c>
      <c r="D13" s="21"/>
      <c r="E13" s="47" t="str">
        <v>a</v>
      </c>
      <c r="F13" s="47">
        <v>1</v>
      </c>
      <c r="G13" s="21"/>
      <c r="H13" s="30" t="str">
        <v/>
      </c>
      <c r="I13" s="30" t="str">
        <v/>
      </c>
      <c r="J13" s="21"/>
      <c r="K13" s="21"/>
      <c r="L13" s="21"/>
      <c r="M13" s="21"/>
      <c r="N13" s="21"/>
      <c r="O13" s="20"/>
      <c r="Q13" s="484"/>
      <c r="R13" s="484"/>
      <c r="S13" s="484"/>
      <c r="T13" s="484"/>
      <c r="U13" s="484"/>
      <c r="V13" s="484"/>
      <c r="W13" s="484"/>
      <c r="X13" s="484"/>
      <c r="Y13" s="484"/>
      <c r="Z13" s="485"/>
    </row>
    <row r="14" spans="1:26" x14ac:dyDescent="0.3">
      <c r="A14" s="18"/>
      <c r="B14" s="42"/>
      <c r="C14" s="42"/>
      <c r="D14" s="21"/>
      <c r="E14" s="47" t="str">
        <v>a</v>
      </c>
      <c r="F14" s="47">
        <v>1</v>
      </c>
      <c r="G14" s="21"/>
      <c r="H14" s="30" t="str">
        <v/>
      </c>
      <c r="I14" s="30" t="str">
        <v/>
      </c>
      <c r="J14" s="21"/>
      <c r="K14" s="21"/>
      <c r="L14" s="21"/>
      <c r="M14" s="21"/>
      <c r="N14" s="21"/>
      <c r="O14" s="20"/>
      <c r="Q14" s="484" t="s">
        <v>1785</v>
      </c>
      <c r="R14" s="484"/>
      <c r="S14" s="484" t="s">
        <v>2550</v>
      </c>
      <c r="T14" s="484"/>
      <c r="U14" s="484"/>
      <c r="V14" s="484"/>
      <c r="W14" s="484"/>
      <c r="X14" s="484"/>
      <c r="Y14" s="484"/>
      <c r="Z14" s="485" t="s">
        <v>326</v>
      </c>
    </row>
    <row r="15" spans="1:26" x14ac:dyDescent="0.3">
      <c r="A15" s="18"/>
      <c r="B15" s="42"/>
      <c r="C15" s="42"/>
      <c r="D15" s="21"/>
      <c r="E15" s="47" t="str">
        <v>a</v>
      </c>
      <c r="F15" s="47">
        <v>1</v>
      </c>
      <c r="G15" s="21"/>
      <c r="H15" s="30" t="str">
        <v/>
      </c>
      <c r="I15" s="30" t="str">
        <v/>
      </c>
      <c r="J15" s="21"/>
      <c r="K15" s="21"/>
      <c r="L15" s="21"/>
      <c r="M15" s="21"/>
      <c r="N15" s="21"/>
      <c r="O15" s="20"/>
      <c r="Q15" s="484"/>
      <c r="R15" s="484"/>
      <c r="S15" s="484"/>
      <c r="T15" s="484"/>
      <c r="U15" s="484"/>
      <c r="V15" s="484"/>
      <c r="W15" s="484"/>
      <c r="X15" s="484"/>
      <c r="Y15" s="484"/>
      <c r="Z15" s="485"/>
    </row>
    <row r="16" spans="1:26" x14ac:dyDescent="0.3">
      <c r="A16" s="18"/>
      <c r="B16" s="21"/>
      <c r="C16" s="21"/>
      <c r="D16" s="21"/>
      <c r="E16" s="21"/>
      <c r="F16" s="30">
        <f>SUM(F12:F15)</f>
        <v>4</v>
      </c>
      <c r="G16" s="21"/>
      <c r="H16" s="21"/>
      <c r="I16" s="21"/>
      <c r="J16" s="21"/>
      <c r="K16" s="21"/>
      <c r="L16" s="21"/>
      <c r="M16" s="21"/>
      <c r="N16" s="21"/>
      <c r="O16" s="20"/>
      <c r="Q16" s="484"/>
      <c r="R16" s="484"/>
      <c r="S16" s="484"/>
      <c r="T16" s="484"/>
      <c r="U16" s="484"/>
      <c r="V16" s="484"/>
      <c r="W16" s="484"/>
      <c r="X16" s="484"/>
      <c r="Y16" s="484"/>
      <c r="Z16" s="485"/>
    </row>
    <row r="17" spans="1:17" x14ac:dyDescent="0.3">
      <c r="A17" s="18"/>
      <c r="B17" s="492" t="s">
        <v>88</v>
      </c>
      <c r="C17" s="493"/>
      <c r="D17" s="21"/>
      <c r="E17" s="21"/>
      <c r="F17" s="21"/>
      <c r="G17" s="21"/>
      <c r="H17" s="21"/>
      <c r="I17" s="21"/>
      <c r="J17" s="21"/>
      <c r="K17" s="21"/>
      <c r="L17" s="21"/>
      <c r="M17" s="21"/>
      <c r="N17" s="21"/>
      <c r="O17" s="20"/>
      <c r="Q17" s="126" t="s">
        <v>328</v>
      </c>
    </row>
    <row r="18" spans="1:17" x14ac:dyDescent="0.3">
      <c r="A18" s="18"/>
      <c r="B18" s="42" t="s">
        <v>77</v>
      </c>
      <c r="C18" s="42"/>
      <c r="D18" s="21"/>
      <c r="E18" s="47" t="str">
        <f t="array" ref="E18:F20">B18:B20</f>
        <v>a</v>
      </c>
      <c r="F18" s="47" t="str">
        <v>a</v>
      </c>
      <c r="G18" s="21"/>
      <c r="H18" s="30" t="str">
        <f t="array" ref="H18:I20">_xll.U.PAD(B18:B20)</f>
        <v>a</v>
      </c>
      <c r="I18" s="30" t="str">
        <v/>
      </c>
      <c r="J18" s="21"/>
      <c r="K18" s="21"/>
      <c r="L18" s="21"/>
      <c r="M18" s="21"/>
      <c r="N18" s="21"/>
      <c r="O18" s="20"/>
    </row>
    <row r="19" spans="1:17" x14ac:dyDescent="0.3">
      <c r="A19" s="18"/>
      <c r="B19" s="42" t="s">
        <v>78</v>
      </c>
      <c r="C19" s="42"/>
      <c r="D19" s="21"/>
      <c r="E19" s="47" t="str">
        <v>b</v>
      </c>
      <c r="F19" s="47" t="str">
        <v>b</v>
      </c>
      <c r="G19" s="21"/>
      <c r="H19" s="30" t="str">
        <v>b</v>
      </c>
      <c r="I19" s="30" t="str">
        <v/>
      </c>
      <c r="J19" s="21"/>
      <c r="K19" s="21"/>
      <c r="L19" s="21"/>
      <c r="M19" s="21"/>
      <c r="N19" s="21"/>
      <c r="O19" s="20"/>
    </row>
    <row r="20" spans="1:17" x14ac:dyDescent="0.3">
      <c r="A20" s="18"/>
      <c r="B20" s="42" t="s">
        <v>79</v>
      </c>
      <c r="C20" s="42"/>
      <c r="D20" s="21"/>
      <c r="E20" s="47" t="str">
        <v>c</v>
      </c>
      <c r="F20" s="47" t="str">
        <v>c</v>
      </c>
      <c r="G20" s="21"/>
      <c r="H20" s="30" t="str">
        <v>c</v>
      </c>
      <c r="I20" s="30" t="str">
        <v/>
      </c>
      <c r="J20" s="21"/>
      <c r="K20" s="21"/>
      <c r="L20" s="21"/>
      <c r="M20" s="21"/>
      <c r="N20" s="21"/>
      <c r="O20" s="20"/>
    </row>
    <row r="21" spans="1:17" x14ac:dyDescent="0.3">
      <c r="A21" s="18"/>
      <c r="B21" s="21"/>
      <c r="C21" s="21"/>
      <c r="D21" s="21"/>
      <c r="E21" s="21"/>
      <c r="F21" s="21"/>
      <c r="G21" s="21"/>
      <c r="H21" s="21"/>
      <c r="I21" s="21"/>
      <c r="J21" s="21"/>
      <c r="K21" s="21"/>
      <c r="L21" s="21"/>
      <c r="M21" s="21"/>
      <c r="N21" s="21"/>
      <c r="O21" s="20"/>
    </row>
    <row r="22" spans="1:17" x14ac:dyDescent="0.3">
      <c r="A22" s="18"/>
      <c r="B22" s="492" t="s">
        <v>89</v>
      </c>
      <c r="C22" s="493"/>
      <c r="D22" s="21"/>
      <c r="E22" s="21"/>
      <c r="F22" s="21"/>
      <c r="G22" s="21"/>
      <c r="H22" s="21"/>
      <c r="I22" s="21"/>
      <c r="J22" s="21"/>
      <c r="K22" s="21"/>
      <c r="L22" s="21"/>
      <c r="M22" s="21"/>
      <c r="N22" s="21"/>
      <c r="O22" s="20"/>
    </row>
    <row r="23" spans="1:17" x14ac:dyDescent="0.3">
      <c r="A23" s="18"/>
      <c r="B23" s="42" t="s">
        <v>77</v>
      </c>
      <c r="C23" s="42">
        <v>1</v>
      </c>
      <c r="D23" s="21"/>
      <c r="E23" s="47" t="str">
        <f t="array" ref="E23:F25">B23:C24</f>
        <v>a</v>
      </c>
      <c r="F23" s="47">
        <v>1</v>
      </c>
      <c r="G23" s="21"/>
      <c r="H23" s="30" t="str">
        <f t="array" ref="H23:I25">_xll.U.PAD(B23:C24)</f>
        <v>a</v>
      </c>
      <c r="I23" s="30">
        <v>1</v>
      </c>
      <c r="J23" s="21"/>
      <c r="K23" s="21"/>
      <c r="L23" s="21"/>
      <c r="M23" s="21"/>
      <c r="N23" s="21"/>
      <c r="O23" s="20"/>
    </row>
    <row r="24" spans="1:17" x14ac:dyDescent="0.3">
      <c r="A24" s="18"/>
      <c r="B24" s="42" t="s">
        <v>78</v>
      </c>
      <c r="C24" s="42">
        <v>2</v>
      </c>
      <c r="D24" s="21"/>
      <c r="E24" s="47" t="str">
        <v>b</v>
      </c>
      <c r="F24" s="47">
        <v>2</v>
      </c>
      <c r="G24" s="21"/>
      <c r="H24" s="30" t="str">
        <v>b</v>
      </c>
      <c r="I24" s="30">
        <v>2</v>
      </c>
      <c r="J24" s="21"/>
      <c r="K24" s="21"/>
      <c r="L24" s="21"/>
      <c r="M24" s="21"/>
      <c r="N24" s="21"/>
      <c r="O24" s="20"/>
    </row>
    <row r="25" spans="1:17" x14ac:dyDescent="0.3">
      <c r="A25" s="18"/>
      <c r="B25" s="42"/>
      <c r="C25" s="42"/>
      <c r="D25" s="21"/>
      <c r="E25" s="47" t="e">
        <v>#N/A</v>
      </c>
      <c r="F25" s="47" t="e">
        <v>#N/A</v>
      </c>
      <c r="G25" s="21"/>
      <c r="H25" s="30" t="str">
        <v/>
      </c>
      <c r="I25" s="30" t="str">
        <v/>
      </c>
      <c r="J25" s="21"/>
      <c r="K25" s="21"/>
      <c r="L25" s="21"/>
      <c r="M25" s="21"/>
      <c r="N25" s="21"/>
      <c r="O25" s="20"/>
    </row>
    <row r="26" spans="1:17" x14ac:dyDescent="0.3">
      <c r="A26" s="18"/>
      <c r="B26" s="21"/>
      <c r="C26" s="21"/>
      <c r="D26" s="21"/>
      <c r="E26" s="21"/>
      <c r="F26" s="21"/>
      <c r="G26" s="21"/>
      <c r="H26" s="21"/>
      <c r="I26" s="21"/>
      <c r="J26" s="21"/>
      <c r="K26" s="21"/>
      <c r="L26" s="21"/>
      <c r="M26" s="21"/>
      <c r="N26" s="21"/>
      <c r="O26" s="20"/>
    </row>
    <row r="27" spans="1:17" x14ac:dyDescent="0.3">
      <c r="A27" s="18"/>
      <c r="B27" s="21"/>
      <c r="C27" s="21"/>
      <c r="D27" s="21"/>
      <c r="E27" s="21"/>
      <c r="F27" s="21"/>
      <c r="G27" s="21"/>
      <c r="H27" s="21"/>
      <c r="I27" s="21"/>
      <c r="J27" s="21"/>
      <c r="K27" s="21"/>
      <c r="L27" s="21"/>
      <c r="M27" s="21"/>
      <c r="N27" s="21"/>
      <c r="O27" s="20"/>
    </row>
    <row r="28" spans="1:17" x14ac:dyDescent="0.3">
      <c r="A28" s="18"/>
      <c r="B28" s="21"/>
      <c r="C28" s="21"/>
      <c r="D28" s="21"/>
      <c r="E28" s="21"/>
      <c r="F28" s="21"/>
      <c r="G28" s="21"/>
      <c r="H28" s="21"/>
      <c r="I28" s="21"/>
      <c r="J28" s="21"/>
      <c r="K28" s="21"/>
      <c r="L28" s="21"/>
      <c r="M28" s="21"/>
      <c r="N28" s="21"/>
      <c r="O28" s="20"/>
    </row>
    <row r="29" spans="1:17" x14ac:dyDescent="0.3">
      <c r="A29" s="18"/>
      <c r="B29" s="21"/>
      <c r="C29" s="21"/>
      <c r="D29" s="21"/>
      <c r="E29" s="21"/>
      <c r="F29" s="21"/>
      <c r="G29" s="21"/>
      <c r="H29" s="21"/>
      <c r="I29" s="21"/>
      <c r="J29" s="21"/>
      <c r="K29" s="21"/>
      <c r="L29" s="21"/>
      <c r="M29" s="21"/>
      <c r="N29" s="21"/>
      <c r="O29" s="20"/>
    </row>
    <row r="30" spans="1:17" x14ac:dyDescent="0.3">
      <c r="A30" s="18"/>
      <c r="B30" s="21"/>
      <c r="C30" s="21"/>
      <c r="D30" s="21"/>
      <c r="E30" s="21"/>
      <c r="F30" s="21"/>
      <c r="G30" s="21"/>
      <c r="H30" s="30">
        <f>ROWS(E7:F10)</f>
        <v>4</v>
      </c>
      <c r="I30" s="21"/>
      <c r="J30" s="21"/>
      <c r="K30" s="21"/>
      <c r="L30" s="21"/>
      <c r="M30" s="21"/>
      <c r="N30" s="21"/>
      <c r="O30" s="20"/>
    </row>
    <row r="31" spans="1:17" x14ac:dyDescent="0.3">
      <c r="A31" s="18"/>
      <c r="B31" s="21"/>
      <c r="C31" s="21"/>
      <c r="D31" s="21"/>
      <c r="E31" s="21"/>
      <c r="F31" s="21"/>
      <c r="G31" s="21"/>
      <c r="H31" s="30">
        <f>ROWS(_xll.U.PAD(E7:F10))</f>
        <v>1</v>
      </c>
      <c r="I31" s="21"/>
      <c r="J31" s="21"/>
      <c r="K31" s="21"/>
      <c r="L31" s="21"/>
      <c r="M31" s="21"/>
      <c r="N31" s="21"/>
      <c r="O31" s="20"/>
    </row>
    <row r="32" spans="1:17" x14ac:dyDescent="0.3">
      <c r="A32" s="18"/>
      <c r="B32" s="21"/>
      <c r="C32" s="21"/>
      <c r="D32" s="21"/>
      <c r="E32" s="21"/>
      <c r="F32" s="21"/>
      <c r="G32" s="21"/>
      <c r="H32" s="21"/>
      <c r="I32" s="21"/>
      <c r="J32" s="21"/>
      <c r="K32" s="21"/>
      <c r="L32" s="21"/>
      <c r="M32" s="21"/>
      <c r="N32" s="21"/>
      <c r="O32" s="20"/>
    </row>
    <row r="33" spans="1:15" x14ac:dyDescent="0.3">
      <c r="A33" s="18"/>
      <c r="B33" s="21"/>
      <c r="C33" s="21"/>
      <c r="D33" s="21"/>
      <c r="E33" s="21"/>
      <c r="F33" s="21"/>
      <c r="G33" s="21"/>
      <c r="H33" s="21"/>
      <c r="I33" s="21"/>
      <c r="J33" s="21"/>
      <c r="K33" s="21"/>
      <c r="L33" s="21"/>
      <c r="M33" s="21"/>
      <c r="N33" s="21"/>
      <c r="O33" s="20"/>
    </row>
    <row r="34" spans="1:15" x14ac:dyDescent="0.3">
      <c r="A34" s="18"/>
      <c r="B34" s="21"/>
      <c r="C34" s="21"/>
      <c r="D34" s="21"/>
      <c r="E34" s="21"/>
      <c r="F34" s="21"/>
      <c r="G34" s="21"/>
      <c r="H34" s="21"/>
      <c r="I34" s="21"/>
      <c r="J34" s="21"/>
      <c r="K34" s="21"/>
      <c r="L34" s="21"/>
      <c r="M34" s="21"/>
      <c r="N34" s="21"/>
      <c r="O34" s="20"/>
    </row>
    <row r="35" spans="1:15" x14ac:dyDescent="0.3">
      <c r="A35" s="18"/>
      <c r="B35" s="21"/>
      <c r="C35" s="21"/>
      <c r="D35" s="21"/>
      <c r="E35" s="21"/>
      <c r="F35" s="21"/>
      <c r="G35" s="21"/>
      <c r="H35" s="21"/>
      <c r="I35" s="21"/>
      <c r="J35" s="21"/>
      <c r="K35" s="21"/>
      <c r="L35" s="21"/>
      <c r="M35" s="21"/>
      <c r="N35" s="21"/>
      <c r="O35" s="20"/>
    </row>
    <row r="36" spans="1:15" x14ac:dyDescent="0.3">
      <c r="A36" s="18"/>
      <c r="B36" s="21"/>
      <c r="C36" s="21"/>
      <c r="D36" s="21"/>
      <c r="E36" s="21"/>
      <c r="F36" s="21"/>
      <c r="G36" s="21"/>
      <c r="H36" s="21"/>
      <c r="I36" s="21"/>
      <c r="J36" s="21"/>
      <c r="K36" s="21"/>
      <c r="L36" s="21"/>
      <c r="M36" s="21"/>
      <c r="N36" s="21"/>
      <c r="O36" s="20"/>
    </row>
    <row r="37" spans="1:15" x14ac:dyDescent="0.3">
      <c r="A37" s="18"/>
      <c r="B37" s="21"/>
      <c r="C37" s="21"/>
      <c r="D37" s="21"/>
      <c r="E37" s="21"/>
      <c r="F37" s="21"/>
      <c r="G37" s="21"/>
      <c r="H37" s="21"/>
      <c r="I37" s="21"/>
      <c r="J37" s="21"/>
      <c r="K37" s="21"/>
      <c r="L37" s="21"/>
      <c r="M37" s="21"/>
      <c r="N37" s="21"/>
      <c r="O37" s="20"/>
    </row>
    <row r="38" spans="1:15" x14ac:dyDescent="0.3">
      <c r="A38" s="18"/>
      <c r="B38" s="21"/>
      <c r="C38" s="21"/>
      <c r="D38" s="21"/>
      <c r="E38" s="21"/>
      <c r="F38" s="21"/>
      <c r="G38" s="21"/>
      <c r="H38" s="21"/>
      <c r="I38" s="21"/>
      <c r="J38" s="21"/>
      <c r="K38" s="21"/>
      <c r="L38" s="21"/>
      <c r="M38" s="21"/>
      <c r="N38" s="21"/>
      <c r="O38" s="20"/>
    </row>
    <row r="39" spans="1:15" x14ac:dyDescent="0.3">
      <c r="A39" s="18"/>
      <c r="B39" s="21"/>
      <c r="C39" s="21"/>
      <c r="D39" s="21"/>
      <c r="E39" s="21"/>
      <c r="F39" s="21"/>
      <c r="G39" s="21"/>
      <c r="H39" s="21"/>
      <c r="I39" s="21"/>
      <c r="J39" s="21"/>
      <c r="K39" s="21"/>
      <c r="L39" s="21"/>
      <c r="M39" s="21"/>
      <c r="N39" s="21"/>
      <c r="O39" s="20"/>
    </row>
    <row r="40" spans="1:15" x14ac:dyDescent="0.3">
      <c r="A40" s="18"/>
      <c r="B40" s="21"/>
      <c r="C40" s="21"/>
      <c r="D40" s="21"/>
      <c r="E40" s="21"/>
      <c r="F40" s="21"/>
      <c r="G40" s="21"/>
      <c r="H40" s="21"/>
      <c r="I40" s="21"/>
      <c r="J40" s="21"/>
      <c r="K40" s="21"/>
      <c r="L40" s="21"/>
      <c r="M40" s="21"/>
      <c r="N40" s="21"/>
      <c r="O40" s="20"/>
    </row>
    <row r="41" spans="1:15" x14ac:dyDescent="0.3">
      <c r="A41" s="18"/>
      <c r="B41" s="21"/>
      <c r="C41" s="21"/>
      <c r="D41" s="21"/>
      <c r="E41" s="21"/>
      <c r="F41" s="21"/>
      <c r="G41" s="21"/>
      <c r="H41" s="21"/>
      <c r="I41" s="21"/>
      <c r="J41" s="21"/>
      <c r="K41" s="21"/>
      <c r="L41" s="21"/>
      <c r="M41" s="21"/>
      <c r="N41" s="21"/>
      <c r="O41" s="20"/>
    </row>
    <row r="42" spans="1:15" x14ac:dyDescent="0.3">
      <c r="A42" s="18"/>
      <c r="B42" s="475" t="s">
        <v>2551</v>
      </c>
      <c r="C42" s="475"/>
      <c r="D42" s="475"/>
      <c r="E42" s="475"/>
      <c r="F42" s="475"/>
      <c r="G42" s="21"/>
      <c r="H42" s="21"/>
      <c r="I42" s="21"/>
      <c r="J42" s="21"/>
      <c r="K42" s="21"/>
      <c r="L42" s="21"/>
      <c r="M42" s="21"/>
      <c r="N42" s="21"/>
      <c r="O42" s="20"/>
    </row>
    <row r="43" spans="1:15" x14ac:dyDescent="0.3">
      <c r="A43" s="18"/>
      <c r="B43" s="30" t="str">
        <f t="array" ref="B43:C44">_xll.U.PAD(B53:F60,TRUE)</f>
        <v>x</v>
      </c>
      <c r="C43" s="30" t="str">
        <v/>
      </c>
      <c r="D43" s="30"/>
      <c r="E43" s="30"/>
      <c r="F43" s="30"/>
      <c r="G43" s="21"/>
      <c r="H43" s="21"/>
      <c r="I43" s="21"/>
      <c r="J43" s="21"/>
      <c r="K43" s="21"/>
      <c r="L43" s="21"/>
      <c r="M43" s="21"/>
      <c r="N43" s="21"/>
      <c r="O43" s="20"/>
    </row>
    <row r="44" spans="1:15" x14ac:dyDescent="0.3">
      <c r="A44" s="18"/>
      <c r="B44" s="30" t="str">
        <v/>
      </c>
      <c r="C44" s="30" t="str">
        <v>x</v>
      </c>
      <c r="D44" s="30"/>
      <c r="E44" s="30"/>
      <c r="F44" s="30"/>
      <c r="G44" s="21"/>
      <c r="H44" s="21"/>
      <c r="I44" s="21"/>
      <c r="J44" s="21"/>
      <c r="K44" s="21"/>
      <c r="L44" s="21"/>
      <c r="M44" s="21"/>
      <c r="N44" s="21"/>
      <c r="O44" s="20"/>
    </row>
    <row r="45" spans="1:15" x14ac:dyDescent="0.3">
      <c r="A45" s="18"/>
      <c r="B45" s="30"/>
      <c r="C45" s="30"/>
      <c r="D45" s="30"/>
      <c r="E45" s="30"/>
      <c r="F45" s="30"/>
      <c r="G45" s="21"/>
      <c r="H45" s="21"/>
      <c r="I45" s="21"/>
      <c r="J45" s="21"/>
      <c r="K45" s="21"/>
      <c r="L45" s="21"/>
      <c r="M45" s="21"/>
      <c r="N45" s="21"/>
      <c r="O45" s="20"/>
    </row>
    <row r="46" spans="1:15" x14ac:dyDescent="0.3">
      <c r="A46" s="18"/>
      <c r="B46" s="30"/>
      <c r="C46" s="30"/>
      <c r="D46" s="30"/>
      <c r="E46" s="30"/>
      <c r="F46" s="30"/>
      <c r="G46" s="21"/>
      <c r="H46" s="21"/>
      <c r="I46" s="21"/>
      <c r="J46" s="21"/>
      <c r="K46" s="21"/>
      <c r="L46" s="21"/>
      <c r="M46" s="21"/>
      <c r="N46" s="21"/>
      <c r="O46" s="20"/>
    </row>
    <row r="47" spans="1:15" x14ac:dyDescent="0.3">
      <c r="A47" s="18"/>
      <c r="B47" s="30"/>
      <c r="C47" s="30"/>
      <c r="D47" s="30"/>
      <c r="E47" s="30"/>
      <c r="F47" s="30"/>
      <c r="G47" s="21"/>
      <c r="H47" s="21"/>
      <c r="I47" s="21"/>
      <c r="J47" s="21"/>
      <c r="K47" s="21"/>
      <c r="L47" s="21"/>
      <c r="M47" s="21"/>
      <c r="N47" s="21"/>
      <c r="O47" s="20"/>
    </row>
    <row r="48" spans="1:15" x14ac:dyDescent="0.3">
      <c r="A48" s="18"/>
      <c r="B48" s="30"/>
      <c r="C48" s="30"/>
      <c r="D48" s="30"/>
      <c r="E48" s="30"/>
      <c r="F48" s="30"/>
      <c r="G48" s="21"/>
      <c r="H48" s="21"/>
      <c r="I48" s="21"/>
      <c r="J48" s="21"/>
      <c r="K48" s="21"/>
      <c r="L48" s="21"/>
      <c r="M48" s="21"/>
      <c r="N48" s="21"/>
      <c r="O48" s="20"/>
    </row>
    <row r="49" spans="1:15" x14ac:dyDescent="0.3">
      <c r="A49" s="18"/>
      <c r="B49" s="30"/>
      <c r="C49" s="30"/>
      <c r="D49" s="30"/>
      <c r="E49" s="30"/>
      <c r="F49" s="30"/>
      <c r="G49" s="21"/>
      <c r="H49" s="21"/>
      <c r="I49" s="21"/>
      <c r="J49" s="21"/>
      <c r="K49" s="21"/>
      <c r="L49" s="21"/>
      <c r="M49" s="21"/>
      <c r="N49" s="21"/>
      <c r="O49" s="20"/>
    </row>
    <row r="50" spans="1:15" x14ac:dyDescent="0.3">
      <c r="A50" s="18"/>
      <c r="B50" s="30"/>
      <c r="C50" s="30"/>
      <c r="D50" s="30"/>
      <c r="E50" s="30"/>
      <c r="F50" s="30"/>
      <c r="G50" s="21"/>
      <c r="H50" s="21"/>
      <c r="I50" s="21"/>
      <c r="J50" s="21"/>
      <c r="K50" s="21"/>
      <c r="L50" s="21"/>
      <c r="M50" s="21"/>
      <c r="N50" s="21"/>
      <c r="O50" s="20"/>
    </row>
    <row r="51" spans="1:15" x14ac:dyDescent="0.3">
      <c r="A51" s="18"/>
      <c r="B51" s="21"/>
      <c r="C51" s="21"/>
      <c r="D51" s="21"/>
      <c r="E51" s="21"/>
      <c r="F51" s="21"/>
      <c r="G51" s="21"/>
      <c r="H51" s="21"/>
      <c r="I51" s="21"/>
      <c r="J51" s="21"/>
      <c r="K51" s="21"/>
      <c r="L51" s="21"/>
      <c r="M51" s="21"/>
      <c r="N51" s="21"/>
      <c r="O51" s="20"/>
    </row>
    <row r="52" spans="1:15" x14ac:dyDescent="0.3">
      <c r="A52" s="18"/>
      <c r="B52" s="475" t="s">
        <v>2552</v>
      </c>
      <c r="C52" s="475"/>
      <c r="D52" s="475"/>
      <c r="E52" s="475"/>
      <c r="F52" s="475"/>
      <c r="G52" s="21"/>
      <c r="H52" s="21"/>
      <c r="I52" s="21"/>
      <c r="J52" s="21"/>
      <c r="K52" s="21"/>
      <c r="L52" s="21"/>
      <c r="M52" s="21"/>
      <c r="N52" s="21"/>
      <c r="O52" s="20"/>
    </row>
    <row r="53" spans="1:15" x14ac:dyDescent="0.3">
      <c r="A53" s="18"/>
      <c r="B53" s="181" t="s">
        <v>80</v>
      </c>
      <c r="C53" s="181"/>
      <c r="D53" s="181"/>
      <c r="E53" s="181"/>
      <c r="F53" s="181"/>
      <c r="G53" s="21"/>
      <c r="H53" s="21"/>
      <c r="I53" s="21"/>
      <c r="J53" s="21"/>
      <c r="K53" s="21"/>
      <c r="L53" s="21"/>
      <c r="M53" s="21"/>
      <c r="N53" s="21"/>
      <c r="O53" s="20"/>
    </row>
    <row r="54" spans="1:15" x14ac:dyDescent="0.3">
      <c r="A54" s="18"/>
      <c r="B54" s="181"/>
      <c r="C54" s="181" t="s">
        <v>80</v>
      </c>
      <c r="D54" s="181"/>
      <c r="E54" s="181"/>
      <c r="F54" s="181"/>
      <c r="G54" s="21"/>
      <c r="H54" s="21"/>
      <c r="I54" s="21"/>
      <c r="J54" s="21"/>
      <c r="K54" s="21"/>
      <c r="L54" s="21"/>
      <c r="M54" s="21"/>
      <c r="N54" s="21"/>
      <c r="O54" s="20"/>
    </row>
    <row r="55" spans="1:15" x14ac:dyDescent="0.3">
      <c r="A55" s="18"/>
      <c r="B55" s="181"/>
      <c r="C55" s="181"/>
      <c r="D55" s="181"/>
      <c r="E55" s="181"/>
      <c r="F55" s="181"/>
      <c r="G55" s="21"/>
      <c r="H55" s="21"/>
      <c r="I55" s="21"/>
      <c r="J55" s="21"/>
      <c r="K55" s="21"/>
      <c r="L55" s="21"/>
      <c r="M55" s="21"/>
      <c r="N55" s="21"/>
      <c r="O55" s="20"/>
    </row>
    <row r="56" spans="1:15" x14ac:dyDescent="0.3">
      <c r="A56" s="18"/>
      <c r="B56" s="181"/>
      <c r="C56" s="181"/>
      <c r="D56" s="181"/>
      <c r="E56" s="181"/>
      <c r="F56" s="181"/>
      <c r="G56" s="21"/>
      <c r="H56" s="21"/>
      <c r="I56" s="21"/>
      <c r="J56" s="21"/>
      <c r="K56" s="21"/>
      <c r="L56" s="21"/>
      <c r="M56" s="21"/>
      <c r="N56" s="21"/>
      <c r="O56" s="20"/>
    </row>
    <row r="57" spans="1:15" x14ac:dyDescent="0.3">
      <c r="A57" s="18"/>
      <c r="B57" s="181"/>
      <c r="C57" s="181"/>
      <c r="D57" s="181"/>
      <c r="E57" s="181"/>
      <c r="F57" s="181"/>
      <c r="G57" s="21"/>
      <c r="H57" s="21"/>
      <c r="I57" s="21"/>
      <c r="J57" s="21"/>
      <c r="K57" s="21"/>
      <c r="L57" s="21"/>
      <c r="M57" s="21"/>
      <c r="N57" s="21"/>
      <c r="O57" s="20"/>
    </row>
    <row r="58" spans="1:15" x14ac:dyDescent="0.3">
      <c r="A58" s="18"/>
      <c r="B58" s="181"/>
      <c r="C58" s="181"/>
      <c r="D58" s="181"/>
      <c r="E58" s="181"/>
      <c r="F58" s="181"/>
      <c r="G58" s="21"/>
      <c r="H58" s="21"/>
      <c r="I58" s="21"/>
      <c r="J58" s="21"/>
      <c r="K58" s="21"/>
      <c r="L58" s="21"/>
      <c r="M58" s="21"/>
      <c r="N58" s="21"/>
      <c r="O58" s="20"/>
    </row>
    <row r="59" spans="1:15" x14ac:dyDescent="0.3">
      <c r="A59" s="18"/>
      <c r="B59" s="181"/>
      <c r="C59" s="181"/>
      <c r="D59" s="181"/>
      <c r="E59" s="181"/>
      <c r="F59" s="181"/>
      <c r="G59" s="21"/>
      <c r="H59" s="21"/>
      <c r="I59" s="21"/>
      <c r="J59" s="21"/>
      <c r="K59" s="21"/>
      <c r="L59" s="21"/>
      <c r="M59" s="21"/>
      <c r="N59" s="21"/>
      <c r="O59" s="20"/>
    </row>
    <row r="60" spans="1:15" x14ac:dyDescent="0.3">
      <c r="A60" s="18"/>
      <c r="B60" s="181"/>
      <c r="C60" s="181"/>
      <c r="D60" s="181"/>
      <c r="E60" s="181"/>
      <c r="F60" s="181"/>
      <c r="G60" s="21"/>
      <c r="H60" s="21"/>
      <c r="I60" s="21"/>
      <c r="J60" s="21"/>
      <c r="K60" s="21"/>
      <c r="L60" s="21"/>
      <c r="M60" s="21"/>
      <c r="N60" s="21"/>
      <c r="O60" s="20"/>
    </row>
    <row r="61" spans="1:15" x14ac:dyDescent="0.3">
      <c r="A61" s="18"/>
      <c r="B61" s="21"/>
      <c r="C61" s="21"/>
      <c r="D61" s="21"/>
      <c r="E61" s="21"/>
      <c r="F61" s="21"/>
      <c r="G61" s="21"/>
      <c r="H61" s="21"/>
      <c r="I61" s="21"/>
      <c r="J61" s="21"/>
      <c r="K61" s="21"/>
      <c r="L61" s="21"/>
      <c r="M61" s="21"/>
      <c r="N61" s="21"/>
      <c r="O61" s="20"/>
    </row>
    <row r="62" spans="1:15" x14ac:dyDescent="0.3">
      <c r="A62" s="18"/>
      <c r="B62" s="21"/>
      <c r="C62" s="21"/>
      <c r="D62" s="21"/>
      <c r="E62" s="21"/>
      <c r="F62" s="21"/>
      <c r="G62" s="21"/>
      <c r="H62" s="21"/>
      <c r="I62" s="21"/>
      <c r="J62" s="21"/>
      <c r="K62" s="21"/>
      <c r="L62" s="21"/>
      <c r="M62" s="21"/>
      <c r="N62" s="21"/>
      <c r="O62" s="20"/>
    </row>
    <row r="63" spans="1:15" x14ac:dyDescent="0.3">
      <c r="A63" s="18"/>
      <c r="B63" s="21"/>
      <c r="C63" s="21"/>
      <c r="D63" s="21"/>
      <c r="E63" s="21"/>
      <c r="F63" s="21"/>
      <c r="G63" s="21"/>
      <c r="H63" s="21"/>
      <c r="I63" s="21"/>
      <c r="J63" s="21"/>
      <c r="K63" s="21"/>
      <c r="L63" s="21"/>
      <c r="M63" s="21"/>
      <c r="N63" s="21"/>
      <c r="O63" s="20"/>
    </row>
    <row r="64" spans="1:15" x14ac:dyDescent="0.3">
      <c r="A64" s="18"/>
      <c r="B64" s="21"/>
      <c r="C64" s="21"/>
      <c r="D64" s="21"/>
      <c r="E64" s="21"/>
      <c r="F64" s="21"/>
      <c r="G64" s="21"/>
      <c r="H64" s="21"/>
      <c r="I64" s="21"/>
      <c r="J64" s="21"/>
      <c r="K64" s="21"/>
      <c r="L64" s="21"/>
      <c r="M64" s="21"/>
      <c r="N64" s="21"/>
      <c r="O64" s="20"/>
    </row>
    <row r="65" spans="1:15" x14ac:dyDescent="0.3">
      <c r="A65" s="18"/>
      <c r="B65" s="21"/>
      <c r="C65" s="21"/>
      <c r="D65" s="21"/>
      <c r="E65" s="21"/>
      <c r="F65" s="21"/>
      <c r="G65" s="21"/>
      <c r="H65" s="21"/>
      <c r="I65" s="21"/>
      <c r="J65" s="21"/>
      <c r="K65" s="21"/>
      <c r="L65" s="21"/>
      <c r="M65" s="21"/>
      <c r="N65" s="21"/>
      <c r="O65" s="20"/>
    </row>
    <row r="66" spans="1:15" x14ac:dyDescent="0.3">
      <c r="A66" s="18"/>
      <c r="B66" s="21"/>
      <c r="C66" s="21"/>
      <c r="D66" s="21"/>
      <c r="E66" s="21"/>
      <c r="F66" s="21"/>
      <c r="G66" s="21"/>
      <c r="H66" s="21"/>
      <c r="I66" s="21"/>
      <c r="J66" s="21"/>
      <c r="K66" s="21"/>
      <c r="L66" s="21"/>
      <c r="M66" s="21"/>
      <c r="N66" s="21"/>
      <c r="O66" s="20"/>
    </row>
    <row r="67" spans="1:15" x14ac:dyDescent="0.3">
      <c r="A67" s="18"/>
      <c r="B67" s="21"/>
      <c r="C67" s="21"/>
      <c r="D67" s="21"/>
      <c r="E67" s="21"/>
      <c r="F67" s="21"/>
      <c r="G67" s="21"/>
      <c r="H67" s="21"/>
      <c r="I67" s="21"/>
      <c r="J67" s="21"/>
      <c r="K67" s="21"/>
      <c r="L67" s="21"/>
      <c r="M67" s="21"/>
      <c r="N67" s="21"/>
      <c r="O67" s="20"/>
    </row>
    <row r="68" spans="1:15" x14ac:dyDescent="0.3">
      <c r="A68" s="18"/>
      <c r="B68" s="21"/>
      <c r="C68" s="21"/>
      <c r="D68" s="21"/>
      <c r="E68" s="21"/>
      <c r="F68" s="21"/>
      <c r="G68" s="21"/>
      <c r="H68" s="21"/>
      <c r="I68" s="21"/>
      <c r="J68" s="21"/>
      <c r="K68" s="21"/>
      <c r="L68" s="21"/>
      <c r="M68" s="21"/>
      <c r="N68" s="21"/>
      <c r="O68" s="20"/>
    </row>
    <row r="69" spans="1:15" x14ac:dyDescent="0.3">
      <c r="A69" s="18"/>
      <c r="B69" s="21"/>
      <c r="C69" s="21"/>
      <c r="D69" s="21"/>
      <c r="E69" s="21"/>
      <c r="F69" s="21"/>
      <c r="G69" s="21"/>
      <c r="H69" s="21"/>
      <c r="I69" s="21"/>
      <c r="J69" s="21"/>
      <c r="K69" s="21"/>
      <c r="L69" s="21"/>
      <c r="M69" s="21"/>
      <c r="N69" s="21"/>
      <c r="O69" s="20"/>
    </row>
    <row r="70" spans="1:15" x14ac:dyDescent="0.3">
      <c r="A70" s="18"/>
      <c r="B70" s="21"/>
      <c r="C70" s="21"/>
      <c r="D70" s="21"/>
      <c r="E70" s="21"/>
      <c r="F70" s="21"/>
      <c r="G70" s="21"/>
      <c r="H70" s="21"/>
      <c r="I70" s="21"/>
      <c r="J70" s="21"/>
      <c r="K70" s="21"/>
      <c r="L70" s="21"/>
      <c r="M70" s="21"/>
      <c r="N70" s="21"/>
      <c r="O70" s="20"/>
    </row>
    <row r="71" spans="1:15" x14ac:dyDescent="0.3">
      <c r="A71" s="18"/>
      <c r="B71" s="21"/>
      <c r="C71" s="21"/>
      <c r="D71" s="21"/>
      <c r="E71" s="21"/>
      <c r="F71" s="21"/>
      <c r="G71" s="21"/>
      <c r="H71" s="21"/>
      <c r="I71" s="21"/>
      <c r="J71" s="21"/>
      <c r="K71" s="21"/>
      <c r="L71" s="21"/>
      <c r="M71" s="21"/>
      <c r="N71" s="21"/>
      <c r="O71" s="20"/>
    </row>
    <row r="72" spans="1:15" x14ac:dyDescent="0.3">
      <c r="A72" s="18"/>
      <c r="B72" s="21"/>
      <c r="C72" s="21"/>
      <c r="D72" s="21"/>
      <c r="E72" s="21"/>
      <c r="F72" s="21"/>
      <c r="G72" s="21"/>
      <c r="H72" s="21"/>
      <c r="I72" s="21"/>
      <c r="J72" s="21"/>
      <c r="K72" s="21"/>
      <c r="L72" s="21"/>
      <c r="M72" s="21"/>
      <c r="N72" s="21"/>
      <c r="O72" s="20"/>
    </row>
    <row r="73" spans="1:15" x14ac:dyDescent="0.3">
      <c r="A73" s="18"/>
      <c r="B73" s="21"/>
      <c r="C73" s="21"/>
      <c r="D73" s="21"/>
      <c r="E73" s="21"/>
      <c r="F73" s="21"/>
      <c r="G73" s="21"/>
      <c r="H73" s="21"/>
      <c r="I73" s="21"/>
      <c r="J73" s="21"/>
      <c r="K73" s="21"/>
      <c r="L73" s="21"/>
      <c r="M73" s="21"/>
      <c r="N73" s="21"/>
      <c r="O73" s="20"/>
    </row>
    <row r="74" spans="1:15" x14ac:dyDescent="0.3">
      <c r="A74" s="18"/>
      <c r="B74" s="21"/>
      <c r="C74" s="21"/>
      <c r="D74" s="21"/>
      <c r="E74" s="21"/>
      <c r="F74" s="21"/>
      <c r="G74" s="21"/>
      <c r="H74" s="21"/>
      <c r="I74" s="21"/>
      <c r="J74" s="21"/>
      <c r="K74" s="21"/>
      <c r="L74" s="21"/>
      <c r="M74" s="21"/>
      <c r="N74" s="21"/>
      <c r="O74" s="20"/>
    </row>
    <row r="75" spans="1:15" x14ac:dyDescent="0.3">
      <c r="A75" s="18"/>
      <c r="B75" s="21"/>
      <c r="C75" s="21"/>
      <c r="D75" s="21"/>
      <c r="E75" s="21"/>
      <c r="F75" s="21"/>
      <c r="G75" s="21"/>
      <c r="H75" s="21"/>
      <c r="I75" s="21"/>
      <c r="J75" s="21"/>
      <c r="K75" s="21"/>
      <c r="L75" s="21"/>
      <c r="M75" s="21"/>
      <c r="N75" s="21"/>
      <c r="O75" s="20"/>
    </row>
    <row r="76" spans="1:15" x14ac:dyDescent="0.3">
      <c r="A76" s="18"/>
      <c r="B76" s="21"/>
      <c r="C76" s="21"/>
      <c r="D76" s="21"/>
      <c r="E76" s="21"/>
      <c r="F76" s="21"/>
      <c r="G76" s="21"/>
      <c r="H76" s="21"/>
      <c r="I76" s="21"/>
      <c r="J76" s="21"/>
      <c r="K76" s="21"/>
      <c r="L76" s="21"/>
      <c r="M76" s="21"/>
      <c r="N76" s="21"/>
      <c r="O76" s="20"/>
    </row>
    <row r="77" spans="1:15" x14ac:dyDescent="0.3">
      <c r="A77" s="18"/>
      <c r="B77" s="21"/>
      <c r="C77" s="21"/>
      <c r="D77" s="21"/>
      <c r="E77" s="21"/>
      <c r="F77" s="21"/>
      <c r="G77" s="21"/>
      <c r="H77" s="21"/>
      <c r="I77" s="21"/>
      <c r="J77" s="21"/>
      <c r="K77" s="21"/>
      <c r="L77" s="21"/>
      <c r="M77" s="21"/>
      <c r="N77" s="21"/>
      <c r="O77" s="20"/>
    </row>
    <row r="78" spans="1:15" x14ac:dyDescent="0.3">
      <c r="A78" s="18"/>
      <c r="B78" s="475" t="s">
        <v>1445</v>
      </c>
      <c r="C78" s="475"/>
      <c r="D78" s="475"/>
      <c r="E78" s="21"/>
      <c r="F78" s="21"/>
      <c r="G78" s="21"/>
      <c r="H78" s="21"/>
      <c r="I78" s="21"/>
      <c r="J78" s="21"/>
      <c r="K78" s="21"/>
      <c r="L78" s="21"/>
      <c r="M78" s="21"/>
      <c r="N78" s="21"/>
      <c r="O78" s="20"/>
    </row>
    <row r="79" spans="1:15" x14ac:dyDescent="0.3">
      <c r="A79" s="18"/>
      <c r="B79" s="30">
        <v>1</v>
      </c>
      <c r="C79" s="30">
        <v>2</v>
      </c>
      <c r="D79" s="30">
        <v>3</v>
      </c>
      <c r="E79" s="21"/>
      <c r="F79" s="21"/>
      <c r="G79" s="21"/>
      <c r="H79" s="30">
        <f>ROWS(_xll.U.PAD(B79:D84,,TRUE))</f>
        <v>6</v>
      </c>
      <c r="I79" s="21"/>
      <c r="J79" s="21"/>
      <c r="K79" s="21"/>
      <c r="L79" s="21"/>
      <c r="M79" s="21"/>
      <c r="N79" s="21"/>
      <c r="O79" s="20"/>
    </row>
    <row r="80" spans="1:15" x14ac:dyDescent="0.3">
      <c r="A80" s="18"/>
      <c r="B80" s="30">
        <v>2</v>
      </c>
      <c r="C80" s="30"/>
      <c r="D80" s="30"/>
      <c r="E80" s="21"/>
      <c r="F80" s="21"/>
      <c r="G80" s="21"/>
      <c r="H80" s="21"/>
      <c r="I80" s="21"/>
      <c r="J80" s="21"/>
      <c r="K80" s="21"/>
      <c r="L80" s="21"/>
      <c r="M80" s="21"/>
      <c r="N80" s="21"/>
      <c r="O80" s="20"/>
    </row>
    <row r="81" spans="1:15" x14ac:dyDescent="0.3">
      <c r="A81" s="18"/>
      <c r="B81" s="30">
        <v>3</v>
      </c>
      <c r="C81" s="30"/>
      <c r="D81" s="30"/>
      <c r="E81" s="21"/>
      <c r="F81" s="21"/>
      <c r="G81" s="21"/>
      <c r="H81" s="21"/>
      <c r="I81" s="21"/>
      <c r="J81" s="21"/>
      <c r="K81" s="21"/>
      <c r="L81" s="21"/>
      <c r="M81" s="21"/>
      <c r="N81" s="21"/>
      <c r="O81" s="20"/>
    </row>
    <row r="82" spans="1:15" x14ac:dyDescent="0.3">
      <c r="A82" s="18"/>
      <c r="B82" s="30">
        <v>4</v>
      </c>
      <c r="C82" s="30"/>
      <c r="D82" s="30"/>
      <c r="E82" s="21"/>
      <c r="F82" s="21"/>
      <c r="G82" s="21"/>
      <c r="H82" s="21"/>
      <c r="I82" s="21"/>
      <c r="J82" s="21"/>
      <c r="K82" s="21"/>
      <c r="L82" s="21"/>
      <c r="M82" s="21"/>
      <c r="N82" s="21"/>
      <c r="O82" s="20"/>
    </row>
    <row r="83" spans="1:15" x14ac:dyDescent="0.3">
      <c r="A83" s="18"/>
      <c r="B83" s="30">
        <v>5</v>
      </c>
      <c r="C83" s="30"/>
      <c r="D83" s="30"/>
      <c r="E83" s="21"/>
      <c r="F83" s="21"/>
      <c r="G83" s="21"/>
      <c r="H83" s="21"/>
      <c r="I83" s="21"/>
      <c r="J83" s="21"/>
      <c r="K83" s="21"/>
      <c r="L83" s="21"/>
      <c r="M83" s="21"/>
      <c r="N83" s="21"/>
      <c r="O83" s="20"/>
    </row>
    <row r="84" spans="1:15" x14ac:dyDescent="0.3">
      <c r="A84" s="18"/>
      <c r="B84" s="30">
        <v>6</v>
      </c>
      <c r="C84" s="30"/>
      <c r="D84" s="30"/>
      <c r="E84" s="21"/>
      <c r="F84" s="21"/>
      <c r="G84" s="21"/>
      <c r="H84" s="21"/>
      <c r="I84" s="21"/>
      <c r="J84" s="21"/>
      <c r="K84" s="21"/>
      <c r="L84" s="21"/>
      <c r="M84" s="21"/>
      <c r="N84" s="21"/>
      <c r="O84" s="20"/>
    </row>
    <row r="85" spans="1:15" x14ac:dyDescent="0.3">
      <c r="A85" s="18"/>
      <c r="B85" s="21"/>
      <c r="C85" s="21"/>
      <c r="D85" s="21"/>
      <c r="E85" s="21"/>
      <c r="F85" s="21"/>
      <c r="G85" s="21"/>
      <c r="H85" s="21"/>
      <c r="I85" s="21"/>
      <c r="J85" s="21"/>
      <c r="K85" s="21"/>
      <c r="L85" s="21"/>
      <c r="M85" s="21"/>
      <c r="N85" s="21"/>
      <c r="O85" s="20"/>
    </row>
    <row r="86" spans="1:15" x14ac:dyDescent="0.3">
      <c r="A86" s="18"/>
      <c r="B86" s="21"/>
      <c r="C86" s="21"/>
      <c r="D86" s="21"/>
      <c r="E86" s="21"/>
      <c r="F86" s="21"/>
      <c r="G86" s="21"/>
      <c r="H86" s="21"/>
      <c r="I86" s="21"/>
      <c r="J86" s="21"/>
      <c r="K86" s="21"/>
      <c r="L86" s="21"/>
      <c r="M86" s="21"/>
      <c r="N86" s="21"/>
      <c r="O86" s="20"/>
    </row>
    <row r="87" spans="1:15" x14ac:dyDescent="0.3">
      <c r="A87" s="18"/>
      <c r="B87" s="21"/>
      <c r="C87" s="21"/>
      <c r="D87" s="21"/>
      <c r="E87" s="21"/>
      <c r="F87" s="21"/>
      <c r="G87" s="21"/>
      <c r="H87" s="21"/>
      <c r="I87" s="21"/>
      <c r="J87" s="21"/>
      <c r="K87" s="21"/>
      <c r="L87" s="21"/>
      <c r="M87" s="21"/>
      <c r="N87" s="21"/>
      <c r="O87" s="20"/>
    </row>
    <row r="88" spans="1:15" x14ac:dyDescent="0.3">
      <c r="A88" s="18"/>
      <c r="B88" s="21"/>
      <c r="C88" s="21"/>
      <c r="D88" s="21"/>
      <c r="E88" s="21"/>
      <c r="F88" s="21"/>
      <c r="G88" s="21"/>
      <c r="H88" s="30">
        <f>ROWS(_xll.U.PAD(B79:D84,,TRUE))</f>
        <v>2</v>
      </c>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x14ac:dyDescent="0.3">
      <c r="A90" s="18"/>
      <c r="B90" s="21"/>
      <c r="C90" s="21"/>
      <c r="D90" s="21"/>
      <c r="E90" s="21"/>
      <c r="F90" s="21"/>
      <c r="G90" s="21"/>
      <c r="H90" s="9" t="s">
        <v>1786</v>
      </c>
      <c r="I90" s="21"/>
      <c r="J90" s="21"/>
      <c r="K90" s="21"/>
      <c r="L90" s="21"/>
      <c r="M90" s="21"/>
      <c r="N90" s="21"/>
      <c r="O90" s="20"/>
    </row>
    <row r="91" spans="1:15" x14ac:dyDescent="0.3">
      <c r="A91" s="18"/>
      <c r="B91" s="21"/>
      <c r="C91" s="21"/>
      <c r="D91" s="21"/>
      <c r="E91" s="21"/>
      <c r="F91" s="21"/>
      <c r="G91" s="21"/>
      <c r="H91" s="21"/>
      <c r="I91" s="21"/>
      <c r="J91" s="21"/>
      <c r="K91" s="21"/>
      <c r="L91" s="21"/>
      <c r="M91" s="21"/>
      <c r="N91" s="21"/>
      <c r="O91" s="20"/>
    </row>
    <row r="92" spans="1:15" x14ac:dyDescent="0.3">
      <c r="A92" s="18"/>
      <c r="B92" s="21"/>
      <c r="C92" s="21"/>
      <c r="D92" s="21"/>
      <c r="E92" s="21"/>
      <c r="F92" s="21"/>
      <c r="G92" s="21"/>
      <c r="H92" s="21"/>
      <c r="I92" s="21"/>
      <c r="J92" s="21"/>
      <c r="K92" s="21"/>
      <c r="L92" s="21"/>
      <c r="M92" s="21"/>
      <c r="N92" s="21"/>
      <c r="O92" s="20"/>
    </row>
    <row r="93" spans="1:15" x14ac:dyDescent="0.3">
      <c r="A93" s="18"/>
      <c r="B93" s="21"/>
      <c r="C93" s="21"/>
      <c r="D93" s="21"/>
      <c r="E93" s="21"/>
      <c r="F93" s="21"/>
      <c r="G93" s="21"/>
      <c r="H93" s="21"/>
      <c r="I93" s="21"/>
      <c r="J93" s="21"/>
      <c r="K93" s="21"/>
      <c r="L93" s="21"/>
      <c r="M93" s="21"/>
      <c r="N93" s="21"/>
      <c r="O93" s="20"/>
    </row>
    <row r="94" spans="1:15" x14ac:dyDescent="0.3">
      <c r="A94" s="18"/>
      <c r="B94" s="21"/>
      <c r="C94" s="21"/>
      <c r="D94" s="21"/>
      <c r="E94" s="21"/>
      <c r="F94" s="21"/>
      <c r="G94" s="21"/>
      <c r="H94" s="21"/>
      <c r="I94" s="21"/>
      <c r="J94" s="21"/>
      <c r="K94" s="21"/>
      <c r="L94" s="21"/>
      <c r="M94" s="21"/>
      <c r="N94" s="21"/>
      <c r="O94" s="20"/>
    </row>
    <row r="95" spans="1:15" x14ac:dyDescent="0.3">
      <c r="A95" s="18"/>
      <c r="B95" s="21"/>
      <c r="C95" s="21"/>
      <c r="D95" s="21"/>
      <c r="E95" s="21"/>
      <c r="F95" s="21"/>
      <c r="G95" s="21"/>
      <c r="H95" s="21"/>
      <c r="I95" s="21"/>
      <c r="J95" s="21"/>
      <c r="K95" s="21"/>
      <c r="L95" s="21"/>
      <c r="M95" s="21"/>
      <c r="N95" s="21"/>
      <c r="O95" s="20"/>
    </row>
    <row r="96" spans="1:15" x14ac:dyDescent="0.3">
      <c r="A96" s="18"/>
      <c r="B96" s="21"/>
      <c r="C96" s="21"/>
      <c r="D96" s="21"/>
      <c r="E96" s="21"/>
      <c r="F96" s="21"/>
      <c r="G96" s="21"/>
      <c r="H96" s="21"/>
      <c r="I96" s="21"/>
      <c r="J96" s="21"/>
      <c r="K96" s="21"/>
      <c r="L96" s="21"/>
      <c r="M96" s="21"/>
      <c r="N96" s="21"/>
      <c r="O96" s="20"/>
    </row>
    <row r="97" spans="1:15" x14ac:dyDescent="0.3">
      <c r="A97" s="18"/>
      <c r="B97" s="21"/>
      <c r="C97" s="21"/>
      <c r="D97" s="21"/>
      <c r="E97" s="21"/>
      <c r="F97" s="21"/>
      <c r="G97" s="21"/>
      <c r="H97" s="21"/>
      <c r="I97" s="21"/>
      <c r="J97" s="21"/>
      <c r="K97" s="21"/>
      <c r="L97" s="21"/>
      <c r="M97" s="21"/>
      <c r="N97" s="21"/>
      <c r="O97" s="20"/>
    </row>
    <row r="98" spans="1:15" x14ac:dyDescent="0.3">
      <c r="A98" s="18"/>
      <c r="B98" s="21"/>
      <c r="C98" s="21"/>
      <c r="D98" s="21"/>
      <c r="E98" s="21"/>
      <c r="F98" s="21"/>
      <c r="G98" s="21"/>
      <c r="H98" s="21"/>
      <c r="I98" s="21"/>
      <c r="J98" s="21"/>
      <c r="K98" s="21"/>
      <c r="L98" s="21"/>
      <c r="M98" s="21"/>
      <c r="N98" s="21"/>
      <c r="O98" s="20"/>
    </row>
    <row r="99" spans="1:15" x14ac:dyDescent="0.3">
      <c r="A99" s="18"/>
      <c r="B99" s="21"/>
      <c r="C99" s="21"/>
      <c r="D99" s="21"/>
      <c r="E99" s="21"/>
      <c r="F99" s="21"/>
      <c r="G99" s="21"/>
      <c r="H99" s="21"/>
      <c r="I99" s="21"/>
      <c r="J99" s="21"/>
      <c r="K99" s="21"/>
      <c r="L99" s="21"/>
      <c r="M99" s="21"/>
      <c r="N99" s="21"/>
      <c r="O99" s="20"/>
    </row>
    <row r="100" spans="1:15" x14ac:dyDescent="0.3">
      <c r="A100" s="18"/>
      <c r="B100" s="21"/>
      <c r="C100" s="21"/>
      <c r="D100" s="21"/>
      <c r="E100" s="21"/>
      <c r="F100" s="21"/>
      <c r="G100" s="21"/>
      <c r="H100" s="21"/>
      <c r="I100" s="21"/>
      <c r="J100" s="21"/>
      <c r="K100" s="21"/>
      <c r="L100" s="21"/>
      <c r="M100" s="21"/>
      <c r="N100" s="21"/>
      <c r="O100" s="20"/>
    </row>
    <row r="101" spans="1:15" x14ac:dyDescent="0.3">
      <c r="A101" s="18"/>
      <c r="B101" s="21"/>
      <c r="C101" s="21"/>
      <c r="D101" s="21"/>
      <c r="E101" s="21"/>
      <c r="F101" s="21"/>
      <c r="G101" s="21"/>
      <c r="H101" s="215">
        <f>ROWS(_xll.U.PAD(B79:D84,,TRUE))</f>
        <v>6</v>
      </c>
      <c r="I101" s="21"/>
      <c r="J101" s="21"/>
      <c r="K101" s="21"/>
      <c r="L101" s="21"/>
      <c r="M101" s="21"/>
      <c r="N101" s="21"/>
      <c r="O101" s="20"/>
    </row>
    <row r="102" spans="1:15" x14ac:dyDescent="0.3">
      <c r="A102" s="18"/>
      <c r="B102" s="21"/>
      <c r="C102" s="21"/>
      <c r="D102" s="21"/>
      <c r="E102" s="21"/>
      <c r="F102" s="21"/>
      <c r="G102" s="21"/>
      <c r="H102" s="309"/>
      <c r="I102" s="21"/>
      <c r="J102" s="21"/>
      <c r="K102" s="21"/>
      <c r="L102" s="21"/>
      <c r="M102" s="21"/>
      <c r="N102" s="21"/>
      <c r="O102" s="20"/>
    </row>
    <row r="103" spans="1:15" x14ac:dyDescent="0.3">
      <c r="A103" s="18"/>
      <c r="B103" s="21"/>
      <c r="C103" s="21"/>
      <c r="D103" s="21"/>
      <c r="E103" s="21"/>
      <c r="F103" s="21"/>
      <c r="G103" s="21"/>
      <c r="H103" s="309"/>
      <c r="I103" s="9" t="s">
        <v>1786</v>
      </c>
      <c r="J103" s="21"/>
      <c r="K103" s="21"/>
      <c r="L103" s="21"/>
      <c r="M103" s="21"/>
      <c r="N103" s="21"/>
      <c r="O103" s="20"/>
    </row>
    <row r="104" spans="1:15" x14ac:dyDescent="0.3">
      <c r="A104" s="18"/>
      <c r="B104" s="21"/>
      <c r="C104" s="21"/>
      <c r="D104" s="21"/>
      <c r="E104" s="21"/>
      <c r="F104" s="21"/>
      <c r="G104" s="21"/>
      <c r="H104" s="309"/>
      <c r="I104" s="21"/>
      <c r="J104" s="21"/>
      <c r="K104" s="21"/>
      <c r="L104" s="21"/>
      <c r="M104" s="21"/>
      <c r="N104" s="21"/>
      <c r="O104" s="20"/>
    </row>
    <row r="105" spans="1:15" x14ac:dyDescent="0.3">
      <c r="A105" s="18"/>
      <c r="B105" s="21"/>
      <c r="C105" s="21"/>
      <c r="D105" s="21"/>
      <c r="E105" s="21"/>
      <c r="F105" s="21"/>
      <c r="G105" s="21"/>
      <c r="H105" s="309"/>
      <c r="I105" s="21"/>
      <c r="J105" s="21"/>
      <c r="K105" s="21"/>
      <c r="L105" s="21"/>
      <c r="M105" s="21"/>
      <c r="N105" s="21"/>
      <c r="O105" s="20"/>
    </row>
    <row r="106" spans="1:15" x14ac:dyDescent="0.3">
      <c r="A106" s="18"/>
      <c r="B106" s="21"/>
      <c r="C106" s="21"/>
      <c r="D106" s="21"/>
      <c r="E106" s="21"/>
      <c r="F106" s="21"/>
      <c r="G106" s="21"/>
      <c r="H106" s="309"/>
      <c r="I106" s="21"/>
      <c r="J106" s="21"/>
      <c r="K106" s="21"/>
      <c r="L106" s="21"/>
      <c r="M106" s="21"/>
      <c r="N106" s="21"/>
      <c r="O106" s="20"/>
    </row>
    <row r="107" spans="1:15" x14ac:dyDescent="0.3">
      <c r="A107" s="18"/>
      <c r="B107" s="21"/>
      <c r="C107" s="21"/>
      <c r="D107" s="21"/>
      <c r="E107" s="21"/>
      <c r="F107" s="21"/>
      <c r="G107" s="21"/>
      <c r="H107" s="21"/>
      <c r="I107" s="21"/>
      <c r="J107" s="21"/>
      <c r="K107" s="21"/>
      <c r="L107" s="21"/>
      <c r="M107" s="21"/>
      <c r="N107" s="21"/>
      <c r="O107" s="20"/>
    </row>
    <row r="108" spans="1:15" x14ac:dyDescent="0.3">
      <c r="A108" s="18"/>
      <c r="B108" s="21"/>
      <c r="C108" s="21"/>
      <c r="D108" s="21"/>
      <c r="E108" s="21"/>
      <c r="F108" s="21"/>
      <c r="G108" s="21"/>
      <c r="H108" s="21"/>
      <c r="I108" s="21"/>
      <c r="J108" s="21"/>
      <c r="K108" s="21"/>
      <c r="L108" s="21"/>
      <c r="M108" s="21"/>
      <c r="N108" s="21"/>
      <c r="O108" s="20"/>
    </row>
    <row r="109" spans="1:15" x14ac:dyDescent="0.3">
      <c r="A109" s="18"/>
      <c r="B109" s="21"/>
      <c r="C109" s="21"/>
      <c r="D109" s="21"/>
      <c r="E109" s="21"/>
      <c r="F109" s="21"/>
      <c r="G109" s="21"/>
      <c r="H109" s="215">
        <f>COLUMNS(_xll.U.PAD(B79:D84,,{TRUE,TRUE}))</f>
        <v>3</v>
      </c>
      <c r="I109" s="309"/>
      <c r="J109" s="309"/>
      <c r="K109" s="21"/>
      <c r="L109" s="21"/>
      <c r="M109" s="21"/>
      <c r="N109" s="21"/>
      <c r="O109" s="20"/>
    </row>
    <row r="110" spans="1:15" x14ac:dyDescent="0.3">
      <c r="A110" s="18"/>
      <c r="B110" s="21"/>
      <c r="C110" s="21"/>
      <c r="D110" s="21"/>
      <c r="E110" s="21"/>
      <c r="F110" s="21"/>
      <c r="G110" s="21"/>
      <c r="H110" s="309"/>
      <c r="I110" s="309"/>
      <c r="J110" s="309"/>
      <c r="K110" s="21"/>
      <c r="L110" s="21"/>
      <c r="M110" s="21"/>
      <c r="N110" s="21"/>
      <c r="O110" s="20"/>
    </row>
    <row r="111" spans="1:15" x14ac:dyDescent="0.3">
      <c r="A111" s="18"/>
      <c r="B111" s="21"/>
      <c r="C111" s="21"/>
      <c r="D111" s="21"/>
      <c r="E111" s="21"/>
      <c r="F111" s="21"/>
      <c r="G111" s="21"/>
      <c r="H111" s="21"/>
      <c r="I111" s="9" t="s">
        <v>1786</v>
      </c>
      <c r="J111" s="21"/>
      <c r="K111" s="21"/>
      <c r="L111" s="21"/>
      <c r="M111" s="21"/>
      <c r="N111" s="21"/>
      <c r="O111" s="20"/>
    </row>
    <row r="112" spans="1:15" x14ac:dyDescent="0.3">
      <c r="A112" s="18"/>
      <c r="B112" s="21"/>
      <c r="C112" s="21"/>
      <c r="D112" s="21"/>
      <c r="E112" s="21"/>
      <c r="F112" s="21"/>
      <c r="G112" s="21"/>
      <c r="H112" s="21"/>
      <c r="I112" s="21"/>
      <c r="J112" s="21"/>
      <c r="K112" s="21"/>
      <c r="L112" s="21"/>
      <c r="M112" s="21"/>
      <c r="N112" s="21"/>
      <c r="O112" s="20"/>
    </row>
    <row r="113" spans="1:15" x14ac:dyDescent="0.3">
      <c r="A113" s="18"/>
      <c r="B113" s="21"/>
      <c r="C113" s="21"/>
      <c r="D113" s="21"/>
      <c r="E113" s="21"/>
      <c r="F113" s="21"/>
      <c r="G113" s="21"/>
      <c r="H113" s="21"/>
      <c r="I113" s="21"/>
      <c r="J113" s="21"/>
      <c r="K113" s="21"/>
      <c r="L113" s="21"/>
      <c r="M113" s="21"/>
      <c r="N113" s="21"/>
      <c r="O113" s="20"/>
    </row>
    <row r="114" spans="1:15" x14ac:dyDescent="0.3">
      <c r="A114" s="18"/>
      <c r="B114" s="21"/>
      <c r="C114" s="21"/>
      <c r="D114" s="21"/>
      <c r="E114" s="21"/>
      <c r="F114" s="21"/>
      <c r="G114" s="21"/>
      <c r="H114" s="21"/>
      <c r="I114" s="21"/>
      <c r="J114" s="21"/>
      <c r="K114" s="21"/>
      <c r="L114" s="21"/>
      <c r="M114" s="21"/>
      <c r="N114" s="21"/>
      <c r="O114" s="20"/>
    </row>
    <row r="115" spans="1:15" x14ac:dyDescent="0.3">
      <c r="A115" s="18"/>
      <c r="B115" s="21"/>
      <c r="C115" s="21"/>
      <c r="D115" s="21"/>
      <c r="E115" s="21"/>
      <c r="F115" s="21"/>
      <c r="G115" s="21"/>
      <c r="H115" s="21"/>
      <c r="I115" s="21"/>
      <c r="J115" s="21"/>
      <c r="K115" s="21"/>
      <c r="L115" s="21"/>
      <c r="M115" s="21"/>
      <c r="N115" s="21"/>
      <c r="O115" s="20"/>
    </row>
    <row r="116" spans="1:15" x14ac:dyDescent="0.3">
      <c r="A116" s="18"/>
      <c r="B116" s="21"/>
      <c r="C116" s="21"/>
      <c r="D116" s="21"/>
      <c r="E116" s="21"/>
      <c r="F116" s="21"/>
      <c r="G116" s="21"/>
      <c r="H116" s="21"/>
      <c r="I116" s="21"/>
      <c r="J116" s="21"/>
      <c r="K116" s="21"/>
      <c r="L116" s="21"/>
      <c r="M116" s="21"/>
      <c r="N116" s="21"/>
      <c r="O116" s="20"/>
    </row>
    <row r="117" spans="1:15" x14ac:dyDescent="0.3">
      <c r="A117" s="18"/>
      <c r="B117" s="21"/>
      <c r="C117" s="21"/>
      <c r="D117" s="21"/>
      <c r="E117" s="21"/>
      <c r="F117" s="21"/>
      <c r="G117" s="21"/>
      <c r="H117" s="21"/>
      <c r="I117" s="21"/>
      <c r="J117" s="21"/>
      <c r="K117" s="21"/>
      <c r="L117" s="21"/>
      <c r="M117" s="21"/>
      <c r="N117" s="21"/>
      <c r="O117" s="20"/>
    </row>
    <row r="118" spans="1:15" x14ac:dyDescent="0.3">
      <c r="A118" s="18"/>
      <c r="B118" s="21"/>
      <c r="C118" s="21"/>
      <c r="D118" s="21"/>
      <c r="E118" s="21"/>
      <c r="F118" s="21"/>
      <c r="G118" s="21"/>
      <c r="H118" s="21"/>
      <c r="I118" s="21"/>
      <c r="J118" s="21"/>
      <c r="K118" s="21"/>
      <c r="L118" s="21"/>
      <c r="M118" s="21"/>
      <c r="N118" s="21"/>
      <c r="O118" s="20"/>
    </row>
    <row r="119" spans="1:15" x14ac:dyDescent="0.3">
      <c r="A119" s="18"/>
      <c r="B119" s="21"/>
      <c r="C119" s="21"/>
      <c r="D119" s="21"/>
      <c r="E119" s="21"/>
      <c r="F119" s="21"/>
      <c r="G119" s="21"/>
      <c r="H119" s="215">
        <f t="array" ref="H119:J120">_xll.U.PAD(B79:D84,TRUE,{TRUE,TRUE})</f>
        <v>1</v>
      </c>
      <c r="I119" s="215">
        <v>2</v>
      </c>
      <c r="J119" s="215">
        <v>3</v>
      </c>
      <c r="K119" s="21"/>
      <c r="L119" s="21"/>
      <c r="M119" s="21"/>
      <c r="N119" s="21"/>
      <c r="O119" s="20"/>
    </row>
    <row r="120" spans="1:15" x14ac:dyDescent="0.3">
      <c r="A120" s="18"/>
      <c r="B120" s="21"/>
      <c r="C120" s="21"/>
      <c r="D120" s="21"/>
      <c r="E120" s="21"/>
      <c r="F120" s="21"/>
      <c r="G120" s="21"/>
      <c r="H120" s="215">
        <v>2</v>
      </c>
      <c r="I120" s="215" t="str">
        <v/>
      </c>
      <c r="J120" s="215" t="str">
        <v/>
      </c>
      <c r="K120" s="21"/>
      <c r="L120" s="21"/>
      <c r="M120" s="21"/>
      <c r="N120" s="21"/>
      <c r="O120" s="20"/>
    </row>
    <row r="121" spans="1:15" x14ac:dyDescent="0.3">
      <c r="A121" s="18"/>
      <c r="B121" s="21"/>
      <c r="C121" s="21"/>
      <c r="D121" s="21"/>
      <c r="E121" s="21"/>
      <c r="F121" s="21"/>
      <c r="G121" s="21"/>
      <c r="H121" s="21"/>
      <c r="I121" s="116" t="s">
        <v>1786</v>
      </c>
      <c r="J121" s="21"/>
      <c r="K121" s="21"/>
      <c r="L121" s="21"/>
      <c r="M121" s="21"/>
      <c r="N121" s="21"/>
      <c r="O121" s="20"/>
    </row>
    <row r="122" spans="1:15" x14ac:dyDescent="0.3">
      <c r="A122" s="18"/>
      <c r="B122" s="21"/>
      <c r="C122" s="21"/>
      <c r="D122" s="21"/>
      <c r="E122" s="21"/>
      <c r="F122" s="21"/>
      <c r="G122" s="21"/>
      <c r="H122" s="21"/>
      <c r="I122" s="21"/>
      <c r="J122" s="21"/>
      <c r="K122" s="21"/>
      <c r="L122" s="21"/>
      <c r="M122" s="21"/>
      <c r="N122" s="21"/>
      <c r="O122" s="20"/>
    </row>
    <row r="123" spans="1:15" x14ac:dyDescent="0.3">
      <c r="A123" s="18"/>
      <c r="B123" s="21"/>
      <c r="C123" s="21"/>
      <c r="D123" s="21"/>
      <c r="E123" s="21"/>
      <c r="F123" s="21"/>
      <c r="G123" s="21"/>
      <c r="H123" s="21"/>
      <c r="I123" s="21"/>
      <c r="J123" s="21"/>
      <c r="K123" s="21"/>
      <c r="L123" s="21"/>
      <c r="M123" s="21"/>
      <c r="N123" s="21"/>
      <c r="O123" s="20"/>
    </row>
    <row r="124" spans="1:15" x14ac:dyDescent="0.3">
      <c r="A124" s="18"/>
      <c r="B124" s="21"/>
      <c r="C124" s="21"/>
      <c r="D124" s="21"/>
      <c r="E124" s="21"/>
      <c r="F124" s="21"/>
      <c r="G124" s="21"/>
      <c r="H124" s="21"/>
      <c r="I124" s="21"/>
      <c r="J124" s="21"/>
      <c r="K124" s="21"/>
      <c r="L124" s="21"/>
      <c r="M124" s="21"/>
      <c r="N124" s="21"/>
      <c r="O124" s="20"/>
    </row>
    <row r="125" spans="1:15" x14ac:dyDescent="0.3">
      <c r="A125" s="18"/>
      <c r="B125" s="21"/>
      <c r="C125" s="21"/>
      <c r="D125" s="21"/>
      <c r="E125" s="21"/>
      <c r="F125" s="21"/>
      <c r="G125" s="21"/>
      <c r="H125" s="21"/>
      <c r="I125" s="21"/>
      <c r="J125" s="21"/>
      <c r="K125" s="21"/>
      <c r="L125" s="21"/>
      <c r="M125" s="21"/>
      <c r="N125" s="21"/>
      <c r="O125" s="20"/>
    </row>
    <row r="126" spans="1:15" x14ac:dyDescent="0.3">
      <c r="A126" s="18"/>
      <c r="B126" s="21"/>
      <c r="C126" s="21"/>
      <c r="D126" s="21"/>
      <c r="E126" s="21"/>
      <c r="F126" s="21"/>
      <c r="G126" s="21"/>
      <c r="H126" s="21"/>
      <c r="I126" s="21"/>
      <c r="J126" s="21"/>
      <c r="K126" s="21"/>
      <c r="L126" s="21"/>
      <c r="M126" s="21"/>
      <c r="N126" s="21"/>
      <c r="O126" s="20"/>
    </row>
    <row r="127" spans="1:15" x14ac:dyDescent="0.3">
      <c r="A127" s="490" t="s">
        <v>3431</v>
      </c>
      <c r="B127" s="491"/>
      <c r="C127" s="491"/>
      <c r="D127" s="491"/>
      <c r="E127" s="491"/>
      <c r="F127" s="491"/>
      <c r="G127" s="491"/>
      <c r="H127" s="491"/>
      <c r="I127" s="491"/>
      <c r="J127" s="491"/>
      <c r="K127" s="491"/>
      <c r="L127" s="491"/>
      <c r="M127" s="491"/>
      <c r="N127" s="21"/>
      <c r="O127" s="20"/>
    </row>
    <row r="128" spans="1:15" x14ac:dyDescent="0.3">
      <c r="A128" s="18"/>
      <c r="B128" s="21"/>
      <c r="C128" s="21"/>
      <c r="D128" s="21"/>
      <c r="E128" s="21"/>
      <c r="F128" s="21"/>
      <c r="G128" s="21"/>
      <c r="H128" s="21"/>
      <c r="I128" s="21"/>
      <c r="J128" s="21"/>
      <c r="K128" s="21"/>
      <c r="L128" s="21"/>
      <c r="M128" s="21"/>
      <c r="N128" s="21"/>
      <c r="O128" s="20"/>
    </row>
    <row r="129" spans="1:15" x14ac:dyDescent="0.3">
      <c r="A129" s="18"/>
      <c r="B129" s="21"/>
      <c r="C129" s="21"/>
      <c r="D129" s="21"/>
      <c r="E129" s="21"/>
      <c r="F129" s="21"/>
      <c r="G129" s="21"/>
      <c r="H129" s="21"/>
      <c r="I129" s="21"/>
      <c r="J129" s="21"/>
      <c r="K129" s="21"/>
      <c r="L129" s="21"/>
      <c r="M129" s="21"/>
      <c r="N129" s="21"/>
      <c r="O129" s="20"/>
    </row>
    <row r="130" spans="1:15" x14ac:dyDescent="0.3">
      <c r="A130" s="18"/>
      <c r="B130" s="492" t="s">
        <v>3361</v>
      </c>
      <c r="C130" s="493"/>
      <c r="D130" s="21"/>
      <c r="E130" s="21"/>
      <c r="F130" s="21"/>
      <c r="G130" s="21"/>
      <c r="H130" s="21"/>
      <c r="I130" s="21"/>
      <c r="J130" s="21"/>
      <c r="K130" s="21"/>
      <c r="L130" s="21"/>
      <c r="M130" s="21"/>
      <c r="N130" s="21"/>
      <c r="O130" s="20"/>
    </row>
    <row r="131" spans="1:15" x14ac:dyDescent="0.3">
      <c r="A131" s="18"/>
      <c r="B131" s="5" t="s">
        <v>11</v>
      </c>
      <c r="C131" s="42" t="s">
        <v>5</v>
      </c>
      <c r="D131" s="21"/>
      <c r="E131" s="21"/>
      <c r="F131" s="21"/>
      <c r="G131" s="21"/>
      <c r="H131" s="21"/>
      <c r="I131" s="21"/>
      <c r="J131" s="21"/>
      <c r="K131" s="21"/>
      <c r="L131" s="21"/>
      <c r="M131" s="21"/>
      <c r="N131" s="21"/>
      <c r="O131" s="20"/>
    </row>
    <row r="132" spans="1:15" x14ac:dyDescent="0.3">
      <c r="A132" s="18"/>
      <c r="B132" s="5" t="s">
        <v>12</v>
      </c>
      <c r="C132" s="42" t="s">
        <v>6</v>
      </c>
      <c r="D132" s="21"/>
      <c r="E132" s="21"/>
      <c r="F132" s="21"/>
      <c r="G132" s="21"/>
      <c r="H132" s="21"/>
      <c r="I132" s="21"/>
      <c r="J132" s="21"/>
      <c r="K132" s="21"/>
      <c r="L132" s="21"/>
      <c r="M132" s="21"/>
      <c r="N132" s="21"/>
      <c r="O132" s="20"/>
    </row>
    <row r="133" spans="1:15" x14ac:dyDescent="0.3">
      <c r="A133" s="18"/>
      <c r="B133" s="7" t="s">
        <v>24</v>
      </c>
      <c r="C133" s="6" t="str" cm="1">
        <f t="array" ref="C133">_xll.U.SUBSCRIBE(C131,C132)</f>
        <v>U/DESK1/PNL | 2026-04-19 14:17:39.949</v>
      </c>
      <c r="D133" s="21"/>
      <c r="E133" s="21"/>
      <c r="F133" s="21"/>
      <c r="G133" s="21"/>
      <c r="H133" s="21"/>
      <c r="I133" s="21"/>
      <c r="J133" s="21"/>
      <c r="K133" s="21"/>
      <c r="L133" s="21"/>
      <c r="M133" s="21"/>
      <c r="N133" s="21"/>
      <c r="O133" s="20"/>
    </row>
    <row r="134" spans="1:15" x14ac:dyDescent="0.3">
      <c r="A134" s="18"/>
      <c r="B134" s="21"/>
      <c r="C134" s="21"/>
      <c r="D134" s="21"/>
      <c r="E134" s="21"/>
      <c r="F134" s="21"/>
      <c r="G134" s="21"/>
      <c r="H134" s="21"/>
      <c r="I134" s="21"/>
      <c r="J134" s="21"/>
      <c r="K134" s="21"/>
      <c r="L134" s="21"/>
      <c r="M134" s="21"/>
      <c r="N134" s="21"/>
      <c r="O134" s="20"/>
    </row>
    <row r="135" spans="1:15" x14ac:dyDescent="0.3">
      <c r="A135" s="18"/>
      <c r="B135" s="492" t="s">
        <v>3362</v>
      </c>
      <c r="C135" s="493"/>
      <c r="D135" s="21"/>
      <c r="E135" s="21"/>
      <c r="F135" s="21"/>
      <c r="G135" s="21"/>
      <c r="H135" s="21"/>
      <c r="I135" s="21"/>
      <c r="J135" s="21"/>
      <c r="K135" s="21"/>
      <c r="L135" s="21"/>
      <c r="M135" s="21"/>
      <c r="N135" s="21"/>
      <c r="O135" s="20"/>
    </row>
    <row r="136" spans="1:15" x14ac:dyDescent="0.3">
      <c r="A136" s="18"/>
      <c r="B136" s="12" t="str">
        <f t="array" ref="B136:C141">_xll.U.PAD(C133)</f>
        <v>Symbol</v>
      </c>
      <c r="C136" s="13" t="str">
        <v>Delta</v>
      </c>
      <c r="D136" s="21"/>
      <c r="E136" s="21"/>
      <c r="F136" s="21"/>
      <c r="G136" s="21"/>
      <c r="H136" s="21"/>
      <c r="I136" s="21"/>
      <c r="J136" s="21"/>
      <c r="K136" s="21"/>
      <c r="L136" s="21"/>
      <c r="M136" s="21"/>
      <c r="N136" s="21"/>
      <c r="O136" s="20"/>
    </row>
    <row r="137" spans="1:15" x14ac:dyDescent="0.3">
      <c r="A137" s="18"/>
      <c r="B137" s="10" t="str">
        <v>ABC</v>
      </c>
      <c r="C137" s="11">
        <v>2500</v>
      </c>
      <c r="D137" s="21"/>
      <c r="E137" s="21"/>
      <c r="F137" s="21"/>
      <c r="G137" s="21"/>
      <c r="H137" s="21"/>
      <c r="I137" s="21"/>
      <c r="J137" s="21"/>
      <c r="K137" s="21"/>
      <c r="L137" s="21"/>
      <c r="M137" s="21"/>
      <c r="N137" s="21"/>
      <c r="O137" s="20"/>
    </row>
    <row r="138" spans="1:15" x14ac:dyDescent="0.3">
      <c r="A138" s="18"/>
      <c r="B138" s="10" t="str">
        <v>XYZ</v>
      </c>
      <c r="C138" s="11">
        <v>-360</v>
      </c>
      <c r="D138" s="21"/>
      <c r="E138" s="21"/>
      <c r="F138" s="21"/>
      <c r="G138" s="21"/>
      <c r="H138" s="21"/>
      <c r="I138" s="21"/>
      <c r="J138" s="21"/>
      <c r="K138" s="21"/>
      <c r="L138" s="21"/>
      <c r="M138" s="21"/>
      <c r="N138" s="21"/>
      <c r="O138" s="20"/>
    </row>
    <row r="139" spans="1:15" x14ac:dyDescent="0.3">
      <c r="A139" s="18"/>
      <c r="B139" s="10" t="str">
        <v/>
      </c>
      <c r="C139" s="11" t="str">
        <v/>
      </c>
      <c r="D139" s="21"/>
      <c r="E139" s="21"/>
      <c r="F139" s="21"/>
      <c r="G139" s="21"/>
      <c r="H139" s="21"/>
      <c r="I139" s="21"/>
      <c r="J139" s="21"/>
      <c r="K139" s="21"/>
      <c r="L139" s="21"/>
      <c r="M139" s="21"/>
      <c r="N139" s="21"/>
      <c r="O139" s="20"/>
    </row>
    <row r="140" spans="1:15" x14ac:dyDescent="0.3">
      <c r="A140" s="18"/>
      <c r="B140" s="10" t="str">
        <v/>
      </c>
      <c r="C140" s="11" t="str">
        <v/>
      </c>
      <c r="D140" s="21"/>
      <c r="E140" s="21"/>
      <c r="F140" s="21"/>
      <c r="G140" s="21"/>
      <c r="H140" s="21"/>
      <c r="I140" s="21"/>
      <c r="J140" s="21"/>
      <c r="K140" s="21"/>
      <c r="L140" s="21"/>
      <c r="M140" s="21"/>
      <c r="N140" s="21"/>
      <c r="O140" s="20"/>
    </row>
    <row r="141" spans="1:15" x14ac:dyDescent="0.3">
      <c r="A141" s="18"/>
      <c r="B141" s="10" t="str">
        <v/>
      </c>
      <c r="C141" s="11" t="str">
        <v/>
      </c>
      <c r="D141" s="21"/>
      <c r="E141" s="21"/>
      <c r="F141" s="21"/>
      <c r="G141" s="21"/>
      <c r="H141" s="21"/>
      <c r="I141" s="21"/>
      <c r="J141" s="21"/>
      <c r="K141" s="21"/>
      <c r="L141" s="21"/>
      <c r="M141" s="21"/>
      <c r="N141" s="21"/>
      <c r="O141" s="20"/>
    </row>
    <row r="142" spans="1:15" x14ac:dyDescent="0.3">
      <c r="A142" s="18"/>
      <c r="B142" s="21"/>
      <c r="C142" s="21"/>
      <c r="D142" s="21"/>
      <c r="E142" s="21"/>
      <c r="F142" s="21"/>
      <c r="G142" s="21"/>
      <c r="H142" s="21"/>
      <c r="I142" s="21"/>
      <c r="J142" s="21"/>
      <c r="K142" s="21"/>
      <c r="L142" s="21"/>
      <c r="M142" s="21"/>
      <c r="N142" s="21"/>
      <c r="O142" s="20"/>
    </row>
    <row r="143" spans="1:15" x14ac:dyDescent="0.3">
      <c r="A143" s="18"/>
      <c r="B143" s="21"/>
      <c r="C143" s="21"/>
      <c r="D143" s="21"/>
      <c r="E143" s="21"/>
      <c r="F143" s="21"/>
      <c r="G143" s="21"/>
      <c r="H143" s="21"/>
      <c r="I143" s="21"/>
      <c r="J143" s="21"/>
      <c r="K143" s="21"/>
      <c r="L143" s="21"/>
      <c r="M143" s="21"/>
      <c r="N143" s="21"/>
      <c r="O143" s="20"/>
    </row>
    <row r="144" spans="1:15" x14ac:dyDescent="0.3">
      <c r="A144" s="18"/>
      <c r="B144" s="21"/>
      <c r="C144" s="21"/>
      <c r="D144" s="21"/>
      <c r="E144" s="21"/>
      <c r="F144" s="21"/>
      <c r="G144" s="21"/>
      <c r="H144" s="21"/>
      <c r="I144" s="21"/>
      <c r="J144" s="21"/>
      <c r="K144" s="21"/>
      <c r="L144" s="21"/>
      <c r="M144" s="21"/>
      <c r="N144" s="21"/>
      <c r="O144" s="20"/>
    </row>
    <row r="145" spans="1:15" ht="15" thickBot="1" x14ac:dyDescent="0.35">
      <c r="A145" s="22"/>
      <c r="B145" s="23"/>
      <c r="C145" s="23"/>
      <c r="D145" s="23"/>
      <c r="E145" s="23"/>
      <c r="F145" s="23"/>
      <c r="G145" s="23"/>
      <c r="H145" s="23"/>
      <c r="I145" s="23"/>
      <c r="J145" s="23"/>
      <c r="K145" s="23"/>
      <c r="L145" s="23"/>
      <c r="M145" s="23"/>
      <c r="N145" s="23"/>
      <c r="O145" s="24"/>
    </row>
  </sheetData>
  <mergeCells count="27">
    <mergeCell ref="Q14:R16"/>
    <mergeCell ref="S14:Y16"/>
    <mergeCell ref="Z14:Z16"/>
    <mergeCell ref="B78:D78"/>
    <mergeCell ref="B130:C130"/>
    <mergeCell ref="B42:F42"/>
    <mergeCell ref="B52:F52"/>
    <mergeCell ref="B135:C135"/>
    <mergeCell ref="A3:M3"/>
    <mergeCell ref="B7:C7"/>
    <mergeCell ref="B12:C12"/>
    <mergeCell ref="A127:M127"/>
    <mergeCell ref="B17:C17"/>
    <mergeCell ref="B22:C22"/>
    <mergeCell ref="E5:F5"/>
    <mergeCell ref="H5:I5"/>
    <mergeCell ref="Q3:Z3"/>
    <mergeCell ref="Q4:R6"/>
    <mergeCell ref="S4:Z6"/>
    <mergeCell ref="Q7:R7"/>
    <mergeCell ref="S7:Y7"/>
    <mergeCell ref="Q8:R10"/>
    <mergeCell ref="S8:Y10"/>
    <mergeCell ref="Z8:Z10"/>
    <mergeCell ref="Q11:R13"/>
    <mergeCell ref="S11:Y13"/>
    <mergeCell ref="Z11:Z13"/>
  </mergeCells>
  <conditionalFormatting sqref="B43:F50">
    <cfRule type="expression" dxfId="3" priority="1">
      <formula>NOT(ISBLANK(B43))</formula>
    </cfRule>
  </conditionalFormatting>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A1:Z136"/>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18.5546875" customWidth="1"/>
    <col min="3" max="3" width="21" customWidth="1"/>
    <col min="5" max="6" width="10.21875" customWidth="1"/>
    <col min="11" max="15" width="15.21875" customWidth="1"/>
    <col min="19" max="25" width="12" customWidth="1"/>
  </cols>
  <sheetData>
    <row r="1" spans="1:26" ht="34.5" customHeight="1" thickBot="1" x14ac:dyDescent="0.35">
      <c r="A1" s="292" t="s">
        <v>1580</v>
      </c>
      <c r="B1" s="473" t="e" vm="1">
        <v>#VALUE!</v>
      </c>
      <c r="C1" s="8" t="s">
        <v>1460</v>
      </c>
      <c r="D1" s="27"/>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101" t="s">
        <v>1472</v>
      </c>
      <c r="C3" s="21"/>
      <c r="D3" s="26"/>
      <c r="E3" s="21"/>
      <c r="F3" s="21"/>
      <c r="G3" s="21"/>
      <c r="H3" s="483" t="s">
        <v>3432</v>
      </c>
      <c r="I3" s="483"/>
      <c r="J3" s="483"/>
      <c r="K3" s="21"/>
      <c r="L3" s="21"/>
      <c r="M3" s="21"/>
      <c r="N3" s="21"/>
      <c r="O3" s="20"/>
      <c r="Q3" s="486" t="s">
        <v>3432</v>
      </c>
      <c r="R3" s="486"/>
      <c r="S3" s="486"/>
      <c r="T3" s="486"/>
      <c r="U3" s="486"/>
      <c r="V3" s="486"/>
      <c r="W3" s="486"/>
      <c r="X3" s="486"/>
      <c r="Y3" s="486"/>
      <c r="Z3" s="486"/>
    </row>
    <row r="4" spans="1:26" ht="15" customHeight="1" x14ac:dyDescent="0.3">
      <c r="A4" s="18"/>
      <c r="B4" s="42" t="s">
        <v>77</v>
      </c>
      <c r="C4" s="21"/>
      <c r="D4" s="26"/>
      <c r="E4" s="21"/>
      <c r="F4" s="21"/>
      <c r="G4" s="21"/>
      <c r="H4" s="30" t="str">
        <f t="array" ref="H4:J5">_xll.U.RESHAPE(B4:B9)</f>
        <v>a</v>
      </c>
      <c r="I4" s="30" t="str">
        <v>b</v>
      </c>
      <c r="J4" s="30" t="str">
        <v>c</v>
      </c>
      <c r="K4" s="21"/>
      <c r="L4" s="21"/>
      <c r="M4" s="21"/>
      <c r="N4" s="21"/>
      <c r="O4" s="20"/>
      <c r="Q4" s="487" t="s">
        <v>333</v>
      </c>
      <c r="R4" s="487"/>
      <c r="S4" s="487" t="s">
        <v>2212</v>
      </c>
      <c r="T4" s="487"/>
      <c r="U4" s="487"/>
      <c r="V4" s="487"/>
      <c r="W4" s="487"/>
      <c r="X4" s="487"/>
      <c r="Y4" s="487"/>
      <c r="Z4" s="487"/>
    </row>
    <row r="5" spans="1:26" ht="15" customHeight="1" x14ac:dyDescent="0.3">
      <c r="A5" s="18"/>
      <c r="B5" s="42" t="s">
        <v>78</v>
      </c>
      <c r="C5" s="21"/>
      <c r="D5" s="26"/>
      <c r="E5" s="21"/>
      <c r="F5" s="21"/>
      <c r="G5" s="21"/>
      <c r="H5" s="30">
        <v>1</v>
      </c>
      <c r="I5" s="30">
        <v>2</v>
      </c>
      <c r="J5" s="30">
        <v>3</v>
      </c>
      <c r="K5" s="21"/>
      <c r="L5" s="21"/>
      <c r="M5" s="21"/>
      <c r="N5" s="21"/>
      <c r="O5" s="20"/>
      <c r="Q5" s="487"/>
      <c r="R5" s="487"/>
      <c r="S5" s="487"/>
      <c r="T5" s="487"/>
      <c r="U5" s="487"/>
      <c r="V5" s="487"/>
      <c r="W5" s="487"/>
      <c r="X5" s="487"/>
      <c r="Y5" s="487"/>
      <c r="Z5" s="487"/>
    </row>
    <row r="6" spans="1:26" ht="15" customHeight="1" x14ac:dyDescent="0.3">
      <c r="A6" s="18"/>
      <c r="B6" s="42" t="s">
        <v>79</v>
      </c>
      <c r="C6" s="21"/>
      <c r="D6" s="26"/>
      <c r="E6" s="21"/>
      <c r="F6" s="21"/>
      <c r="G6" s="21"/>
      <c r="H6" s="21"/>
      <c r="I6" s="21"/>
      <c r="J6" s="21"/>
      <c r="K6" s="21"/>
      <c r="L6" s="21"/>
      <c r="M6" s="21"/>
      <c r="N6" s="21"/>
      <c r="O6" s="20"/>
      <c r="Q6" s="487"/>
      <c r="R6" s="487"/>
      <c r="S6" s="487"/>
      <c r="T6" s="487"/>
      <c r="U6" s="487"/>
      <c r="V6" s="487"/>
      <c r="W6" s="487"/>
      <c r="X6" s="487"/>
      <c r="Y6" s="487"/>
      <c r="Z6" s="487"/>
    </row>
    <row r="7" spans="1:26" x14ac:dyDescent="0.3">
      <c r="A7" s="18"/>
      <c r="B7" s="42">
        <v>1</v>
      </c>
      <c r="C7" s="21"/>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42">
        <v>2</v>
      </c>
      <c r="C8" s="21"/>
      <c r="D8" s="21"/>
      <c r="E8" s="21"/>
      <c r="F8" s="21"/>
      <c r="G8" s="21"/>
      <c r="H8" s="21"/>
      <c r="I8" s="21"/>
      <c r="J8" s="21"/>
      <c r="K8" s="21"/>
      <c r="L8" s="21"/>
      <c r="M8" s="21"/>
      <c r="N8" s="21"/>
      <c r="O8" s="20"/>
      <c r="Q8" s="487" t="s">
        <v>443</v>
      </c>
      <c r="R8" s="487"/>
      <c r="S8" s="487" t="s">
        <v>1461</v>
      </c>
      <c r="T8" s="487"/>
      <c r="U8" s="487"/>
      <c r="V8" s="487"/>
      <c r="W8" s="487"/>
      <c r="X8" s="487"/>
      <c r="Y8" s="487"/>
      <c r="Z8" s="509" t="s">
        <v>325</v>
      </c>
    </row>
    <row r="9" spans="1:26" x14ac:dyDescent="0.3">
      <c r="A9" s="18"/>
      <c r="B9" s="42">
        <v>3</v>
      </c>
      <c r="C9" s="21"/>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x14ac:dyDescent="0.3">
      <c r="A11" s="18"/>
      <c r="B11" s="21"/>
      <c r="C11" s="21"/>
      <c r="D11" s="21"/>
      <c r="E11" s="21"/>
      <c r="F11" s="21"/>
      <c r="G11" s="21"/>
      <c r="H11" s="21"/>
      <c r="I11" s="21"/>
      <c r="J11" s="21"/>
      <c r="K11" s="21"/>
      <c r="L11" s="21"/>
      <c r="M11" s="21"/>
      <c r="N11" s="21"/>
      <c r="O11" s="20"/>
      <c r="Q11" s="484" t="s">
        <v>1465</v>
      </c>
      <c r="R11" s="484"/>
      <c r="S11" s="484" t="s">
        <v>1468</v>
      </c>
      <c r="T11" s="484"/>
      <c r="U11" s="484"/>
      <c r="V11" s="484"/>
      <c r="W11" s="484"/>
      <c r="X11" s="484"/>
      <c r="Y11" s="484"/>
      <c r="Z11" s="485" t="s">
        <v>326</v>
      </c>
    </row>
    <row r="12" spans="1:26" x14ac:dyDescent="0.3">
      <c r="A12" s="18"/>
      <c r="B12" s="21"/>
      <c r="C12" s="21"/>
      <c r="D12" s="21"/>
      <c r="E12" s="21"/>
      <c r="F12" s="21"/>
      <c r="G12" s="21"/>
      <c r="H12" s="21"/>
      <c r="I12" s="21"/>
      <c r="J12" s="21"/>
      <c r="K12" s="21"/>
      <c r="L12" s="21"/>
      <c r="M12" s="21"/>
      <c r="N12" s="21"/>
      <c r="O12" s="20"/>
      <c r="Q12" s="484"/>
      <c r="R12" s="484"/>
      <c r="S12" s="484"/>
      <c r="T12" s="484"/>
      <c r="U12" s="484"/>
      <c r="V12" s="484"/>
      <c r="W12" s="484"/>
      <c r="X12" s="484"/>
      <c r="Y12" s="484"/>
      <c r="Z12" s="485"/>
    </row>
    <row r="13" spans="1:26" x14ac:dyDescent="0.3">
      <c r="A13" s="18"/>
      <c r="B13" s="21"/>
      <c r="C13" s="21"/>
      <c r="D13" s="21"/>
      <c r="E13" s="21"/>
      <c r="F13" s="21"/>
      <c r="G13" s="21"/>
      <c r="H13" s="21"/>
      <c r="I13" s="21"/>
      <c r="J13" s="21"/>
      <c r="K13" s="21"/>
      <c r="L13" s="21"/>
      <c r="M13" s="21"/>
      <c r="N13" s="21"/>
      <c r="O13" s="20"/>
      <c r="Q13" s="484"/>
      <c r="R13" s="484"/>
      <c r="S13" s="484"/>
      <c r="T13" s="484"/>
      <c r="U13" s="484"/>
      <c r="V13" s="484"/>
      <c r="W13" s="484"/>
      <c r="X13" s="484"/>
      <c r="Y13" s="484"/>
      <c r="Z13" s="485"/>
    </row>
    <row r="14" spans="1:26" ht="15" customHeight="1" x14ac:dyDescent="0.3">
      <c r="A14" s="18"/>
      <c r="B14" s="21"/>
      <c r="C14" s="21"/>
      <c r="D14" s="21"/>
      <c r="E14" s="21"/>
      <c r="F14" s="21"/>
      <c r="G14" s="21"/>
      <c r="H14" s="21"/>
      <c r="I14" s="21"/>
      <c r="J14" s="21"/>
      <c r="K14" s="21"/>
      <c r="L14" s="21"/>
      <c r="M14" s="21"/>
      <c r="N14" s="21"/>
      <c r="O14" s="20"/>
      <c r="Q14" s="484" t="s">
        <v>1466</v>
      </c>
      <c r="R14" s="484"/>
      <c r="S14" s="484" t="s">
        <v>1469</v>
      </c>
      <c r="T14" s="484"/>
      <c r="U14" s="484"/>
      <c r="V14" s="484"/>
      <c r="W14" s="484"/>
      <c r="X14" s="484"/>
      <c r="Y14" s="484"/>
      <c r="Z14" s="485" t="s">
        <v>326</v>
      </c>
    </row>
    <row r="15" spans="1:26" x14ac:dyDescent="0.3">
      <c r="A15" s="18"/>
      <c r="B15" s="21"/>
      <c r="C15" s="21"/>
      <c r="D15" s="21"/>
      <c r="E15" s="21"/>
      <c r="F15" s="21"/>
      <c r="G15" s="21"/>
      <c r="H15" s="21"/>
      <c r="I15" s="21"/>
      <c r="J15" s="21"/>
      <c r="K15" s="21"/>
      <c r="L15" s="21"/>
      <c r="M15" s="21"/>
      <c r="N15" s="21"/>
      <c r="O15" s="20"/>
      <c r="Q15" s="484"/>
      <c r="R15" s="484"/>
      <c r="S15" s="484"/>
      <c r="T15" s="484"/>
      <c r="U15" s="484"/>
      <c r="V15" s="484"/>
      <c r="W15" s="484"/>
      <c r="X15" s="484"/>
      <c r="Y15" s="484"/>
      <c r="Z15" s="485"/>
    </row>
    <row r="16" spans="1:26" x14ac:dyDescent="0.3">
      <c r="A16" s="18"/>
      <c r="B16" s="21"/>
      <c r="C16" s="21"/>
      <c r="D16" s="21"/>
      <c r="E16" s="21"/>
      <c r="F16" s="21"/>
      <c r="G16" s="21"/>
      <c r="H16" s="483" t="s">
        <v>3432</v>
      </c>
      <c r="I16" s="483"/>
      <c r="J16" s="483"/>
      <c r="K16" s="483"/>
      <c r="L16" s="21"/>
      <c r="M16" s="21"/>
      <c r="N16" s="21"/>
      <c r="O16" s="20"/>
      <c r="Q16" s="484"/>
      <c r="R16" s="484"/>
      <c r="S16" s="484"/>
      <c r="T16" s="484"/>
      <c r="U16" s="484"/>
      <c r="V16" s="484"/>
      <c r="W16" s="484"/>
      <c r="X16" s="484"/>
      <c r="Y16" s="484"/>
      <c r="Z16" s="485"/>
    </row>
    <row r="17" spans="1:26" x14ac:dyDescent="0.3">
      <c r="A17" s="18"/>
      <c r="B17" s="21"/>
      <c r="C17" s="21"/>
      <c r="D17" s="21"/>
      <c r="E17" s="21"/>
      <c r="F17" s="21"/>
      <c r="G17" s="21"/>
      <c r="H17" s="30" t="str">
        <f t="array" ref="H17:K18">_xll.U.RESHAPE(B4:B9)</f>
        <v>a</v>
      </c>
      <c r="I17" s="30" t="str">
        <v>b</v>
      </c>
      <c r="J17" s="30" t="str">
        <v>c</v>
      </c>
      <c r="K17" s="30">
        <v>1</v>
      </c>
      <c r="L17" s="21"/>
      <c r="M17" s="21"/>
      <c r="N17" s="21"/>
      <c r="O17" s="20"/>
      <c r="Q17" s="484" t="s">
        <v>1467</v>
      </c>
      <c r="R17" s="484"/>
      <c r="S17" s="484" t="s">
        <v>1490</v>
      </c>
      <c r="T17" s="484"/>
      <c r="U17" s="484"/>
      <c r="V17" s="484"/>
      <c r="W17" s="484"/>
      <c r="X17" s="484"/>
      <c r="Y17" s="484"/>
      <c r="Z17" s="485" t="s">
        <v>326</v>
      </c>
    </row>
    <row r="18" spans="1:26" x14ac:dyDescent="0.3">
      <c r="A18" s="18"/>
      <c r="B18" s="21"/>
      <c r="C18" s="21"/>
      <c r="D18" s="21"/>
      <c r="E18" s="21"/>
      <c r="F18" s="21"/>
      <c r="G18" s="21"/>
      <c r="H18" s="30">
        <v>2</v>
      </c>
      <c r="I18" s="30">
        <v>3</v>
      </c>
      <c r="J18" s="30" t="str">
        <v/>
      </c>
      <c r="K18" s="30" t="str">
        <v/>
      </c>
      <c r="L18" s="21"/>
      <c r="M18" s="21"/>
      <c r="N18" s="21"/>
      <c r="O18" s="20"/>
      <c r="Q18" s="484"/>
      <c r="R18" s="484"/>
      <c r="S18" s="484"/>
      <c r="T18" s="484"/>
      <c r="U18" s="484"/>
      <c r="V18" s="484"/>
      <c r="W18" s="484"/>
      <c r="X18" s="484"/>
      <c r="Y18" s="484"/>
      <c r="Z18" s="485"/>
    </row>
    <row r="19" spans="1:26" x14ac:dyDescent="0.3">
      <c r="A19" s="18"/>
      <c r="B19" s="21"/>
      <c r="C19" s="21"/>
      <c r="D19" s="21"/>
      <c r="E19" s="21"/>
      <c r="F19" s="21"/>
      <c r="G19" s="21"/>
      <c r="H19" s="21"/>
      <c r="I19" s="21"/>
      <c r="J19" s="21"/>
      <c r="K19" s="21"/>
      <c r="L19" s="21"/>
      <c r="M19" s="21"/>
      <c r="N19" s="21"/>
      <c r="O19" s="20"/>
      <c r="Q19" s="484"/>
      <c r="R19" s="484"/>
      <c r="S19" s="484"/>
      <c r="T19" s="484"/>
      <c r="U19" s="484"/>
      <c r="V19" s="484"/>
      <c r="W19" s="484"/>
      <c r="X19" s="484"/>
      <c r="Y19" s="484"/>
      <c r="Z19" s="485"/>
    </row>
    <row r="20" spans="1:26" ht="15" customHeight="1" x14ac:dyDescent="0.3">
      <c r="A20" s="18"/>
      <c r="B20" s="21"/>
      <c r="C20" s="21"/>
      <c r="D20" s="21"/>
      <c r="E20" s="21"/>
      <c r="F20" s="21"/>
      <c r="G20" s="21"/>
      <c r="H20" s="483" t="s">
        <v>3432</v>
      </c>
      <c r="I20" s="483"/>
      <c r="J20" s="483"/>
      <c r="K20" s="483"/>
      <c r="L20" s="21"/>
      <c r="M20" s="21"/>
      <c r="N20" s="21"/>
      <c r="O20" s="20"/>
      <c r="Q20" s="484" t="s">
        <v>1462</v>
      </c>
      <c r="R20" s="484"/>
      <c r="S20" s="484" t="s">
        <v>1470</v>
      </c>
      <c r="T20" s="484"/>
      <c r="U20" s="484"/>
      <c r="V20" s="484"/>
      <c r="W20" s="484"/>
      <c r="X20" s="484"/>
      <c r="Y20" s="484"/>
      <c r="Z20" s="485" t="s">
        <v>326</v>
      </c>
    </row>
    <row r="21" spans="1:26" x14ac:dyDescent="0.3">
      <c r="A21" s="18"/>
      <c r="B21" s="21"/>
      <c r="C21" s="21"/>
      <c r="D21" s="21"/>
      <c r="E21" s="21"/>
      <c r="F21" s="21"/>
      <c r="G21" s="21"/>
      <c r="H21" s="30" t="str">
        <f t="array" ref="H21:K22">_xll.U.RESHAPE(B4:B9,ROWS(B4:B6))</f>
        <v>a</v>
      </c>
      <c r="I21" s="30" t="str">
        <v>b</v>
      </c>
      <c r="J21" s="30" t="str">
        <v>c</v>
      </c>
      <c r="K21" s="30" t="e">
        <v>#N/A</v>
      </c>
      <c r="L21" s="21"/>
      <c r="M21" s="21"/>
      <c r="N21" s="21"/>
      <c r="O21" s="20"/>
      <c r="Q21" s="484"/>
      <c r="R21" s="484"/>
      <c r="S21" s="484"/>
      <c r="T21" s="484"/>
      <c r="U21" s="484"/>
      <c r="V21" s="484"/>
      <c r="W21" s="484"/>
      <c r="X21" s="484"/>
      <c r="Y21" s="484"/>
      <c r="Z21" s="485"/>
    </row>
    <row r="22" spans="1:26" x14ac:dyDescent="0.3">
      <c r="A22" s="18"/>
      <c r="B22" s="21"/>
      <c r="C22" s="21"/>
      <c r="D22" s="21"/>
      <c r="E22" s="21"/>
      <c r="F22" s="21"/>
      <c r="G22" s="21"/>
      <c r="H22" s="30">
        <v>1</v>
      </c>
      <c r="I22" s="30">
        <v>2</v>
      </c>
      <c r="J22" s="30">
        <v>3</v>
      </c>
      <c r="K22" s="30" t="e">
        <v>#N/A</v>
      </c>
      <c r="L22" s="21"/>
      <c r="M22" s="21"/>
      <c r="N22" s="21"/>
      <c r="O22" s="20"/>
      <c r="Q22" s="484"/>
      <c r="R22" s="484"/>
      <c r="S22" s="484"/>
      <c r="T22" s="484"/>
      <c r="U22" s="484"/>
      <c r="V22" s="484"/>
      <c r="W22" s="484"/>
      <c r="X22" s="484"/>
      <c r="Y22" s="484"/>
      <c r="Z22" s="485"/>
    </row>
    <row r="23" spans="1:26" ht="15" customHeight="1" x14ac:dyDescent="0.3">
      <c r="A23" s="18"/>
      <c r="B23" s="21"/>
      <c r="C23" s="21"/>
      <c r="D23" s="21"/>
      <c r="E23" s="21"/>
      <c r="F23" s="21"/>
      <c r="G23" s="21"/>
      <c r="H23" s="21"/>
      <c r="I23" s="21"/>
      <c r="J23" s="21"/>
      <c r="K23" s="21"/>
      <c r="L23" s="21"/>
      <c r="M23" s="21"/>
      <c r="N23" s="21"/>
      <c r="O23" s="20"/>
      <c r="Q23" s="484" t="s">
        <v>1463</v>
      </c>
      <c r="R23" s="484"/>
      <c r="S23" s="484" t="s">
        <v>1471</v>
      </c>
      <c r="T23" s="484"/>
      <c r="U23" s="484"/>
      <c r="V23" s="484"/>
      <c r="W23" s="484"/>
      <c r="X23" s="484"/>
      <c r="Y23" s="484"/>
      <c r="Z23" s="485" t="s">
        <v>326</v>
      </c>
    </row>
    <row r="24" spans="1:26" x14ac:dyDescent="0.3">
      <c r="A24" s="18"/>
      <c r="B24" s="21"/>
      <c r="C24" s="21"/>
      <c r="D24" s="21"/>
      <c r="E24" s="21"/>
      <c r="F24" s="21"/>
      <c r="G24" s="21"/>
      <c r="H24" s="21"/>
      <c r="I24" s="21"/>
      <c r="J24" s="21"/>
      <c r="K24" s="21"/>
      <c r="L24" s="21"/>
      <c r="M24" s="21"/>
      <c r="N24" s="21"/>
      <c r="O24" s="20"/>
      <c r="Q24" s="484"/>
      <c r="R24" s="484"/>
      <c r="S24" s="484"/>
      <c r="T24" s="484"/>
      <c r="U24" s="484"/>
      <c r="V24" s="484"/>
      <c r="W24" s="484"/>
      <c r="X24" s="484"/>
      <c r="Y24" s="484"/>
      <c r="Z24" s="485"/>
    </row>
    <row r="25" spans="1:26" x14ac:dyDescent="0.3">
      <c r="A25" s="18"/>
      <c r="B25" s="21"/>
      <c r="C25" s="21"/>
      <c r="D25" s="21"/>
      <c r="E25" s="21"/>
      <c r="F25" s="21"/>
      <c r="G25" s="21"/>
      <c r="H25" s="513" t="s">
        <v>3432</v>
      </c>
      <c r="I25" s="515"/>
      <c r="J25" s="21"/>
      <c r="K25" s="21"/>
      <c r="L25" s="21"/>
      <c r="M25" s="21"/>
      <c r="N25" s="21"/>
      <c r="O25" s="20"/>
      <c r="Q25" s="484"/>
      <c r="R25" s="484"/>
      <c r="S25" s="484"/>
      <c r="T25" s="484"/>
      <c r="U25" s="484"/>
      <c r="V25" s="484"/>
      <c r="W25" s="484"/>
      <c r="X25" s="484"/>
      <c r="Y25" s="484"/>
      <c r="Z25" s="485"/>
    </row>
    <row r="26" spans="1:26" ht="15" customHeight="1" x14ac:dyDescent="0.3">
      <c r="A26" s="18"/>
      <c r="B26" s="21"/>
      <c r="C26" s="21"/>
      <c r="D26" s="21"/>
      <c r="E26" s="21"/>
      <c r="F26" s="21"/>
      <c r="G26" s="21"/>
      <c r="H26" s="30" t="str">
        <f t="array" ref="H26:I28">_xll.U.RESHAPE(B4:B9,,,TRUE)</f>
        <v>a</v>
      </c>
      <c r="I26" s="30">
        <v>1</v>
      </c>
      <c r="J26" s="21"/>
      <c r="K26" s="21"/>
      <c r="L26" s="21"/>
      <c r="M26" s="21"/>
      <c r="N26" s="21"/>
      <c r="O26" s="20"/>
      <c r="Q26" s="484" t="s">
        <v>1464</v>
      </c>
      <c r="R26" s="484"/>
      <c r="S26" s="484" t="s">
        <v>1489</v>
      </c>
      <c r="T26" s="484"/>
      <c r="U26" s="484"/>
      <c r="V26" s="484"/>
      <c r="W26" s="484"/>
      <c r="X26" s="484"/>
      <c r="Y26" s="484"/>
      <c r="Z26" s="485" t="s">
        <v>326</v>
      </c>
    </row>
    <row r="27" spans="1:26" x14ac:dyDescent="0.3">
      <c r="A27" s="18"/>
      <c r="B27" s="21"/>
      <c r="C27" s="21"/>
      <c r="D27" s="21"/>
      <c r="E27" s="21"/>
      <c r="F27" s="21"/>
      <c r="G27" s="21"/>
      <c r="H27" s="30" t="str">
        <v>b</v>
      </c>
      <c r="I27" s="30">
        <v>2</v>
      </c>
      <c r="J27" s="21"/>
      <c r="K27" s="21"/>
      <c r="L27" s="21"/>
      <c r="M27" s="21"/>
      <c r="N27" s="21"/>
      <c r="O27" s="20"/>
      <c r="Q27" s="484"/>
      <c r="R27" s="484"/>
      <c r="S27" s="484"/>
      <c r="T27" s="484"/>
      <c r="U27" s="484"/>
      <c r="V27" s="484"/>
      <c r="W27" s="484"/>
      <c r="X27" s="484"/>
      <c r="Y27" s="484"/>
      <c r="Z27" s="485"/>
    </row>
    <row r="28" spans="1:26" x14ac:dyDescent="0.3">
      <c r="A28" s="18"/>
      <c r="B28" s="21"/>
      <c r="C28" s="21"/>
      <c r="D28" s="21"/>
      <c r="E28" s="21"/>
      <c r="F28" s="21"/>
      <c r="G28" s="21"/>
      <c r="H28" s="30" t="str">
        <v>c</v>
      </c>
      <c r="I28" s="30">
        <v>3</v>
      </c>
      <c r="J28" s="21"/>
      <c r="K28" s="21"/>
      <c r="L28" s="21"/>
      <c r="M28" s="21"/>
      <c r="N28" s="21"/>
      <c r="O28" s="20"/>
      <c r="Q28" s="484"/>
      <c r="R28" s="484"/>
      <c r="S28" s="484"/>
      <c r="T28" s="484"/>
      <c r="U28" s="484"/>
      <c r="V28" s="484"/>
      <c r="W28" s="484"/>
      <c r="X28" s="484"/>
      <c r="Y28" s="484"/>
      <c r="Z28" s="485"/>
    </row>
    <row r="29" spans="1:26" ht="15" customHeight="1" x14ac:dyDescent="0.3">
      <c r="A29" s="18"/>
      <c r="B29" s="21"/>
      <c r="C29" s="21"/>
      <c r="D29" s="21"/>
      <c r="E29" s="21"/>
      <c r="F29" s="21"/>
      <c r="G29" s="21"/>
      <c r="H29" s="21"/>
      <c r="I29" s="21"/>
      <c r="J29" s="21"/>
      <c r="K29" s="21"/>
      <c r="L29" s="21"/>
      <c r="M29" s="21"/>
      <c r="N29" s="21"/>
      <c r="O29" s="20"/>
      <c r="Q29" s="126" t="s">
        <v>328</v>
      </c>
    </row>
    <row r="30" spans="1:26" ht="15" customHeight="1" x14ac:dyDescent="0.3">
      <c r="A30" s="18"/>
      <c r="B30" s="21"/>
      <c r="C30" s="21"/>
      <c r="D30" s="21"/>
      <c r="E30" s="21"/>
      <c r="F30" s="21"/>
      <c r="G30" s="21"/>
      <c r="H30" s="21"/>
      <c r="I30" s="21"/>
      <c r="J30" s="21"/>
      <c r="K30" s="21"/>
      <c r="L30" s="21"/>
      <c r="M30" s="21"/>
      <c r="N30" s="21"/>
      <c r="O30" s="20"/>
      <c r="Q30" s="126"/>
    </row>
    <row r="31" spans="1:26" x14ac:dyDescent="0.3">
      <c r="A31" s="18"/>
      <c r="B31" s="21"/>
      <c r="C31" s="21"/>
      <c r="D31" s="21"/>
      <c r="E31" s="21"/>
      <c r="F31" s="21"/>
      <c r="G31" s="21"/>
      <c r="H31" s="513" t="s">
        <v>3432</v>
      </c>
      <c r="I31" s="515"/>
      <c r="J31" s="21"/>
      <c r="K31" s="21"/>
      <c r="L31" s="21"/>
      <c r="M31" s="21"/>
      <c r="N31" s="21"/>
      <c r="O31" s="20"/>
    </row>
    <row r="32" spans="1:26" x14ac:dyDescent="0.3">
      <c r="A32" s="18"/>
      <c r="B32" s="21"/>
      <c r="C32" s="21"/>
      <c r="D32" s="21"/>
      <c r="E32" s="21"/>
      <c r="F32" s="21"/>
      <c r="G32" s="21"/>
      <c r="H32" s="42" t="s">
        <v>78</v>
      </c>
      <c r="I32" s="30">
        <f t="array" ref="I32:I34">_xll.U.VLOOKUP(H32:H34,_xll.U.RESHAPE(B4:B9))</f>
        <v>2</v>
      </c>
      <c r="J32" s="21"/>
      <c r="K32" s="21"/>
      <c r="L32" s="21"/>
      <c r="M32" s="21"/>
      <c r="N32" s="21"/>
      <c r="O32" s="20"/>
    </row>
    <row r="33" spans="1:15" x14ac:dyDescent="0.3">
      <c r="A33" s="18"/>
      <c r="B33" s="21"/>
      <c r="C33" s="21"/>
      <c r="D33" s="21"/>
      <c r="E33" s="21"/>
      <c r="F33" s="21"/>
      <c r="G33" s="21"/>
      <c r="H33" s="42" t="s">
        <v>79</v>
      </c>
      <c r="I33" s="30">
        <v>3</v>
      </c>
      <c r="J33" s="21"/>
      <c r="K33" s="21"/>
      <c r="L33" s="21"/>
      <c r="M33" s="21"/>
      <c r="N33" s="21"/>
      <c r="O33" s="20"/>
    </row>
    <row r="34" spans="1:15" x14ac:dyDescent="0.3">
      <c r="A34" s="18"/>
      <c r="B34" s="21"/>
      <c r="C34" s="21"/>
      <c r="D34" s="21"/>
      <c r="E34" s="21"/>
      <c r="F34" s="21"/>
      <c r="G34" s="21"/>
      <c r="H34" s="42" t="s">
        <v>77</v>
      </c>
      <c r="I34" s="30">
        <v>1</v>
      </c>
      <c r="J34" s="21"/>
      <c r="K34" s="21"/>
      <c r="L34" s="21"/>
      <c r="M34" s="21"/>
      <c r="N34" s="21"/>
      <c r="O34" s="20"/>
    </row>
    <row r="35" spans="1:15" x14ac:dyDescent="0.3">
      <c r="A35" s="18"/>
      <c r="B35" s="21"/>
      <c r="C35" s="21"/>
      <c r="D35" s="21"/>
      <c r="E35" s="21"/>
      <c r="F35" s="21"/>
      <c r="G35" s="21"/>
      <c r="H35" s="21"/>
      <c r="I35" s="21"/>
      <c r="J35" s="21"/>
      <c r="K35" s="21"/>
      <c r="L35" s="21"/>
      <c r="M35" s="21"/>
      <c r="N35" s="21"/>
      <c r="O35" s="20"/>
    </row>
    <row r="36" spans="1:15" x14ac:dyDescent="0.3">
      <c r="A36" s="18"/>
      <c r="B36" s="21"/>
      <c r="C36" s="21"/>
      <c r="D36" s="21"/>
      <c r="E36" s="21"/>
      <c r="F36" s="21"/>
      <c r="G36" s="21"/>
      <c r="H36" s="21"/>
      <c r="I36" s="21"/>
      <c r="J36" s="21"/>
      <c r="K36" s="21"/>
      <c r="L36" s="21"/>
      <c r="M36" s="21"/>
      <c r="N36" s="21"/>
      <c r="O36" s="20"/>
    </row>
    <row r="37" spans="1:15" x14ac:dyDescent="0.3">
      <c r="A37" s="18"/>
      <c r="B37" s="21"/>
      <c r="C37" s="21"/>
      <c r="D37" s="21"/>
      <c r="E37" s="21"/>
      <c r="F37" s="21"/>
      <c r="G37" s="21"/>
      <c r="H37" s="21"/>
      <c r="I37" s="21"/>
      <c r="J37" s="21"/>
      <c r="K37" s="21"/>
      <c r="L37" s="21"/>
      <c r="M37" s="21"/>
      <c r="N37" s="21"/>
      <c r="O37" s="20"/>
    </row>
    <row r="38" spans="1:15" x14ac:dyDescent="0.3">
      <c r="A38" s="18"/>
      <c r="B38" s="475" t="s">
        <v>1650</v>
      </c>
      <c r="C38" s="475"/>
      <c r="D38" s="475"/>
      <c r="E38" s="475"/>
      <c r="F38" s="21"/>
      <c r="G38" s="21"/>
      <c r="H38" s="513" t="s">
        <v>3432</v>
      </c>
      <c r="I38" s="515"/>
      <c r="J38" s="21"/>
      <c r="K38" s="21"/>
      <c r="L38" s="21"/>
      <c r="M38" s="21"/>
      <c r="N38" s="21"/>
      <c r="O38" s="20"/>
    </row>
    <row r="39" spans="1:15" x14ac:dyDescent="0.3">
      <c r="A39" s="18"/>
      <c r="B39" s="270" t="s">
        <v>77</v>
      </c>
      <c r="C39" s="270" t="s">
        <v>78</v>
      </c>
      <c r="D39" s="42" t="s">
        <v>1475</v>
      </c>
      <c r="E39" s="42" t="s">
        <v>1476</v>
      </c>
      <c r="F39" s="21"/>
      <c r="G39" s="21"/>
      <c r="H39" s="30" t="str">
        <f t="array" ref="H39:I50">_xll.U.RESHAPE(B39:E44,2,2,TRUE,2)</f>
        <v>a</v>
      </c>
      <c r="I39" s="30">
        <v>1</v>
      </c>
      <c r="J39" s="21"/>
      <c r="K39" s="21"/>
      <c r="L39" s="21"/>
      <c r="M39" s="21"/>
      <c r="N39" s="21"/>
      <c r="O39" s="20"/>
    </row>
    <row r="40" spans="1:15" x14ac:dyDescent="0.3">
      <c r="A40" s="18"/>
      <c r="B40" s="270">
        <v>1</v>
      </c>
      <c r="C40" s="270">
        <v>2</v>
      </c>
      <c r="D40" s="42">
        <v>7</v>
      </c>
      <c r="E40" s="42">
        <v>8</v>
      </c>
      <c r="F40" s="21"/>
      <c r="G40" s="21"/>
      <c r="H40" s="30" t="str">
        <v>b</v>
      </c>
      <c r="I40" s="30">
        <v>2</v>
      </c>
      <c r="J40" s="21"/>
      <c r="K40" s="21"/>
      <c r="L40" s="21"/>
      <c r="M40" s="21"/>
      <c r="N40" s="21"/>
      <c r="O40" s="20"/>
    </row>
    <row r="41" spans="1:15" x14ac:dyDescent="0.3">
      <c r="A41" s="18"/>
      <c r="B41" s="270" t="s">
        <v>79</v>
      </c>
      <c r="C41" s="270" t="s">
        <v>1473</v>
      </c>
      <c r="D41" s="42" t="s">
        <v>1477</v>
      </c>
      <c r="E41" s="42" t="s">
        <v>1478</v>
      </c>
      <c r="F41" s="21"/>
      <c r="G41" s="21"/>
      <c r="H41" s="30" t="str">
        <v>c</v>
      </c>
      <c r="I41" s="30">
        <v>3</v>
      </c>
      <c r="J41" s="21"/>
      <c r="K41" s="21"/>
      <c r="L41" s="21"/>
      <c r="M41" s="21"/>
      <c r="N41" s="21"/>
      <c r="O41" s="20"/>
    </row>
    <row r="42" spans="1:15" x14ac:dyDescent="0.3">
      <c r="A42" s="18"/>
      <c r="B42" s="270">
        <v>3</v>
      </c>
      <c r="C42" s="270">
        <v>4</v>
      </c>
      <c r="D42" s="42">
        <v>9</v>
      </c>
      <c r="E42" s="42">
        <v>10</v>
      </c>
      <c r="F42" s="21"/>
      <c r="G42" s="21"/>
      <c r="H42" s="30" t="str">
        <v>d</v>
      </c>
      <c r="I42" s="30">
        <v>4</v>
      </c>
      <c r="J42" s="21"/>
      <c r="K42" s="21"/>
      <c r="L42" s="21"/>
      <c r="M42" s="21"/>
      <c r="N42" s="21"/>
      <c r="O42" s="20"/>
    </row>
    <row r="43" spans="1:15" x14ac:dyDescent="0.3">
      <c r="A43" s="18"/>
      <c r="B43" s="270" t="s">
        <v>92</v>
      </c>
      <c r="C43" s="270" t="s">
        <v>1474</v>
      </c>
      <c r="D43" s="42"/>
      <c r="E43" s="42"/>
      <c r="F43" s="21"/>
      <c r="G43" s="21"/>
      <c r="H43" s="30" t="str">
        <v>e</v>
      </c>
      <c r="I43" s="30">
        <v>5</v>
      </c>
      <c r="J43" s="21"/>
      <c r="K43" s="21"/>
      <c r="L43" s="21"/>
      <c r="M43" s="21"/>
      <c r="N43" s="21"/>
      <c r="O43" s="20"/>
    </row>
    <row r="44" spans="1:15" x14ac:dyDescent="0.3">
      <c r="A44" s="18"/>
      <c r="B44" s="270">
        <v>5</v>
      </c>
      <c r="C44" s="270">
        <v>6</v>
      </c>
      <c r="D44" s="42"/>
      <c r="E44" s="42"/>
      <c r="F44" s="21"/>
      <c r="G44" s="21"/>
      <c r="H44" s="30" t="str">
        <v>f</v>
      </c>
      <c r="I44" s="30">
        <v>6</v>
      </c>
      <c r="J44" s="21"/>
      <c r="K44" s="21"/>
      <c r="L44" s="21"/>
      <c r="M44" s="21"/>
      <c r="N44" s="21"/>
      <c r="O44" s="20"/>
    </row>
    <row r="45" spans="1:15" x14ac:dyDescent="0.3">
      <c r="A45" s="18"/>
      <c r="B45" s="21"/>
      <c r="C45" s="21"/>
      <c r="D45" s="21"/>
      <c r="E45" s="21"/>
      <c r="F45" s="21"/>
      <c r="G45" s="21"/>
      <c r="H45" s="30" t="str">
        <v>g</v>
      </c>
      <c r="I45" s="30">
        <v>7</v>
      </c>
      <c r="J45" s="21"/>
      <c r="K45" s="21"/>
      <c r="L45" s="21"/>
      <c r="M45" s="21"/>
      <c r="N45" s="21"/>
      <c r="O45" s="20"/>
    </row>
    <row r="46" spans="1:15" x14ac:dyDescent="0.3">
      <c r="A46" s="18"/>
      <c r="B46" s="21"/>
      <c r="C46" s="21"/>
      <c r="D46" s="21"/>
      <c r="E46" s="21"/>
      <c r="F46" s="21"/>
      <c r="G46" s="21"/>
      <c r="H46" s="30" t="str">
        <v>h</v>
      </c>
      <c r="I46" s="30">
        <v>8</v>
      </c>
      <c r="J46" s="21"/>
      <c r="K46" s="21"/>
      <c r="L46" s="21"/>
      <c r="M46" s="21"/>
      <c r="N46" s="21"/>
      <c r="O46" s="20"/>
    </row>
    <row r="47" spans="1:15" x14ac:dyDescent="0.3">
      <c r="A47" s="18"/>
      <c r="B47" s="21"/>
      <c r="C47" s="21"/>
      <c r="D47" s="21"/>
      <c r="E47" s="21"/>
      <c r="F47" s="21"/>
      <c r="G47" s="21"/>
      <c r="H47" s="30" t="str">
        <v>i</v>
      </c>
      <c r="I47" s="30">
        <v>9</v>
      </c>
      <c r="J47" s="21"/>
      <c r="K47" s="21"/>
      <c r="L47" s="21"/>
      <c r="M47" s="21"/>
      <c r="N47" s="21"/>
      <c r="O47" s="20"/>
    </row>
    <row r="48" spans="1:15" x14ac:dyDescent="0.3">
      <c r="A48" s="18"/>
      <c r="B48" s="21"/>
      <c r="C48" s="21"/>
      <c r="D48" s="21"/>
      <c r="E48" s="21"/>
      <c r="F48" s="21"/>
      <c r="G48" s="21"/>
      <c r="H48" s="30" t="str">
        <v>j</v>
      </c>
      <c r="I48" s="30">
        <v>10</v>
      </c>
      <c r="J48" s="21"/>
      <c r="K48" s="21"/>
      <c r="L48" s="21"/>
      <c r="M48" s="21"/>
      <c r="N48" s="21"/>
      <c r="O48" s="20"/>
    </row>
    <row r="49" spans="1:15" x14ac:dyDescent="0.3">
      <c r="A49" s="18"/>
      <c r="B49" s="21"/>
      <c r="C49" s="21"/>
      <c r="D49" s="21"/>
      <c r="E49" s="21"/>
      <c r="F49" s="21"/>
      <c r="G49" s="21"/>
      <c r="H49" s="30" t="str">
        <v/>
      </c>
      <c r="I49" s="30" t="str">
        <v/>
      </c>
      <c r="J49" s="21"/>
      <c r="K49" s="21"/>
      <c r="L49" s="21"/>
      <c r="M49" s="21"/>
      <c r="N49" s="21"/>
      <c r="O49" s="20"/>
    </row>
    <row r="50" spans="1:15" x14ac:dyDescent="0.3">
      <c r="A50" s="18"/>
      <c r="B50" s="21"/>
      <c r="C50" s="21"/>
      <c r="D50" s="21"/>
      <c r="E50" s="21"/>
      <c r="F50" s="21"/>
      <c r="G50" s="21"/>
      <c r="H50" s="30" t="str">
        <v/>
      </c>
      <c r="I50" s="30" t="str">
        <v/>
      </c>
      <c r="J50" s="21"/>
      <c r="K50" s="21"/>
      <c r="L50" s="21"/>
      <c r="M50" s="21"/>
      <c r="N50" s="21"/>
      <c r="O50" s="20"/>
    </row>
    <row r="51" spans="1:15" x14ac:dyDescent="0.3">
      <c r="A51" s="18"/>
      <c r="B51" s="21"/>
      <c r="C51" s="21"/>
      <c r="D51" s="21"/>
      <c r="E51" s="21"/>
      <c r="F51" s="21"/>
      <c r="G51" s="21"/>
      <c r="H51" s="21"/>
      <c r="I51" s="21"/>
      <c r="J51" s="21"/>
      <c r="K51" s="21"/>
      <c r="L51" s="21"/>
      <c r="M51" s="21"/>
      <c r="N51" s="21"/>
      <c r="O51" s="20"/>
    </row>
    <row r="52" spans="1:15" x14ac:dyDescent="0.3">
      <c r="A52" s="18"/>
      <c r="B52" s="21"/>
      <c r="C52" s="21"/>
      <c r="D52" s="21"/>
      <c r="E52" s="21"/>
      <c r="F52" s="21"/>
      <c r="G52" s="21"/>
      <c r="H52" s="21"/>
      <c r="I52" s="21"/>
      <c r="J52" s="21"/>
      <c r="K52" s="21"/>
      <c r="L52" s="21"/>
      <c r="M52" s="21"/>
      <c r="N52" s="21"/>
      <c r="O52" s="20"/>
    </row>
    <row r="53" spans="1:15" x14ac:dyDescent="0.3">
      <c r="A53" s="18"/>
      <c r="B53" s="21"/>
      <c r="C53" s="21"/>
      <c r="D53" s="21"/>
      <c r="E53" s="21"/>
      <c r="F53" s="21"/>
      <c r="G53" s="21"/>
      <c r="H53" s="21"/>
      <c r="I53" s="21"/>
      <c r="J53" s="21"/>
      <c r="K53" s="21"/>
      <c r="L53" s="21"/>
      <c r="M53" s="21"/>
      <c r="N53" s="21"/>
      <c r="O53" s="20"/>
    </row>
    <row r="54" spans="1:15" x14ac:dyDescent="0.3">
      <c r="A54" s="18"/>
      <c r="B54" s="21"/>
      <c r="C54" s="21"/>
      <c r="D54" s="21"/>
      <c r="E54" s="21"/>
      <c r="F54" s="21"/>
      <c r="G54" s="21"/>
      <c r="H54" s="21"/>
      <c r="I54" s="21"/>
      <c r="J54" s="21"/>
      <c r="K54" s="21"/>
      <c r="L54" s="21"/>
      <c r="M54" s="21"/>
      <c r="N54" s="21"/>
      <c r="O54" s="20"/>
    </row>
    <row r="55" spans="1:15" x14ac:dyDescent="0.3">
      <c r="A55" s="18"/>
      <c r="B55" s="475" t="s">
        <v>1650</v>
      </c>
      <c r="C55" s="475"/>
      <c r="D55" s="475"/>
      <c r="E55" s="475"/>
      <c r="F55" s="21"/>
      <c r="G55" s="21"/>
      <c r="H55" s="513" t="s">
        <v>3432</v>
      </c>
      <c r="I55" s="515"/>
      <c r="J55" s="21"/>
      <c r="K55" s="21"/>
      <c r="L55" s="21"/>
      <c r="M55" s="21"/>
      <c r="N55" s="21"/>
      <c r="O55" s="20"/>
    </row>
    <row r="56" spans="1:15" x14ac:dyDescent="0.3">
      <c r="A56" s="18"/>
      <c r="B56" s="270" t="s">
        <v>872</v>
      </c>
      <c r="C56" s="270" t="s">
        <v>1479</v>
      </c>
      <c r="D56" s="42" t="s">
        <v>1480</v>
      </c>
      <c r="E56" s="42" t="s">
        <v>1481</v>
      </c>
      <c r="F56" s="21"/>
      <c r="G56" s="21"/>
      <c r="H56" s="30" t="str">
        <f t="array" ref="H56:I67">_xll.U.RESHAPE(B56:E61,2,2,TRUE,2,2)</f>
        <v>Billy</v>
      </c>
      <c r="I56" s="30">
        <v>1</v>
      </c>
      <c r="J56" s="21"/>
      <c r="K56" s="21"/>
      <c r="L56" s="21"/>
      <c r="M56" s="21"/>
      <c r="N56" s="21"/>
      <c r="O56" s="20"/>
    </row>
    <row r="57" spans="1:15" x14ac:dyDescent="0.3">
      <c r="A57" s="18"/>
      <c r="B57" s="270">
        <v>1</v>
      </c>
      <c r="C57" s="270">
        <v>1</v>
      </c>
      <c r="D57" s="42">
        <v>2</v>
      </c>
      <c r="E57" s="42">
        <v>2</v>
      </c>
      <c r="F57" s="21"/>
      <c r="G57" s="21"/>
      <c r="H57" s="30" t="str">
        <v>Sarah</v>
      </c>
      <c r="I57" s="30">
        <v>1</v>
      </c>
      <c r="J57" s="21"/>
      <c r="K57" s="21"/>
      <c r="L57" s="21"/>
      <c r="M57" s="21"/>
      <c r="N57" s="21"/>
      <c r="O57" s="20"/>
    </row>
    <row r="58" spans="1:15" x14ac:dyDescent="0.3">
      <c r="A58" s="18"/>
      <c r="B58" s="42" t="s">
        <v>1482</v>
      </c>
      <c r="C58" s="42" t="s">
        <v>1483</v>
      </c>
      <c r="D58" s="270" t="s">
        <v>1484</v>
      </c>
      <c r="E58" s="270" t="s">
        <v>163</v>
      </c>
      <c r="F58" s="21"/>
      <c r="G58" s="21"/>
      <c r="H58" s="30" t="str">
        <v>Tommy</v>
      </c>
      <c r="I58" s="30">
        <v>2</v>
      </c>
      <c r="J58" s="21"/>
      <c r="K58" s="21"/>
      <c r="L58" s="21"/>
      <c r="M58" s="21"/>
      <c r="N58" s="21"/>
      <c r="O58" s="20"/>
    </row>
    <row r="59" spans="1:15" x14ac:dyDescent="0.3">
      <c r="A59" s="18"/>
      <c r="B59" s="42">
        <v>3</v>
      </c>
      <c r="C59" s="42">
        <v>3</v>
      </c>
      <c r="D59" s="270">
        <v>4</v>
      </c>
      <c r="E59" s="270">
        <v>4</v>
      </c>
      <c r="F59" s="21"/>
      <c r="G59" s="21"/>
      <c r="H59" s="30" t="str">
        <v>Jean</v>
      </c>
      <c r="I59" s="30">
        <v>2</v>
      </c>
      <c r="J59" s="21"/>
      <c r="K59" s="21"/>
      <c r="L59" s="21"/>
      <c r="M59" s="21"/>
      <c r="N59" s="21"/>
      <c r="O59" s="20"/>
    </row>
    <row r="60" spans="1:15" x14ac:dyDescent="0.3">
      <c r="A60" s="18"/>
      <c r="B60" s="270" t="s">
        <v>1485</v>
      </c>
      <c r="C60" s="270" t="s">
        <v>1486</v>
      </c>
      <c r="D60" s="42" t="s">
        <v>1487</v>
      </c>
      <c r="E60" s="42" t="s">
        <v>1488</v>
      </c>
      <c r="F60" s="21"/>
      <c r="G60" s="21"/>
      <c r="H60" s="30" t="str">
        <v>Andy</v>
      </c>
      <c r="I60" s="30">
        <v>3</v>
      </c>
      <c r="J60" s="21"/>
      <c r="K60" s="21"/>
      <c r="L60" s="21"/>
      <c r="M60" s="21"/>
      <c r="N60" s="21"/>
      <c r="O60" s="20"/>
    </row>
    <row r="61" spans="1:15" x14ac:dyDescent="0.3">
      <c r="A61" s="18"/>
      <c r="B61" s="270">
        <v>5</v>
      </c>
      <c r="C61" s="270">
        <v>5</v>
      </c>
      <c r="D61" s="42">
        <v>6</v>
      </c>
      <c r="E61" s="42">
        <v>6</v>
      </c>
      <c r="F61" s="21"/>
      <c r="G61" s="21"/>
      <c r="H61" s="30" t="str">
        <v>Becky</v>
      </c>
      <c r="I61" s="30">
        <v>3</v>
      </c>
      <c r="J61" s="21"/>
      <c r="K61" s="21"/>
      <c r="L61" s="21"/>
      <c r="M61" s="21"/>
      <c r="N61" s="21"/>
      <c r="O61" s="20"/>
    </row>
    <row r="62" spans="1:15" x14ac:dyDescent="0.3">
      <c r="A62" s="18"/>
      <c r="B62" s="21"/>
      <c r="C62" s="21"/>
      <c r="D62" s="21"/>
      <c r="E62" s="21"/>
      <c r="F62" s="21"/>
      <c r="G62" s="21"/>
      <c r="H62" s="30" t="str">
        <v>Jordan</v>
      </c>
      <c r="I62" s="30">
        <v>4</v>
      </c>
      <c r="J62" s="21"/>
      <c r="K62" s="21"/>
      <c r="L62" s="21"/>
      <c r="M62" s="21"/>
      <c r="N62" s="21"/>
      <c r="O62" s="20"/>
    </row>
    <row r="63" spans="1:15" x14ac:dyDescent="0.3">
      <c r="A63" s="18"/>
      <c r="B63" s="21"/>
      <c r="C63" s="21"/>
      <c r="D63" s="21"/>
      <c r="E63" s="21"/>
      <c r="F63" s="21"/>
      <c r="G63" s="21"/>
      <c r="H63" s="30" t="str">
        <v>Mary</v>
      </c>
      <c r="I63" s="30">
        <v>4</v>
      </c>
      <c r="J63" s="21"/>
      <c r="K63" s="21"/>
      <c r="L63" s="21"/>
      <c r="M63" s="21"/>
      <c r="N63" s="21"/>
      <c r="O63" s="20"/>
    </row>
    <row r="64" spans="1:15" x14ac:dyDescent="0.3">
      <c r="A64" s="18"/>
      <c r="B64" s="21"/>
      <c r="C64" s="21"/>
      <c r="D64" s="21"/>
      <c r="E64" s="21"/>
      <c r="F64" s="21"/>
      <c r="G64" s="21"/>
      <c r="H64" s="30" t="str">
        <v>Rufus</v>
      </c>
      <c r="I64" s="30">
        <v>5</v>
      </c>
      <c r="J64" s="21"/>
      <c r="K64" s="21"/>
      <c r="L64" s="21"/>
      <c r="M64" s="21"/>
      <c r="N64" s="21"/>
      <c r="O64" s="20"/>
    </row>
    <row r="65" spans="1:15" x14ac:dyDescent="0.3">
      <c r="A65" s="18"/>
      <c r="B65" s="21"/>
      <c r="C65" s="21"/>
      <c r="D65" s="21"/>
      <c r="E65" s="21"/>
      <c r="F65" s="21"/>
      <c r="G65" s="21"/>
      <c r="H65" s="30" t="str">
        <v>Jeannine</v>
      </c>
      <c r="I65" s="30">
        <v>5</v>
      </c>
      <c r="J65" s="21"/>
      <c r="K65" s="21"/>
      <c r="L65" s="21"/>
      <c r="M65" s="21"/>
      <c r="N65" s="21"/>
      <c r="O65" s="20"/>
    </row>
    <row r="66" spans="1:15" x14ac:dyDescent="0.3">
      <c r="A66" s="18"/>
      <c r="B66" s="21"/>
      <c r="C66" s="21"/>
      <c r="D66" s="21"/>
      <c r="E66" s="21"/>
      <c r="F66" s="21"/>
      <c r="G66" s="21"/>
      <c r="H66" s="30" t="str">
        <v>Robert</v>
      </c>
      <c r="I66" s="30">
        <v>6</v>
      </c>
      <c r="J66" s="21"/>
      <c r="K66" s="21"/>
      <c r="L66" s="21"/>
      <c r="M66" s="21"/>
      <c r="N66" s="21"/>
      <c r="O66" s="20"/>
    </row>
    <row r="67" spans="1:15" x14ac:dyDescent="0.3">
      <c r="A67" s="18"/>
      <c r="B67" s="21"/>
      <c r="C67" s="21"/>
      <c r="D67" s="21"/>
      <c r="E67" s="21"/>
      <c r="F67" s="21"/>
      <c r="G67" s="21"/>
      <c r="H67" s="30" t="str">
        <v>Denise</v>
      </c>
      <c r="I67" s="30">
        <v>6</v>
      </c>
      <c r="J67" s="21"/>
      <c r="K67" s="21"/>
      <c r="L67" s="21"/>
      <c r="M67" s="21"/>
      <c r="N67" s="21"/>
      <c r="O67" s="20"/>
    </row>
    <row r="68" spans="1:15" x14ac:dyDescent="0.3">
      <c r="A68" s="18"/>
      <c r="B68" s="21"/>
      <c r="C68" s="21"/>
      <c r="D68" s="21"/>
      <c r="E68" s="21"/>
      <c r="F68" s="21"/>
      <c r="G68" s="21"/>
      <c r="H68" s="21"/>
      <c r="I68" s="21"/>
      <c r="J68" s="21"/>
      <c r="K68" s="21"/>
      <c r="L68" s="21"/>
      <c r="M68" s="21"/>
      <c r="N68" s="21"/>
      <c r="O68" s="20"/>
    </row>
    <row r="69" spans="1:15" x14ac:dyDescent="0.3">
      <c r="A69" s="18"/>
      <c r="B69" s="21"/>
      <c r="C69" s="21"/>
      <c r="D69" s="21"/>
      <c r="E69" s="21"/>
      <c r="F69" s="21"/>
      <c r="G69" s="21"/>
      <c r="H69" s="21"/>
      <c r="I69" s="21"/>
      <c r="J69" s="21"/>
      <c r="K69" s="21"/>
      <c r="L69" s="21"/>
      <c r="M69" s="21"/>
      <c r="N69" s="21"/>
      <c r="O69" s="20"/>
    </row>
    <row r="70" spans="1:15" x14ac:dyDescent="0.3">
      <c r="A70" s="18"/>
      <c r="B70" s="21"/>
      <c r="C70" s="21"/>
      <c r="D70" s="21"/>
      <c r="E70" s="21"/>
      <c r="F70" s="21"/>
      <c r="G70" s="21"/>
      <c r="H70" s="513" t="s">
        <v>3432</v>
      </c>
      <c r="I70" s="515"/>
      <c r="J70" s="21"/>
      <c r="K70" s="21"/>
      <c r="L70" s="21"/>
      <c r="M70" s="21"/>
      <c r="N70" s="21"/>
      <c r="O70" s="20"/>
    </row>
    <row r="71" spans="1:15" x14ac:dyDescent="0.3">
      <c r="A71" s="18"/>
      <c r="B71" s="21"/>
      <c r="C71" s="21"/>
      <c r="D71" s="21"/>
      <c r="E71" s="21"/>
      <c r="F71" s="21"/>
      <c r="G71" s="21"/>
      <c r="H71" s="30" t="str">
        <f t="array" ref="H71:I82">_xll.U.RESHAPE(B56:E61,2,2,TRUE,-2,2)</f>
        <v>Sarah</v>
      </c>
      <c r="I71" s="30">
        <v>1</v>
      </c>
      <c r="J71" s="21"/>
      <c r="K71" s="21"/>
      <c r="L71" s="21"/>
      <c r="M71" s="21"/>
      <c r="N71" s="21"/>
      <c r="O71" s="20"/>
    </row>
    <row r="72" spans="1:15" x14ac:dyDescent="0.3">
      <c r="A72" s="18"/>
      <c r="B72" s="21"/>
      <c r="C72" s="21"/>
      <c r="D72" s="21"/>
      <c r="E72" s="21"/>
      <c r="F72" s="21"/>
      <c r="G72" s="21"/>
      <c r="H72" s="30" t="str">
        <v>Billy</v>
      </c>
      <c r="I72" s="30">
        <v>1</v>
      </c>
      <c r="J72" s="21"/>
      <c r="K72" s="21"/>
      <c r="L72" s="21"/>
      <c r="M72" s="21"/>
      <c r="N72" s="21"/>
      <c r="O72" s="20"/>
    </row>
    <row r="73" spans="1:15" x14ac:dyDescent="0.3">
      <c r="A73" s="18"/>
      <c r="B73" s="21"/>
      <c r="C73" s="21"/>
      <c r="D73" s="21"/>
      <c r="E73" s="21"/>
      <c r="F73" s="21"/>
      <c r="G73" s="21"/>
      <c r="H73" s="30" t="str">
        <v>Jean</v>
      </c>
      <c r="I73" s="30">
        <v>2</v>
      </c>
      <c r="J73" s="21"/>
      <c r="K73" s="21"/>
      <c r="L73" s="21"/>
      <c r="M73" s="21"/>
      <c r="N73" s="21"/>
      <c r="O73" s="20"/>
    </row>
    <row r="74" spans="1:15" x14ac:dyDescent="0.3">
      <c r="A74" s="18"/>
      <c r="B74" s="21"/>
      <c r="C74" s="21"/>
      <c r="D74" s="21"/>
      <c r="E74" s="21"/>
      <c r="F74" s="21"/>
      <c r="G74" s="21"/>
      <c r="H74" s="30" t="str">
        <v>Tommy</v>
      </c>
      <c r="I74" s="30">
        <v>2</v>
      </c>
      <c r="J74" s="21"/>
      <c r="K74" s="21"/>
      <c r="L74" s="21"/>
      <c r="M74" s="21"/>
      <c r="N74" s="21"/>
      <c r="O74" s="20"/>
    </row>
    <row r="75" spans="1:15" x14ac:dyDescent="0.3">
      <c r="A75" s="18"/>
      <c r="B75" s="21"/>
      <c r="C75" s="21"/>
      <c r="D75" s="21"/>
      <c r="E75" s="21"/>
      <c r="F75" s="21"/>
      <c r="G75" s="21"/>
      <c r="H75" s="30" t="str">
        <v>Becky</v>
      </c>
      <c r="I75" s="30">
        <v>3</v>
      </c>
      <c r="J75" s="21"/>
      <c r="K75" s="21"/>
      <c r="L75" s="21"/>
      <c r="M75" s="21"/>
      <c r="N75" s="21"/>
      <c r="O75" s="20"/>
    </row>
    <row r="76" spans="1:15" x14ac:dyDescent="0.3">
      <c r="A76" s="18"/>
      <c r="B76" s="21"/>
      <c r="C76" s="21"/>
      <c r="D76" s="21"/>
      <c r="E76" s="21"/>
      <c r="F76" s="21"/>
      <c r="G76" s="21"/>
      <c r="H76" s="30" t="str">
        <v>Andy</v>
      </c>
      <c r="I76" s="30">
        <v>3</v>
      </c>
      <c r="J76" s="21"/>
      <c r="K76" s="21"/>
      <c r="L76" s="21"/>
      <c r="M76" s="21"/>
      <c r="N76" s="21"/>
      <c r="O76" s="20"/>
    </row>
    <row r="77" spans="1:15" x14ac:dyDescent="0.3">
      <c r="A77" s="18"/>
      <c r="B77" s="21"/>
      <c r="C77" s="21"/>
      <c r="D77" s="21"/>
      <c r="E77" s="21"/>
      <c r="F77" s="21"/>
      <c r="G77" s="21"/>
      <c r="H77" s="30" t="str">
        <v>Mary</v>
      </c>
      <c r="I77" s="30">
        <v>4</v>
      </c>
      <c r="J77" s="21"/>
      <c r="K77" s="21"/>
      <c r="L77" s="21"/>
      <c r="M77" s="21"/>
      <c r="N77" s="21"/>
      <c r="O77" s="20"/>
    </row>
    <row r="78" spans="1:15" x14ac:dyDescent="0.3">
      <c r="A78" s="18"/>
      <c r="B78" s="21"/>
      <c r="C78" s="21"/>
      <c r="D78" s="21"/>
      <c r="E78" s="21"/>
      <c r="F78" s="21"/>
      <c r="G78" s="21"/>
      <c r="H78" s="30" t="str">
        <v>Jordan</v>
      </c>
      <c r="I78" s="30">
        <v>4</v>
      </c>
      <c r="J78" s="21"/>
      <c r="K78" s="21"/>
      <c r="L78" s="21"/>
      <c r="M78" s="21"/>
      <c r="N78" s="21"/>
      <c r="O78" s="20"/>
    </row>
    <row r="79" spans="1:15" x14ac:dyDescent="0.3">
      <c r="A79" s="18"/>
      <c r="B79" s="21"/>
      <c r="C79" s="21"/>
      <c r="D79" s="21"/>
      <c r="E79" s="21"/>
      <c r="F79" s="21"/>
      <c r="G79" s="21"/>
      <c r="H79" s="30" t="str">
        <v>Jeannine</v>
      </c>
      <c r="I79" s="30">
        <v>5</v>
      </c>
      <c r="J79" s="21"/>
      <c r="K79" s="21"/>
      <c r="L79" s="21"/>
      <c r="M79" s="21"/>
      <c r="N79" s="21"/>
      <c r="O79" s="20"/>
    </row>
    <row r="80" spans="1:15" x14ac:dyDescent="0.3">
      <c r="A80" s="18"/>
      <c r="B80" s="21"/>
      <c r="C80" s="21"/>
      <c r="D80" s="21"/>
      <c r="E80" s="21"/>
      <c r="F80" s="21"/>
      <c r="G80" s="21"/>
      <c r="H80" s="30" t="str">
        <v>Rufus</v>
      </c>
      <c r="I80" s="30">
        <v>5</v>
      </c>
      <c r="J80" s="21"/>
      <c r="K80" s="21"/>
      <c r="L80" s="21"/>
      <c r="M80" s="21"/>
      <c r="N80" s="21"/>
      <c r="O80" s="20"/>
    </row>
    <row r="81" spans="1:15" x14ac:dyDescent="0.3">
      <c r="A81" s="18"/>
      <c r="B81" s="21"/>
      <c r="C81" s="21"/>
      <c r="D81" s="21"/>
      <c r="E81" s="21"/>
      <c r="F81" s="21"/>
      <c r="G81" s="21"/>
      <c r="H81" s="30" t="str">
        <v>Denise</v>
      </c>
      <c r="I81" s="30">
        <v>6</v>
      </c>
      <c r="J81" s="21"/>
      <c r="K81" s="21"/>
      <c r="L81" s="21"/>
      <c r="M81" s="21"/>
      <c r="N81" s="21"/>
      <c r="O81" s="20"/>
    </row>
    <row r="82" spans="1:15" x14ac:dyDescent="0.3">
      <c r="A82" s="18"/>
      <c r="B82" s="21"/>
      <c r="C82" s="21"/>
      <c r="D82" s="21"/>
      <c r="E82" s="21"/>
      <c r="F82" s="21"/>
      <c r="G82" s="21"/>
      <c r="H82" s="30" t="str">
        <v>Robert</v>
      </c>
      <c r="I82" s="30">
        <v>6</v>
      </c>
      <c r="J82" s="21"/>
      <c r="K82" s="21"/>
      <c r="L82" s="21"/>
      <c r="M82" s="21"/>
      <c r="N82" s="21"/>
      <c r="O82" s="20"/>
    </row>
    <row r="83" spans="1:15" x14ac:dyDescent="0.3">
      <c r="A83" s="18"/>
      <c r="B83" s="21"/>
      <c r="C83" s="21"/>
      <c r="D83" s="21"/>
      <c r="E83" s="21"/>
      <c r="F83" s="21"/>
      <c r="G83" s="21"/>
      <c r="H83" s="21"/>
      <c r="I83" s="21"/>
      <c r="J83" s="21"/>
      <c r="K83" s="21"/>
      <c r="L83" s="21"/>
      <c r="M83" s="21"/>
      <c r="N83" s="21"/>
      <c r="O83" s="20"/>
    </row>
    <row r="84" spans="1:15" x14ac:dyDescent="0.3">
      <c r="A84" s="18"/>
      <c r="B84" s="21"/>
      <c r="C84" s="21"/>
      <c r="D84" s="21"/>
      <c r="E84" s="21"/>
      <c r="F84" s="21"/>
      <c r="G84" s="21"/>
      <c r="H84" s="21"/>
      <c r="I84" s="21"/>
      <c r="J84" s="21"/>
      <c r="K84" s="21"/>
      <c r="L84" s="21"/>
      <c r="M84" s="21"/>
      <c r="N84" s="21"/>
      <c r="O84" s="20"/>
    </row>
    <row r="85" spans="1:15" x14ac:dyDescent="0.3">
      <c r="A85" s="18"/>
      <c r="B85" s="21"/>
      <c r="C85" s="21"/>
      <c r="D85" s="21"/>
      <c r="E85" s="21"/>
      <c r="F85" s="21"/>
      <c r="G85" s="21"/>
      <c r="H85" s="21"/>
      <c r="I85" s="21"/>
      <c r="J85" s="21"/>
      <c r="K85" s="21"/>
      <c r="L85" s="21"/>
      <c r="M85" s="21"/>
      <c r="N85" s="21"/>
      <c r="O85" s="20"/>
    </row>
    <row r="86" spans="1:15" x14ac:dyDescent="0.3">
      <c r="A86" s="18"/>
      <c r="B86" s="21"/>
      <c r="C86" s="21"/>
      <c r="D86" s="21"/>
      <c r="E86" s="21"/>
      <c r="F86" s="21"/>
      <c r="G86" s="21"/>
      <c r="H86" s="21"/>
      <c r="I86" s="21"/>
      <c r="J86" s="21"/>
      <c r="K86" s="21"/>
      <c r="L86" s="21"/>
      <c r="M86" s="21"/>
      <c r="N86" s="21"/>
      <c r="O86" s="20"/>
    </row>
    <row r="87" spans="1:15" x14ac:dyDescent="0.3">
      <c r="A87" s="18"/>
      <c r="B87" s="475" t="s">
        <v>2202</v>
      </c>
      <c r="C87" s="475"/>
      <c r="D87" s="475"/>
      <c r="E87" s="475"/>
      <c r="F87" s="21"/>
      <c r="G87" s="21"/>
      <c r="H87" s="475" t="s">
        <v>2211</v>
      </c>
      <c r="I87" s="475"/>
      <c r="J87" s="475"/>
      <c r="K87" s="475"/>
      <c r="L87" s="475"/>
      <c r="M87" s="475"/>
      <c r="N87" s="21"/>
      <c r="O87" s="20"/>
    </row>
    <row r="88" spans="1:15" x14ac:dyDescent="0.3">
      <c r="A88" s="18"/>
      <c r="B88" s="115" t="s">
        <v>161</v>
      </c>
      <c r="C88" s="115" t="s">
        <v>1121</v>
      </c>
      <c r="D88" s="115" t="s">
        <v>2203</v>
      </c>
      <c r="E88" s="115" t="s">
        <v>2204</v>
      </c>
      <c r="F88" s="21"/>
      <c r="G88" s="21"/>
      <c r="H88" s="47" t="str">
        <f t="array" ref="H88:M92">_xll.U.RESHAPE(B88:E93,"invert_lists()")</f>
        <v>car</v>
      </c>
      <c r="I88" s="47" t="str">
        <v>bike</v>
      </c>
      <c r="J88" s="47" t="str">
        <v>roller skates</v>
      </c>
      <c r="K88" s="47" t="str">
        <v>plane</v>
      </c>
      <c r="L88" s="47" t="str">
        <v>pogo stick</v>
      </c>
      <c r="M88" s="47" t="str">
        <v>wagon</v>
      </c>
      <c r="N88" s="21"/>
      <c r="O88" s="20"/>
    </row>
    <row r="89" spans="1:15" x14ac:dyDescent="0.3">
      <c r="A89" s="18"/>
      <c r="B89" s="42" t="s">
        <v>2205</v>
      </c>
      <c r="C89" s="42" t="s">
        <v>2207</v>
      </c>
      <c r="D89" s="42" t="s">
        <v>2207</v>
      </c>
      <c r="E89" s="42" t="s">
        <v>2206</v>
      </c>
      <c r="F89" s="21"/>
      <c r="G89" s="21"/>
      <c r="H89" s="30" t="str">
        <v>Tom</v>
      </c>
      <c r="I89" s="30" t="str">
        <v>Tom</v>
      </c>
      <c r="J89" s="30" t="str">
        <v>Tom</v>
      </c>
      <c r="K89" s="30" t="str">
        <v>Bert</v>
      </c>
      <c r="L89" s="30" t="str">
        <v>Bert</v>
      </c>
      <c r="M89" s="30" t="str">
        <v>Bert</v>
      </c>
      <c r="N89" s="21"/>
      <c r="O89" s="20"/>
    </row>
    <row r="90" spans="1:15" x14ac:dyDescent="0.3">
      <c r="A90" s="18"/>
      <c r="B90" s="42" t="s">
        <v>2206</v>
      </c>
      <c r="C90" s="42" t="s">
        <v>2205</v>
      </c>
      <c r="D90" s="42" t="s">
        <v>2208</v>
      </c>
      <c r="E90" s="42" t="s">
        <v>2207</v>
      </c>
      <c r="F90" s="21"/>
      <c r="G90" s="21"/>
      <c r="H90" s="30" t="str">
        <v>Cindy</v>
      </c>
      <c r="I90" s="30" t="str">
        <v>Cindy</v>
      </c>
      <c r="J90" s="30" t="str">
        <v>Anna</v>
      </c>
      <c r="K90" s="30" t="str">
        <v>Anna</v>
      </c>
      <c r="L90" s="30" t="str">
        <v/>
      </c>
      <c r="M90" s="30" t="str">
        <v/>
      </c>
      <c r="N90" s="21"/>
      <c r="O90" s="20"/>
    </row>
    <row r="91" spans="1:15" x14ac:dyDescent="0.3">
      <c r="A91" s="18"/>
      <c r="B91" s="42" t="s">
        <v>2207</v>
      </c>
      <c r="C91" s="42"/>
      <c r="D91" s="42" t="s">
        <v>2209</v>
      </c>
      <c r="E91" s="42" t="s">
        <v>2208</v>
      </c>
      <c r="F91" s="21"/>
      <c r="G91" s="21"/>
      <c r="H91" s="30" t="str">
        <v>Bert</v>
      </c>
      <c r="I91" s="30" t="str">
        <v>Bert</v>
      </c>
      <c r="J91" s="30" t="str">
        <v/>
      </c>
      <c r="K91" s="30" t="str">
        <v/>
      </c>
      <c r="L91" s="30" t="str">
        <v/>
      </c>
      <c r="M91" s="30" t="str">
        <v/>
      </c>
      <c r="N91" s="21"/>
      <c r="O91" s="20"/>
    </row>
    <row r="92" spans="1:15" x14ac:dyDescent="0.3">
      <c r="A92" s="18"/>
      <c r="B92" s="42"/>
      <c r="C92" s="42"/>
      <c r="D92" s="42" t="s">
        <v>2205</v>
      </c>
      <c r="E92" s="42" t="s">
        <v>2205</v>
      </c>
      <c r="F92" s="21"/>
      <c r="G92" s="21"/>
      <c r="H92" s="30" t="str">
        <v>Anna</v>
      </c>
      <c r="I92" s="30" t="str">
        <v>Anna</v>
      </c>
      <c r="J92" s="30" t="str">
        <v/>
      </c>
      <c r="K92" s="30" t="str">
        <v/>
      </c>
      <c r="L92" s="30" t="str">
        <v/>
      </c>
      <c r="M92" s="30" t="str">
        <v/>
      </c>
      <c r="N92" s="21"/>
      <c r="O92" s="20"/>
    </row>
    <row r="93" spans="1:15" x14ac:dyDescent="0.3">
      <c r="A93" s="18"/>
      <c r="B93" s="42"/>
      <c r="C93" s="42"/>
      <c r="D93" s="42" t="s">
        <v>2210</v>
      </c>
      <c r="E93" s="42"/>
      <c r="F93" s="21"/>
      <c r="G93" s="21"/>
      <c r="H93" s="21"/>
      <c r="I93" s="21"/>
      <c r="J93" s="21"/>
      <c r="K93" s="21"/>
      <c r="L93" s="21"/>
      <c r="M93" s="21"/>
      <c r="N93" s="21"/>
      <c r="O93" s="20"/>
    </row>
    <row r="94" spans="1:15" x14ac:dyDescent="0.3">
      <c r="A94" s="18"/>
      <c r="B94" s="21"/>
      <c r="C94" s="21"/>
      <c r="D94" s="21"/>
      <c r="E94" s="21"/>
      <c r="F94" s="21"/>
      <c r="G94" s="21"/>
      <c r="H94" s="21"/>
      <c r="I94" s="21"/>
      <c r="J94" s="21"/>
      <c r="K94" s="21"/>
      <c r="L94" s="21"/>
      <c r="M94" s="21"/>
      <c r="N94" s="21"/>
      <c r="O94" s="20"/>
    </row>
    <row r="95" spans="1:15" x14ac:dyDescent="0.3">
      <c r="A95" s="18"/>
      <c r="B95" s="21"/>
      <c r="C95" s="21"/>
      <c r="D95" s="21"/>
      <c r="E95" s="21"/>
      <c r="F95" s="21"/>
      <c r="G95" s="21"/>
      <c r="H95" s="21"/>
      <c r="I95" s="21"/>
      <c r="J95" s="21"/>
      <c r="K95" s="21"/>
      <c r="L95" s="21"/>
      <c r="M95" s="21"/>
      <c r="N95" s="21"/>
      <c r="O95" s="20"/>
    </row>
    <row r="96" spans="1:15" x14ac:dyDescent="0.3">
      <c r="A96" s="18"/>
      <c r="B96" s="21"/>
      <c r="C96" s="21"/>
      <c r="D96" s="21"/>
      <c r="E96" s="21"/>
      <c r="F96" s="21"/>
      <c r="G96" s="21"/>
      <c r="H96" s="21"/>
      <c r="I96" s="21"/>
      <c r="J96" s="21"/>
      <c r="K96" s="21"/>
      <c r="L96" s="21"/>
      <c r="M96" s="21"/>
      <c r="N96" s="21"/>
      <c r="O96" s="20"/>
    </row>
    <row r="97" spans="1:15" x14ac:dyDescent="0.3">
      <c r="A97" s="18"/>
      <c r="B97" s="21"/>
      <c r="C97" s="21"/>
      <c r="D97" s="21"/>
      <c r="E97" s="21"/>
      <c r="F97" s="21"/>
      <c r="G97" s="21"/>
      <c r="H97" s="21"/>
      <c r="I97" s="21"/>
      <c r="J97" s="21"/>
      <c r="K97" s="21"/>
      <c r="L97" s="21"/>
      <c r="M97" s="21"/>
      <c r="N97" s="21"/>
      <c r="O97" s="20"/>
    </row>
    <row r="98" spans="1:15" x14ac:dyDescent="0.3">
      <c r="A98" s="18"/>
      <c r="B98" s="21"/>
      <c r="C98" s="21"/>
      <c r="D98" s="21"/>
      <c r="E98" s="21"/>
      <c r="F98" s="21"/>
      <c r="G98" s="21"/>
      <c r="H98" s="21"/>
      <c r="I98" s="21"/>
      <c r="J98" s="21"/>
      <c r="K98" s="21"/>
      <c r="L98" s="21"/>
      <c r="M98" s="21"/>
      <c r="N98" s="21"/>
      <c r="O98" s="20"/>
    </row>
    <row r="99" spans="1:15" x14ac:dyDescent="0.3">
      <c r="A99" s="18"/>
      <c r="B99" s="21"/>
      <c r="C99" s="21"/>
      <c r="D99" s="21"/>
      <c r="E99" s="21"/>
      <c r="F99" s="21"/>
      <c r="G99" s="21"/>
      <c r="H99" s="21"/>
      <c r="I99" s="21"/>
      <c r="J99" s="21"/>
      <c r="K99" s="21"/>
      <c r="L99" s="21"/>
      <c r="M99" s="21"/>
      <c r="N99" s="21"/>
      <c r="O99" s="20"/>
    </row>
    <row r="100" spans="1:15" x14ac:dyDescent="0.3">
      <c r="A100" s="18"/>
      <c r="B100" s="21"/>
      <c r="C100" s="21"/>
      <c r="D100" s="21"/>
      <c r="E100" s="21"/>
      <c r="F100" s="21"/>
      <c r="G100" s="21"/>
      <c r="H100" s="21"/>
      <c r="I100" s="21"/>
      <c r="J100" s="21"/>
      <c r="K100" s="21"/>
      <c r="L100" s="21"/>
      <c r="M100" s="21"/>
      <c r="N100" s="21"/>
      <c r="O100" s="20"/>
    </row>
    <row r="101" spans="1:15" x14ac:dyDescent="0.3">
      <c r="A101" s="18"/>
      <c r="B101" s="21"/>
      <c r="C101" s="21"/>
      <c r="D101" s="21"/>
      <c r="E101" s="21"/>
      <c r="F101" s="21"/>
      <c r="G101" s="21"/>
      <c r="H101" s="21"/>
      <c r="I101" s="21"/>
      <c r="J101" s="21"/>
      <c r="K101" s="21"/>
      <c r="L101" s="21"/>
      <c r="M101" s="21"/>
      <c r="N101" s="21"/>
      <c r="O101" s="20"/>
    </row>
    <row r="102" spans="1:15" x14ac:dyDescent="0.3">
      <c r="A102" s="18"/>
      <c r="B102" s="21"/>
      <c r="C102" s="21"/>
      <c r="D102" s="21"/>
      <c r="E102" s="21"/>
      <c r="F102" s="21"/>
      <c r="G102" s="21"/>
      <c r="H102" s="21"/>
      <c r="I102" s="21"/>
      <c r="J102" s="21"/>
      <c r="K102" s="21"/>
      <c r="L102" s="21"/>
      <c r="M102" s="21"/>
      <c r="N102" s="21"/>
      <c r="O102" s="20"/>
    </row>
    <row r="103" spans="1:15" x14ac:dyDescent="0.3">
      <c r="A103" s="18"/>
      <c r="B103" s="30" t="s">
        <v>77</v>
      </c>
      <c r="C103" s="30">
        <v>1</v>
      </c>
      <c r="D103" s="21"/>
      <c r="E103" s="21"/>
      <c r="F103" s="21"/>
      <c r="G103" s="21"/>
      <c r="H103" s="483" t="s">
        <v>2514</v>
      </c>
      <c r="I103" s="483"/>
      <c r="J103" s="483"/>
      <c r="K103" s="483"/>
      <c r="L103" s="21"/>
      <c r="M103" s="21"/>
      <c r="N103" s="21"/>
      <c r="O103" s="20"/>
    </row>
    <row r="104" spans="1:15" x14ac:dyDescent="0.3">
      <c r="A104" s="18"/>
      <c r="B104" s="30" t="s">
        <v>78</v>
      </c>
      <c r="C104" s="30">
        <v>2</v>
      </c>
      <c r="D104" s="21"/>
      <c r="E104" s="21"/>
      <c r="F104" s="21"/>
      <c r="G104" s="21"/>
      <c r="H104" s="30" t="str">
        <f t="array" ref="H104:K105">_xll.U.RESHAPE(B103:C106,"rotate(-280)")</f>
        <v>d</v>
      </c>
      <c r="I104" s="30" t="str">
        <v>c</v>
      </c>
      <c r="J104" s="30" t="str">
        <v>b</v>
      </c>
      <c r="K104" s="30" t="str">
        <v>a</v>
      </c>
      <c r="L104" s="21"/>
      <c r="M104" s="21"/>
      <c r="N104" s="21"/>
      <c r="O104" s="20"/>
    </row>
    <row r="105" spans="1:15" x14ac:dyDescent="0.3">
      <c r="A105" s="18"/>
      <c r="B105" s="30" t="s">
        <v>79</v>
      </c>
      <c r="C105" s="30">
        <v>3</v>
      </c>
      <c r="D105" s="21"/>
      <c r="E105" s="21"/>
      <c r="F105" s="21"/>
      <c r="G105" s="21"/>
      <c r="H105" s="30">
        <v>4</v>
      </c>
      <c r="I105" s="30">
        <v>3</v>
      </c>
      <c r="J105" s="30">
        <v>2</v>
      </c>
      <c r="K105" s="30">
        <v>1</v>
      </c>
      <c r="L105" s="21"/>
      <c r="M105" s="21"/>
      <c r="N105" s="21"/>
      <c r="O105" s="20"/>
    </row>
    <row r="106" spans="1:15" x14ac:dyDescent="0.3">
      <c r="A106" s="18"/>
      <c r="B106" s="30" t="s">
        <v>1473</v>
      </c>
      <c r="C106" s="30">
        <v>4</v>
      </c>
      <c r="D106" s="21"/>
      <c r="E106" s="21"/>
      <c r="F106" s="21"/>
      <c r="G106" s="21"/>
      <c r="H106" s="21"/>
      <c r="I106" s="21"/>
      <c r="J106" s="21"/>
      <c r="K106" s="21"/>
      <c r="L106" s="21"/>
      <c r="M106" s="21"/>
      <c r="N106" s="21"/>
      <c r="O106" s="20"/>
    </row>
    <row r="107" spans="1:15" x14ac:dyDescent="0.3">
      <c r="A107" s="18"/>
      <c r="B107" s="21"/>
      <c r="C107" s="21"/>
      <c r="D107" s="21"/>
      <c r="E107" s="21"/>
      <c r="F107" s="21"/>
      <c r="G107" s="21"/>
      <c r="H107" s="21"/>
      <c r="I107" s="21"/>
      <c r="J107" s="21"/>
      <c r="K107" s="21"/>
      <c r="L107" s="21"/>
      <c r="M107" s="21"/>
      <c r="N107" s="21"/>
      <c r="O107" s="20"/>
    </row>
    <row r="108" spans="1:15" x14ac:dyDescent="0.3">
      <c r="A108" s="18"/>
      <c r="B108" s="21"/>
      <c r="C108" s="21"/>
      <c r="D108" s="21"/>
      <c r="E108" s="21"/>
      <c r="F108" s="21"/>
      <c r="G108" s="21"/>
      <c r="H108" s="21"/>
      <c r="I108" s="21"/>
      <c r="J108" s="21"/>
      <c r="K108" s="21"/>
      <c r="L108" s="21"/>
      <c r="M108" s="21"/>
      <c r="N108" s="21"/>
      <c r="O108" s="20"/>
    </row>
    <row r="109" spans="1:15" x14ac:dyDescent="0.3">
      <c r="A109" s="18"/>
      <c r="B109" s="21"/>
      <c r="C109" s="21"/>
      <c r="D109" s="21"/>
      <c r="E109" s="21"/>
      <c r="F109" s="21"/>
      <c r="G109" s="21"/>
      <c r="H109" s="21"/>
      <c r="I109" s="21"/>
      <c r="J109" s="21"/>
      <c r="K109" s="21"/>
      <c r="L109" s="21"/>
      <c r="M109" s="21"/>
      <c r="N109" s="21"/>
      <c r="O109" s="20"/>
    </row>
    <row r="110" spans="1:15" x14ac:dyDescent="0.3">
      <c r="A110" s="18"/>
      <c r="B110" s="21"/>
      <c r="C110" s="21"/>
      <c r="D110" s="21"/>
      <c r="E110" s="21"/>
      <c r="F110" s="21"/>
      <c r="G110" s="21"/>
      <c r="H110" s="21"/>
      <c r="I110" s="21"/>
      <c r="J110" s="21"/>
      <c r="K110" s="21"/>
      <c r="L110" s="21"/>
      <c r="M110" s="21"/>
      <c r="N110" s="21"/>
      <c r="O110" s="20"/>
    </row>
    <row r="111" spans="1:15" x14ac:dyDescent="0.3">
      <c r="A111" s="18"/>
      <c r="B111" s="21"/>
      <c r="C111" s="21"/>
      <c r="D111" s="21"/>
      <c r="E111" s="21"/>
      <c r="F111" s="21"/>
      <c r="G111" s="21"/>
      <c r="H111" s="21"/>
      <c r="I111" s="21"/>
      <c r="J111" s="21"/>
      <c r="K111" s="21"/>
      <c r="L111" s="21"/>
      <c r="M111" s="21"/>
      <c r="N111" s="21"/>
      <c r="O111" s="20"/>
    </row>
    <row r="112" spans="1:15" x14ac:dyDescent="0.3">
      <c r="A112" s="18"/>
      <c r="B112" s="21"/>
      <c r="C112" s="21"/>
      <c r="D112" s="21"/>
      <c r="E112" s="21"/>
      <c r="F112" s="21"/>
      <c r="G112" s="21"/>
      <c r="H112" s="21"/>
      <c r="I112" s="21"/>
      <c r="J112" s="21"/>
      <c r="K112" s="21"/>
      <c r="L112" s="21"/>
      <c r="M112" s="21"/>
      <c r="N112" s="21"/>
      <c r="O112" s="20"/>
    </row>
    <row r="113" spans="1:15" x14ac:dyDescent="0.3">
      <c r="A113" s="18"/>
      <c r="B113" s="205" t="s">
        <v>3886</v>
      </c>
      <c r="C113" s="366" t="s">
        <v>3887</v>
      </c>
      <c r="D113" s="368" t="s">
        <v>3888</v>
      </c>
      <c r="E113" s="371" t="s">
        <v>3889</v>
      </c>
      <c r="F113" s="21"/>
      <c r="G113" s="483" t="s">
        <v>2514</v>
      </c>
      <c r="H113" s="483"/>
      <c r="I113" s="483"/>
      <c r="J113" s="483"/>
      <c r="K113" s="483"/>
      <c r="L113" s="483"/>
      <c r="M113" s="483"/>
      <c r="N113" s="483"/>
      <c r="O113" s="20"/>
    </row>
    <row r="114" spans="1:15" x14ac:dyDescent="0.3">
      <c r="A114" s="18"/>
      <c r="B114" s="367" t="s">
        <v>3890</v>
      </c>
      <c r="C114" s="205" t="s">
        <v>3891</v>
      </c>
      <c r="D114" s="366" t="s">
        <v>3892</v>
      </c>
      <c r="E114" s="368" t="s">
        <v>3893</v>
      </c>
      <c r="F114" s="21"/>
      <c r="G114" s="370" t="str">
        <f t="array" ref="G114:N117">_xll.U.RESHAPE(B113:E117,"rotate(40)")</f>
        <v>r5_c1</v>
      </c>
      <c r="H114" s="369" t="str">
        <v>r4_c1</v>
      </c>
      <c r="I114" s="363" t="str">
        <v>r3_c1</v>
      </c>
      <c r="J114" s="367" t="str">
        <v>r2_c1</v>
      </c>
      <c r="K114" s="205" t="str">
        <v>r1_c1</v>
      </c>
      <c r="L114" s="366" t="str">
        <v>r1_c2</v>
      </c>
      <c r="M114" s="368" t="str">
        <v>r1_c3</v>
      </c>
      <c r="N114" s="371" t="str">
        <v>r1_c4</v>
      </c>
      <c r="O114" s="20"/>
    </row>
    <row r="115" spans="1:15" x14ac:dyDescent="0.3">
      <c r="A115" s="18"/>
      <c r="B115" s="363" t="s">
        <v>3894</v>
      </c>
      <c r="C115" s="367" t="s">
        <v>3895</v>
      </c>
      <c r="D115" s="205" t="s">
        <v>3896</v>
      </c>
      <c r="E115" s="366" t="s">
        <v>3897</v>
      </c>
      <c r="F115" s="21"/>
      <c r="G115" s="30" t="str">
        <v/>
      </c>
      <c r="H115" s="369" t="str">
        <v>r5_c2</v>
      </c>
      <c r="I115" s="363" t="str">
        <v>r4_c2</v>
      </c>
      <c r="J115" s="367" t="str">
        <v>r3_c2</v>
      </c>
      <c r="K115" s="205" t="str">
        <v>r2_c2</v>
      </c>
      <c r="L115" s="366" t="str">
        <v>r2_c3</v>
      </c>
      <c r="M115" s="368" t="str">
        <v>r2_c4</v>
      </c>
      <c r="N115" s="30" t="str">
        <v/>
      </c>
      <c r="O115" s="20"/>
    </row>
    <row r="116" spans="1:15" x14ac:dyDescent="0.3">
      <c r="A116" s="18"/>
      <c r="B116" s="369" t="s">
        <v>3898</v>
      </c>
      <c r="C116" s="363" t="s">
        <v>3899</v>
      </c>
      <c r="D116" s="367" t="s">
        <v>3900</v>
      </c>
      <c r="E116" s="205" t="s">
        <v>3901</v>
      </c>
      <c r="F116" s="21"/>
      <c r="G116" s="30" t="str">
        <v/>
      </c>
      <c r="H116" s="30" t="str">
        <v/>
      </c>
      <c r="I116" s="363" t="str">
        <v>r5_c3</v>
      </c>
      <c r="J116" s="367" t="str">
        <v>r4_c3</v>
      </c>
      <c r="K116" s="205" t="str">
        <v>r3_c3</v>
      </c>
      <c r="L116" s="366" t="str">
        <v>r3_c4</v>
      </c>
      <c r="M116" s="30" t="str">
        <v/>
      </c>
      <c r="N116" s="30" t="str">
        <v/>
      </c>
      <c r="O116" s="20"/>
    </row>
    <row r="117" spans="1:15" x14ac:dyDescent="0.3">
      <c r="A117" s="18"/>
      <c r="B117" s="370" t="s">
        <v>3902</v>
      </c>
      <c r="C117" s="369" t="s">
        <v>3903</v>
      </c>
      <c r="D117" s="363" t="s">
        <v>3904</v>
      </c>
      <c r="E117" s="367" t="s">
        <v>3905</v>
      </c>
      <c r="F117" s="21"/>
      <c r="G117" s="30" t="str">
        <v/>
      </c>
      <c r="H117" s="30" t="str">
        <v/>
      </c>
      <c r="I117" s="30" t="str">
        <v/>
      </c>
      <c r="J117" s="367" t="str">
        <v>r5_c4</v>
      </c>
      <c r="K117" s="205" t="str">
        <v>r4_c4</v>
      </c>
      <c r="L117" s="30" t="str">
        <v/>
      </c>
      <c r="M117" s="30" t="str">
        <v/>
      </c>
      <c r="N117" s="30" t="str">
        <v/>
      </c>
      <c r="O117" s="20"/>
    </row>
    <row r="118" spans="1:15" x14ac:dyDescent="0.3">
      <c r="A118" s="18"/>
      <c r="B118" s="21"/>
      <c r="C118" s="21"/>
      <c r="D118" s="21"/>
      <c r="E118" s="21"/>
      <c r="F118" s="21"/>
      <c r="G118" s="21"/>
      <c r="H118" s="21"/>
      <c r="I118" s="21"/>
      <c r="J118" s="21"/>
      <c r="K118" s="21"/>
      <c r="L118" s="21"/>
      <c r="M118" s="21"/>
      <c r="N118" s="21"/>
      <c r="O118" s="20"/>
    </row>
    <row r="119" spans="1:15" x14ac:dyDescent="0.3">
      <c r="A119" s="18"/>
      <c r="B119" s="21"/>
      <c r="C119" s="21"/>
      <c r="D119" s="21"/>
      <c r="E119" s="21"/>
      <c r="F119" s="21"/>
      <c r="G119" s="21"/>
      <c r="H119" s="21"/>
      <c r="I119" s="21"/>
      <c r="J119" s="21"/>
      <c r="K119" s="21"/>
      <c r="L119" s="21"/>
      <c r="M119" s="21"/>
      <c r="N119" s="21"/>
      <c r="O119" s="20"/>
    </row>
    <row r="120" spans="1:15" x14ac:dyDescent="0.3">
      <c r="A120" s="18"/>
      <c r="B120" s="475" t="s">
        <v>3781</v>
      </c>
      <c r="C120" s="475"/>
      <c r="D120" s="475"/>
      <c r="E120" s="475"/>
      <c r="F120" s="475"/>
      <c r="G120" s="21"/>
      <c r="H120" s="21"/>
      <c r="I120" s="21"/>
      <c r="J120" s="21"/>
      <c r="K120" s="21"/>
      <c r="L120" s="21"/>
      <c r="M120" s="21"/>
      <c r="N120" s="21"/>
      <c r="O120" s="20"/>
    </row>
    <row r="121" spans="1:15" x14ac:dyDescent="0.3">
      <c r="A121" s="18"/>
      <c r="B121" s="370" t="str" cm="1">
        <f t="array" ref="B121:F124">_xll.U.RESHAPE(B113:E117,"rotate(90)")</f>
        <v>r5_c1</v>
      </c>
      <c r="C121" s="369" t="str">
        <v>r4_c1</v>
      </c>
      <c r="D121" s="363" t="str">
        <v>r3_c1</v>
      </c>
      <c r="E121" s="367" t="str">
        <v>r2_c1</v>
      </c>
      <c r="F121" s="205" t="str">
        <v>r1_c1</v>
      </c>
      <c r="G121" s="21"/>
      <c r="H121" s="21"/>
      <c r="I121" s="319" t="str">
        <f t="array" ref="I121:I125">_xll.U.PAD(_xll.U.RESHAPE(B113:E117,"rotate(90,-2)"))</f>
        <v>r5_c3</v>
      </c>
      <c r="J121" s="21"/>
      <c r="K121" s="21"/>
      <c r="L121" s="21"/>
      <c r="M121" s="21"/>
      <c r="N121" s="21"/>
      <c r="O121" s="20"/>
    </row>
    <row r="122" spans="1:15" ht="15" thickBot="1" x14ac:dyDescent="0.35">
      <c r="A122" s="18"/>
      <c r="B122" s="466" t="str">
        <v>r5_c2</v>
      </c>
      <c r="C122" s="363" t="str">
        <v>r4_c2</v>
      </c>
      <c r="D122" s="367" t="str">
        <v>r3_c2</v>
      </c>
      <c r="E122" s="205" t="str">
        <v>r2_c2</v>
      </c>
      <c r="F122" s="366" t="str">
        <v>r1_c2</v>
      </c>
      <c r="G122" s="21"/>
      <c r="H122" s="21"/>
      <c r="I122" s="319" t="str">
        <v>r4_c4</v>
      </c>
      <c r="J122" s="21"/>
      <c r="K122" s="21"/>
      <c r="L122" s="21"/>
      <c r="M122" s="21"/>
      <c r="N122" s="21"/>
      <c r="O122" s="20"/>
    </row>
    <row r="123" spans="1:15" ht="15" thickBot="1" x14ac:dyDescent="0.35">
      <c r="A123" s="18"/>
      <c r="B123" s="469" t="str">
        <v>r5_c3</v>
      </c>
      <c r="C123" s="467" t="str">
        <v>r4_c3</v>
      </c>
      <c r="D123" s="205" t="str">
        <v>r3_c3</v>
      </c>
      <c r="E123" s="366" t="str">
        <v>r2_c3</v>
      </c>
      <c r="F123" s="368" t="str">
        <v>r1_c3</v>
      </c>
      <c r="G123" s="21"/>
      <c r="H123" s="21"/>
      <c r="I123" s="1" t="str">
        <v/>
      </c>
      <c r="J123" s="21"/>
      <c r="K123" s="21"/>
      <c r="L123" s="21"/>
      <c r="M123" s="21"/>
      <c r="N123" s="21"/>
      <c r="O123" s="20"/>
    </row>
    <row r="124" spans="1:15" ht="15" thickBot="1" x14ac:dyDescent="0.35">
      <c r="A124" s="18"/>
      <c r="B124" s="468" t="str">
        <v>r5_c4</v>
      </c>
      <c r="C124" s="469" t="str">
        <v>r4_c4</v>
      </c>
      <c r="D124" s="465" t="str">
        <v>r3_c4</v>
      </c>
      <c r="E124" s="368" t="str">
        <v>r2_c4</v>
      </c>
      <c r="F124" s="371" t="str">
        <v>r1_c4</v>
      </c>
      <c r="G124" s="21"/>
      <c r="H124" s="21"/>
      <c r="I124" s="1" t="str">
        <v/>
      </c>
      <c r="J124" s="21"/>
      <c r="K124" s="21"/>
      <c r="L124" s="21"/>
      <c r="M124" s="21"/>
      <c r="N124" s="21"/>
      <c r="O124" s="20"/>
    </row>
    <row r="125" spans="1:15" x14ac:dyDescent="0.3">
      <c r="A125" s="18"/>
      <c r="B125" s="21"/>
      <c r="C125" s="21"/>
      <c r="D125" s="21"/>
      <c r="E125" s="21"/>
      <c r="F125" s="21"/>
      <c r="G125" s="21"/>
      <c r="H125" s="21"/>
      <c r="I125" s="1" t="str">
        <v/>
      </c>
      <c r="J125" s="21"/>
      <c r="K125" s="21"/>
      <c r="L125" s="21"/>
      <c r="M125" s="21"/>
      <c r="N125" s="21"/>
      <c r="O125" s="20"/>
    </row>
    <row r="126" spans="1:15" x14ac:dyDescent="0.3">
      <c r="A126" s="18"/>
      <c r="B126" s="21"/>
      <c r="C126" s="21"/>
      <c r="D126" s="21"/>
      <c r="E126" s="21"/>
      <c r="F126" s="21"/>
      <c r="G126" s="21"/>
      <c r="H126" s="21"/>
      <c r="I126" s="21"/>
      <c r="J126" s="21"/>
      <c r="K126" s="21"/>
      <c r="L126" s="21"/>
      <c r="M126" s="21"/>
      <c r="N126" s="21"/>
      <c r="O126" s="20"/>
    </row>
    <row r="127" spans="1:15" x14ac:dyDescent="0.3">
      <c r="A127" s="18"/>
      <c r="B127" s="21"/>
      <c r="C127" s="21"/>
      <c r="D127" s="21"/>
      <c r="E127" s="21"/>
      <c r="F127" s="21"/>
      <c r="G127" s="21"/>
      <c r="H127" s="21"/>
      <c r="I127" s="21"/>
      <c r="J127" s="21"/>
      <c r="K127" s="21"/>
      <c r="L127" s="21"/>
      <c r="M127" s="21"/>
      <c r="N127" s="21"/>
      <c r="O127" s="20"/>
    </row>
    <row r="128" spans="1:15" x14ac:dyDescent="0.3">
      <c r="A128" s="18"/>
      <c r="B128" s="21"/>
      <c r="C128" s="21"/>
      <c r="D128" s="21"/>
      <c r="E128" s="21"/>
      <c r="F128" s="21"/>
      <c r="G128" s="21"/>
      <c r="H128" s="21"/>
      <c r="I128" s="21"/>
      <c r="J128" s="21"/>
      <c r="K128" s="21"/>
      <c r="L128" s="21"/>
      <c r="M128" s="21"/>
      <c r="N128" s="21"/>
      <c r="O128" s="20"/>
    </row>
    <row r="129" spans="1:15" x14ac:dyDescent="0.3">
      <c r="A129" s="18"/>
      <c r="B129" s="21"/>
      <c r="C129" s="21"/>
      <c r="D129" s="21"/>
      <c r="E129" s="21"/>
      <c r="F129" s="21"/>
      <c r="G129" s="21"/>
      <c r="H129" s="21"/>
      <c r="I129" s="21"/>
      <c r="J129" s="21"/>
      <c r="K129" s="21"/>
      <c r="L129" s="21"/>
      <c r="M129" s="21"/>
      <c r="N129" s="21"/>
      <c r="O129" s="20"/>
    </row>
    <row r="130" spans="1:15" x14ac:dyDescent="0.3">
      <c r="A130" s="18"/>
      <c r="B130" s="21"/>
      <c r="C130" s="21"/>
      <c r="D130" s="21"/>
      <c r="E130" s="21"/>
      <c r="F130" s="21"/>
      <c r="G130" s="21"/>
      <c r="H130" s="21"/>
      <c r="I130" s="21"/>
      <c r="J130" s="21"/>
      <c r="K130" s="21"/>
      <c r="L130" s="21"/>
      <c r="M130" s="21"/>
      <c r="N130" s="21"/>
      <c r="O130" s="20"/>
    </row>
    <row r="131" spans="1:15" x14ac:dyDescent="0.3">
      <c r="A131" s="18"/>
      <c r="B131" s="21"/>
      <c r="C131" s="21"/>
      <c r="D131" s="21"/>
      <c r="E131" s="21"/>
      <c r="F131" s="21"/>
      <c r="G131" s="21"/>
      <c r="H131" s="21"/>
      <c r="I131" s="205" t="str">
        <f t="array" ref="I131:I135">_xll.U.PAD(_xll.U.RESHAPE(B113:E117,"rotate(0,0)"))</f>
        <v>r1_c1</v>
      </c>
      <c r="J131" s="21"/>
      <c r="K131" s="21"/>
      <c r="L131" s="21"/>
      <c r="M131" s="21"/>
      <c r="N131" s="21"/>
      <c r="O131" s="20"/>
    </row>
    <row r="132" spans="1:15" x14ac:dyDescent="0.3">
      <c r="A132" s="18"/>
      <c r="B132" s="21"/>
      <c r="C132" s="21"/>
      <c r="D132" s="21"/>
      <c r="E132" s="21"/>
      <c r="F132" s="21"/>
      <c r="G132" s="21"/>
      <c r="H132" s="21"/>
      <c r="I132" s="205" t="str">
        <v>r2_c2</v>
      </c>
      <c r="J132" s="21"/>
      <c r="K132" s="21"/>
      <c r="L132" s="21"/>
      <c r="M132" s="21"/>
      <c r="N132" s="21"/>
      <c r="O132" s="20"/>
    </row>
    <row r="133" spans="1:15" x14ac:dyDescent="0.3">
      <c r="A133" s="18"/>
      <c r="B133" s="21"/>
      <c r="C133" s="21"/>
      <c r="D133" s="21"/>
      <c r="E133" s="21"/>
      <c r="F133" s="21"/>
      <c r="G133" s="21"/>
      <c r="H133" s="21"/>
      <c r="I133" s="205" t="str">
        <v>r3_c3</v>
      </c>
      <c r="J133" s="21"/>
      <c r="K133" s="21"/>
      <c r="L133" s="21"/>
      <c r="M133" s="21"/>
      <c r="N133" s="21"/>
      <c r="O133" s="20"/>
    </row>
    <row r="134" spans="1:15" x14ac:dyDescent="0.3">
      <c r="A134" s="18"/>
      <c r="B134" s="21"/>
      <c r="C134" s="21"/>
      <c r="D134" s="21"/>
      <c r="E134" s="21"/>
      <c r="F134" s="21"/>
      <c r="G134" s="21"/>
      <c r="H134" s="21"/>
      <c r="I134" s="205" t="str">
        <v>r4_c4</v>
      </c>
      <c r="J134" s="21"/>
      <c r="K134" s="21"/>
      <c r="L134" s="21"/>
      <c r="M134" s="21"/>
      <c r="N134" s="21"/>
      <c r="O134" s="20"/>
    </row>
    <row r="135" spans="1:15" x14ac:dyDescent="0.3">
      <c r="A135" s="18"/>
      <c r="B135" s="21"/>
      <c r="C135" s="21"/>
      <c r="D135" s="21"/>
      <c r="E135" s="21"/>
      <c r="F135" s="21"/>
      <c r="G135" s="21"/>
      <c r="H135" s="21"/>
      <c r="I135" s="30" t="str">
        <v/>
      </c>
      <c r="J135" s="21"/>
      <c r="K135" s="21"/>
      <c r="L135" s="21"/>
      <c r="M135" s="21"/>
      <c r="N135" s="21"/>
      <c r="O135" s="20"/>
    </row>
    <row r="136" spans="1:15" ht="15" thickBot="1" x14ac:dyDescent="0.35">
      <c r="A136" s="22"/>
      <c r="B136" s="23"/>
      <c r="C136" s="23"/>
      <c r="D136" s="23"/>
      <c r="E136" s="23"/>
      <c r="F136" s="23"/>
      <c r="G136" s="23"/>
      <c r="H136" s="23"/>
      <c r="I136" s="23"/>
      <c r="J136" s="23"/>
      <c r="K136" s="23"/>
      <c r="L136" s="23"/>
      <c r="M136" s="23"/>
      <c r="N136" s="23"/>
      <c r="O136" s="24"/>
    </row>
  </sheetData>
  <mergeCells count="41">
    <mergeCell ref="B120:F120"/>
    <mergeCell ref="Z11:Z13"/>
    <mergeCell ref="Q14:R16"/>
    <mergeCell ref="S14:Y16"/>
    <mergeCell ref="Z14:Z16"/>
    <mergeCell ref="Q17:R19"/>
    <mergeCell ref="Q11:R13"/>
    <mergeCell ref="S11:Y13"/>
    <mergeCell ref="S17:Y19"/>
    <mergeCell ref="Z17:Z19"/>
    <mergeCell ref="Z26:Z28"/>
    <mergeCell ref="Z20:Z22"/>
    <mergeCell ref="Z23:Z25"/>
    <mergeCell ref="Q20:R22"/>
    <mergeCell ref="S20:Y22"/>
    <mergeCell ref="Q26:R28"/>
    <mergeCell ref="Z8:Z10"/>
    <mergeCell ref="Q3:Z3"/>
    <mergeCell ref="Q4:R6"/>
    <mergeCell ref="S4:Z6"/>
    <mergeCell ref="Q7:R7"/>
    <mergeCell ref="S7:Y7"/>
    <mergeCell ref="Q8:R10"/>
    <mergeCell ref="S8:Y10"/>
    <mergeCell ref="S26:Y28"/>
    <mergeCell ref="Q23:R25"/>
    <mergeCell ref="S23:Y25"/>
    <mergeCell ref="H3:J3"/>
    <mergeCell ref="H16:K16"/>
    <mergeCell ref="H31:I31"/>
    <mergeCell ref="B38:E38"/>
    <mergeCell ref="H38:I38"/>
    <mergeCell ref="H20:K20"/>
    <mergeCell ref="H25:I25"/>
    <mergeCell ref="G113:N113"/>
    <mergeCell ref="H103:K103"/>
    <mergeCell ref="B87:E87"/>
    <mergeCell ref="H87:M87"/>
    <mergeCell ref="B55:E55"/>
    <mergeCell ref="H55:I55"/>
    <mergeCell ref="H70:I70"/>
  </mergeCells>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V30"/>
  <sheetViews>
    <sheetView workbookViewId="0">
      <pane ySplit="1" topLeftCell="A2" activePane="bottomLeft" state="frozen"/>
      <selection activeCell="C33" sqref="C33"/>
      <selection pane="bottomLeft"/>
    </sheetView>
  </sheetViews>
  <sheetFormatPr defaultColWidth="9.21875" defaultRowHeight="14.4" x14ac:dyDescent="0.3"/>
  <cols>
    <col min="2" max="2" width="24.77734375" customWidth="1"/>
    <col min="3" max="3" width="36.44140625" bestFit="1" customWidth="1"/>
    <col min="4" max="4" width="32" bestFit="1" customWidth="1"/>
    <col min="5" max="6" width="10.21875" customWidth="1"/>
    <col min="15" max="21" width="12" customWidth="1"/>
  </cols>
  <sheetData>
    <row r="1" spans="1:22" ht="34.5" customHeight="1" thickBot="1" x14ac:dyDescent="0.35">
      <c r="A1" s="292" t="s">
        <v>1580</v>
      </c>
      <c r="B1" s="473" t="e" vm="1">
        <v>#VALUE!</v>
      </c>
      <c r="C1" s="8" t="s">
        <v>882</v>
      </c>
      <c r="D1" s="27"/>
      <c r="E1" s="16"/>
      <c r="F1" s="16"/>
      <c r="G1" s="16"/>
      <c r="H1" s="16"/>
      <c r="I1" s="16"/>
      <c r="J1" s="16"/>
      <c r="K1" s="19"/>
    </row>
    <row r="2" spans="1:22" ht="15" customHeight="1" x14ac:dyDescent="0.3">
      <c r="A2" s="18"/>
      <c r="B2" s="25"/>
      <c r="C2" s="25"/>
      <c r="D2" s="21"/>
      <c r="E2" s="21"/>
      <c r="F2" s="21"/>
      <c r="G2" s="21"/>
      <c r="H2" s="21"/>
      <c r="I2" s="21"/>
      <c r="J2" s="21"/>
      <c r="K2" s="20"/>
    </row>
    <row r="3" spans="1:22" x14ac:dyDescent="0.3">
      <c r="A3" s="18"/>
      <c r="B3" s="21"/>
      <c r="C3" s="21"/>
      <c r="D3" s="21"/>
      <c r="E3" s="21"/>
      <c r="F3" s="21"/>
      <c r="G3" s="21"/>
      <c r="H3" s="21"/>
      <c r="I3" s="21"/>
      <c r="J3" s="21"/>
      <c r="K3" s="20"/>
      <c r="M3" s="486" t="s">
        <v>3433</v>
      </c>
      <c r="N3" s="486"/>
      <c r="O3" s="486"/>
      <c r="P3" s="486"/>
      <c r="Q3" s="486"/>
      <c r="R3" s="486"/>
      <c r="S3" s="486"/>
      <c r="T3" s="486"/>
      <c r="U3" s="486"/>
      <c r="V3" s="486"/>
    </row>
    <row r="4" spans="1:22" x14ac:dyDescent="0.3">
      <c r="A4" s="18"/>
      <c r="B4" s="101" t="s">
        <v>889</v>
      </c>
      <c r="C4" s="21"/>
      <c r="D4" s="101" t="s">
        <v>3433</v>
      </c>
      <c r="E4" s="21"/>
      <c r="F4" s="21"/>
      <c r="G4" s="21"/>
      <c r="H4" s="21"/>
      <c r="I4" s="21"/>
      <c r="J4" s="21"/>
      <c r="K4" s="20"/>
      <c r="M4" s="487" t="s">
        <v>333</v>
      </c>
      <c r="N4" s="487"/>
      <c r="O4" s="487" t="s">
        <v>887</v>
      </c>
      <c r="P4" s="487"/>
      <c r="Q4" s="487"/>
      <c r="R4" s="487"/>
      <c r="S4" s="487"/>
      <c r="T4" s="487"/>
      <c r="U4" s="487"/>
      <c r="V4" s="487"/>
    </row>
    <row r="5" spans="1:22" x14ac:dyDescent="0.3">
      <c r="A5" s="18"/>
      <c r="B5" s="181" t="s">
        <v>890</v>
      </c>
      <c r="C5" s="21"/>
      <c r="D5" s="182" t="str">
        <f t="array" ref="D5:D7">B5:B7</f>
        <v>1) Do this thing for me</v>
      </c>
      <c r="E5" s="21"/>
      <c r="F5" s="21"/>
      <c r="G5" s="21"/>
      <c r="H5" s="21"/>
      <c r="I5" s="21"/>
      <c r="J5" s="21"/>
      <c r="K5" s="20"/>
      <c r="M5" s="487"/>
      <c r="N5" s="487"/>
      <c r="O5" s="487"/>
      <c r="P5" s="487"/>
      <c r="Q5" s="487"/>
      <c r="R5" s="487"/>
      <c r="S5" s="487"/>
      <c r="T5" s="487"/>
      <c r="U5" s="487"/>
      <c r="V5" s="487"/>
    </row>
    <row r="6" spans="1:22" x14ac:dyDescent="0.3">
      <c r="A6" s="18"/>
      <c r="B6" s="181" t="s">
        <v>891</v>
      </c>
      <c r="C6" s="21"/>
      <c r="D6" s="182" t="str">
        <v>2) Do that thing for him</v>
      </c>
      <c r="E6" s="21"/>
      <c r="F6" s="21"/>
      <c r="G6" s="21"/>
      <c r="H6" s="21"/>
      <c r="I6" s="21"/>
      <c r="J6" s="21"/>
      <c r="K6" s="20"/>
      <c r="M6" s="487"/>
      <c r="N6" s="487"/>
      <c r="O6" s="487"/>
      <c r="P6" s="487"/>
      <c r="Q6" s="487"/>
      <c r="R6" s="487"/>
      <c r="S6" s="487"/>
      <c r="T6" s="487"/>
      <c r="U6" s="487"/>
      <c r="V6" s="487"/>
    </row>
    <row r="7" spans="1:22" x14ac:dyDescent="0.3">
      <c r="A7" s="18"/>
      <c r="B7" s="181" t="s">
        <v>892</v>
      </c>
      <c r="C7" s="21"/>
      <c r="D7" s="182" t="str">
        <v>3) Do that other thing</v>
      </c>
      <c r="E7" s="21"/>
      <c r="F7" s="21"/>
      <c r="G7" s="21"/>
      <c r="H7" s="21"/>
      <c r="I7" s="21"/>
      <c r="J7" s="21"/>
      <c r="K7" s="20"/>
      <c r="M7" s="483" t="s">
        <v>323</v>
      </c>
      <c r="N7" s="483"/>
      <c r="O7" s="483" t="s">
        <v>1</v>
      </c>
      <c r="P7" s="483"/>
      <c r="Q7" s="483"/>
      <c r="R7" s="483"/>
      <c r="S7" s="483"/>
      <c r="T7" s="483"/>
      <c r="U7" s="483"/>
      <c r="V7" s="85" t="s">
        <v>324</v>
      </c>
    </row>
    <row r="8" spans="1:22" x14ac:dyDescent="0.3">
      <c r="A8" s="18"/>
      <c r="B8" s="21"/>
      <c r="C8" s="21"/>
      <c r="D8" s="117"/>
      <c r="E8" s="21"/>
      <c r="F8" s="21"/>
      <c r="G8" s="21"/>
      <c r="H8" s="21"/>
      <c r="I8" s="21"/>
      <c r="J8" s="21"/>
      <c r="K8" s="20"/>
      <c r="M8" s="487" t="s">
        <v>499</v>
      </c>
      <c r="N8" s="487"/>
      <c r="O8" s="487" t="s">
        <v>883</v>
      </c>
      <c r="P8" s="487"/>
      <c r="Q8" s="487"/>
      <c r="R8" s="487"/>
      <c r="S8" s="487"/>
      <c r="T8" s="487"/>
      <c r="U8" s="487"/>
      <c r="V8" s="509" t="s">
        <v>325</v>
      </c>
    </row>
    <row r="9" spans="1:22" x14ac:dyDescent="0.3">
      <c r="A9" s="18"/>
      <c r="B9" s="21"/>
      <c r="C9" s="21"/>
      <c r="D9" s="117"/>
      <c r="E9" s="21"/>
      <c r="F9" s="21"/>
      <c r="G9" s="21"/>
      <c r="H9" s="21"/>
      <c r="I9" s="21"/>
      <c r="J9" s="21"/>
      <c r="K9" s="20"/>
      <c r="M9" s="487"/>
      <c r="N9" s="487"/>
      <c r="O9" s="487"/>
      <c r="P9" s="487"/>
      <c r="Q9" s="487"/>
      <c r="R9" s="487"/>
      <c r="S9" s="487"/>
      <c r="T9" s="487"/>
      <c r="U9" s="487"/>
      <c r="V9" s="509"/>
    </row>
    <row r="10" spans="1:22" x14ac:dyDescent="0.3">
      <c r="A10" s="18"/>
      <c r="B10" s="21"/>
      <c r="C10" s="21"/>
      <c r="D10" s="101" t="s">
        <v>3433</v>
      </c>
      <c r="E10" s="21"/>
      <c r="F10" s="21"/>
      <c r="G10" s="21"/>
      <c r="H10" s="21"/>
      <c r="I10" s="21"/>
      <c r="J10" s="21"/>
      <c r="K10" s="20"/>
      <c r="M10" s="487"/>
      <c r="N10" s="487"/>
      <c r="O10" s="487"/>
      <c r="P10" s="487"/>
      <c r="Q10" s="487"/>
      <c r="R10" s="487"/>
      <c r="S10" s="487"/>
      <c r="T10" s="487"/>
      <c r="U10" s="487"/>
      <c r="V10" s="509"/>
    </row>
    <row r="11" spans="1:22" ht="28.8" x14ac:dyDescent="0.3">
      <c r="A11" s="18"/>
      <c r="B11" s="21"/>
      <c r="C11" s="21"/>
      <c r="D11" s="182" t="str">
        <f t="array" ref="D11:D13">_xll.U.ADD_NEWLINES(B5:B7)</f>
        <v xml:space="preserve">1) Do this thing for me_x000D_
</v>
      </c>
      <c r="E11" s="21"/>
      <c r="F11" s="21"/>
      <c r="G11" s="21"/>
      <c r="H11" s="21"/>
      <c r="I11" s="21"/>
      <c r="J11" s="21"/>
      <c r="K11" s="20"/>
      <c r="M11" s="484" t="s">
        <v>884</v>
      </c>
      <c r="N11" s="484"/>
      <c r="O11" s="484" t="s">
        <v>1160</v>
      </c>
      <c r="P11" s="484"/>
      <c r="Q11" s="484"/>
      <c r="R11" s="484"/>
      <c r="S11" s="484"/>
      <c r="T11" s="484"/>
      <c r="U11" s="484"/>
      <c r="V11" s="485" t="s">
        <v>326</v>
      </c>
    </row>
    <row r="12" spans="1:22" ht="28.8" x14ac:dyDescent="0.3">
      <c r="A12" s="18"/>
      <c r="B12" s="21"/>
      <c r="C12" s="21"/>
      <c r="D12" s="182" t="str">
        <v xml:space="preserve">2) Do that thing for him_x000D_
</v>
      </c>
      <c r="E12" s="21"/>
      <c r="F12" s="21"/>
      <c r="G12" s="21"/>
      <c r="H12" s="21"/>
      <c r="I12" s="21"/>
      <c r="J12" s="21"/>
      <c r="K12" s="20"/>
      <c r="M12" s="484"/>
      <c r="N12" s="484"/>
      <c r="O12" s="484"/>
      <c r="P12" s="484"/>
      <c r="Q12" s="484"/>
      <c r="R12" s="484"/>
      <c r="S12" s="484"/>
      <c r="T12" s="484"/>
      <c r="U12" s="484"/>
      <c r="V12" s="485"/>
    </row>
    <row r="13" spans="1:22" ht="28.8" x14ac:dyDescent="0.3">
      <c r="A13" s="18"/>
      <c r="B13" s="117"/>
      <c r="C13" s="21"/>
      <c r="D13" s="182" t="str">
        <v xml:space="preserve">3) Do that other thing_x000D_
</v>
      </c>
      <c r="E13" s="21"/>
      <c r="F13" s="21"/>
      <c r="G13" s="21"/>
      <c r="H13" s="21"/>
      <c r="I13" s="21"/>
      <c r="J13" s="21"/>
      <c r="K13" s="20"/>
      <c r="M13" s="484"/>
      <c r="N13" s="484"/>
      <c r="O13" s="484"/>
      <c r="P13" s="484"/>
      <c r="Q13" s="484"/>
      <c r="R13" s="484"/>
      <c r="S13" s="484"/>
      <c r="T13" s="484"/>
      <c r="U13" s="484"/>
      <c r="V13" s="485"/>
    </row>
    <row r="14" spans="1:22" x14ac:dyDescent="0.3">
      <c r="A14" s="18"/>
      <c r="B14" s="117"/>
      <c r="C14" s="21"/>
      <c r="D14" s="123"/>
      <c r="E14" s="21"/>
      <c r="F14" s="21"/>
      <c r="G14" s="21"/>
      <c r="H14" s="21"/>
      <c r="I14" s="21"/>
      <c r="J14" s="21"/>
      <c r="K14" s="20"/>
      <c r="M14" s="484" t="s">
        <v>885</v>
      </c>
      <c r="N14" s="484"/>
      <c r="O14" s="484" t="s">
        <v>1159</v>
      </c>
      <c r="P14" s="484"/>
      <c r="Q14" s="484"/>
      <c r="R14" s="484"/>
      <c r="S14" s="484"/>
      <c r="T14" s="484"/>
      <c r="U14" s="484"/>
      <c r="V14" s="485" t="s">
        <v>326</v>
      </c>
    </row>
    <row r="15" spans="1:22" x14ac:dyDescent="0.3">
      <c r="A15" s="18"/>
      <c r="B15" s="117"/>
      <c r="C15" s="21"/>
      <c r="D15" s="21"/>
      <c r="E15" s="21"/>
      <c r="F15" s="21"/>
      <c r="G15" s="21"/>
      <c r="H15" s="21"/>
      <c r="I15" s="21"/>
      <c r="J15" s="21"/>
      <c r="K15" s="20"/>
      <c r="M15" s="484"/>
      <c r="N15" s="484"/>
      <c r="O15" s="484"/>
      <c r="P15" s="484"/>
      <c r="Q15" s="484"/>
      <c r="R15" s="484"/>
      <c r="S15" s="484"/>
      <c r="T15" s="484"/>
      <c r="U15" s="484"/>
      <c r="V15" s="485"/>
    </row>
    <row r="16" spans="1:22" x14ac:dyDescent="0.3">
      <c r="A16" s="18"/>
      <c r="B16" s="117"/>
      <c r="C16" s="21"/>
      <c r="D16" s="21"/>
      <c r="E16" s="21"/>
      <c r="F16" s="21"/>
      <c r="G16" s="21"/>
      <c r="H16" s="21"/>
      <c r="I16" s="21"/>
      <c r="J16" s="21"/>
      <c r="K16" s="20"/>
      <c r="M16" s="484"/>
      <c r="N16" s="484"/>
      <c r="O16" s="484"/>
      <c r="P16" s="484"/>
      <c r="Q16" s="484"/>
      <c r="R16" s="484"/>
      <c r="S16" s="484"/>
      <c r="T16" s="484"/>
      <c r="U16" s="484"/>
      <c r="V16" s="485"/>
    </row>
    <row r="17" spans="1:22" x14ac:dyDescent="0.3">
      <c r="A17" s="18"/>
      <c r="B17" s="117"/>
      <c r="C17" s="21"/>
      <c r="D17" s="21"/>
      <c r="E17" s="21"/>
      <c r="F17" s="21"/>
      <c r="G17" s="21"/>
      <c r="H17" s="21"/>
      <c r="I17" s="21"/>
      <c r="J17" s="21"/>
      <c r="K17" s="20"/>
      <c r="M17" s="484" t="s">
        <v>886</v>
      </c>
      <c r="N17" s="484"/>
      <c r="O17" s="484" t="s">
        <v>888</v>
      </c>
      <c r="P17" s="484"/>
      <c r="Q17" s="484"/>
      <c r="R17" s="484"/>
      <c r="S17" s="484"/>
      <c r="T17" s="484"/>
      <c r="U17" s="484"/>
      <c r="V17" s="485" t="s">
        <v>326</v>
      </c>
    </row>
    <row r="18" spans="1:22" x14ac:dyDescent="0.3">
      <c r="A18" s="18"/>
      <c r="B18" s="117"/>
      <c r="C18" s="21"/>
      <c r="D18" s="21"/>
      <c r="E18" s="21"/>
      <c r="F18" s="21"/>
      <c r="G18" s="21"/>
      <c r="H18" s="21"/>
      <c r="I18" s="21"/>
      <c r="J18" s="21"/>
      <c r="K18" s="20"/>
      <c r="M18" s="484"/>
      <c r="N18" s="484"/>
      <c r="O18" s="484"/>
      <c r="P18" s="484"/>
      <c r="Q18" s="484"/>
      <c r="R18" s="484"/>
      <c r="S18" s="484"/>
      <c r="T18" s="484"/>
      <c r="U18" s="484"/>
      <c r="V18" s="485"/>
    </row>
    <row r="19" spans="1:22" x14ac:dyDescent="0.3">
      <c r="A19" s="18"/>
      <c r="B19" s="117"/>
      <c r="C19" s="21"/>
      <c r="D19" s="21"/>
      <c r="E19" s="21"/>
      <c r="F19" s="21"/>
      <c r="G19" s="21"/>
      <c r="H19" s="21"/>
      <c r="I19" s="21"/>
      <c r="J19" s="21"/>
      <c r="K19" s="20"/>
      <c r="M19" s="484"/>
      <c r="N19" s="484"/>
      <c r="O19" s="484"/>
      <c r="P19" s="484"/>
      <c r="Q19" s="484"/>
      <c r="R19" s="484"/>
      <c r="S19" s="484"/>
      <c r="T19" s="484"/>
      <c r="U19" s="484"/>
      <c r="V19" s="485"/>
    </row>
    <row r="20" spans="1:22" x14ac:dyDescent="0.3">
      <c r="A20" s="18"/>
      <c r="B20" s="117"/>
      <c r="C20" s="21"/>
      <c r="D20" s="21"/>
      <c r="E20" s="21"/>
      <c r="F20" s="21"/>
      <c r="G20" s="21"/>
      <c r="H20" s="21"/>
      <c r="I20" s="21"/>
      <c r="J20" s="21"/>
      <c r="K20" s="20"/>
      <c r="M20" s="126" t="s">
        <v>328</v>
      </c>
    </row>
    <row r="21" spans="1:22" x14ac:dyDescent="0.3">
      <c r="A21" s="18"/>
      <c r="B21" s="117"/>
      <c r="C21" s="21"/>
      <c r="D21" s="21"/>
      <c r="E21" s="21"/>
      <c r="F21" s="21"/>
      <c r="G21" s="21"/>
      <c r="H21" s="21"/>
      <c r="I21" s="21"/>
      <c r="J21" s="21"/>
      <c r="K21" s="20"/>
    </row>
    <row r="22" spans="1:22" x14ac:dyDescent="0.3">
      <c r="A22" s="18"/>
      <c r="B22" s="117"/>
      <c r="C22" s="21"/>
      <c r="D22" s="21"/>
      <c r="E22" s="21"/>
      <c r="F22" s="21"/>
      <c r="G22" s="21"/>
      <c r="H22" s="21"/>
      <c r="I22" s="21"/>
      <c r="J22" s="21"/>
      <c r="K22" s="20"/>
    </row>
    <row r="23" spans="1:22" x14ac:dyDescent="0.3">
      <c r="A23" s="18"/>
      <c r="B23" s="117"/>
      <c r="C23" s="21"/>
      <c r="D23" s="21"/>
      <c r="E23" s="21"/>
      <c r="F23" s="21"/>
      <c r="G23" s="21"/>
      <c r="H23" s="21"/>
      <c r="I23" s="21"/>
      <c r="J23" s="21"/>
      <c r="K23" s="20"/>
    </row>
    <row r="24" spans="1:22" x14ac:dyDescent="0.3">
      <c r="A24" s="18"/>
      <c r="B24" s="117"/>
      <c r="C24" s="21"/>
      <c r="D24" s="21"/>
      <c r="E24" s="21"/>
      <c r="F24" s="21"/>
      <c r="G24" s="21"/>
      <c r="H24" s="21"/>
      <c r="I24" s="21"/>
      <c r="J24" s="21"/>
      <c r="K24" s="20"/>
    </row>
    <row r="25" spans="1:22" x14ac:dyDescent="0.3">
      <c r="A25" s="18"/>
      <c r="B25" s="117"/>
      <c r="C25" s="21"/>
      <c r="D25" s="21"/>
      <c r="E25" s="21"/>
      <c r="F25" s="21"/>
      <c r="G25" s="21"/>
      <c r="H25" s="21"/>
      <c r="I25" s="21"/>
      <c r="J25" s="21"/>
      <c r="K25" s="20"/>
    </row>
    <row r="26" spans="1:22" x14ac:dyDescent="0.3">
      <c r="A26" s="18"/>
      <c r="B26" s="117"/>
      <c r="C26" s="117"/>
      <c r="D26" s="117"/>
      <c r="E26" s="117"/>
      <c r="F26" s="117"/>
      <c r="G26" s="117"/>
      <c r="H26" s="117"/>
      <c r="I26" s="21"/>
      <c r="J26" s="21"/>
      <c r="K26" s="20"/>
    </row>
    <row r="27" spans="1:22" x14ac:dyDescent="0.3">
      <c r="A27" s="18"/>
      <c r="B27" s="117"/>
      <c r="C27" s="21"/>
      <c r="D27" s="123"/>
      <c r="E27" s="21"/>
      <c r="F27" s="21"/>
      <c r="G27" s="21"/>
      <c r="H27" s="21"/>
      <c r="I27" s="21"/>
      <c r="J27" s="21"/>
      <c r="K27" s="20"/>
    </row>
    <row r="28" spans="1:22" x14ac:dyDescent="0.3">
      <c r="A28" s="18"/>
      <c r="B28" s="117"/>
      <c r="C28" s="21"/>
      <c r="D28" s="123"/>
      <c r="E28" s="21"/>
      <c r="F28" s="21"/>
      <c r="G28" s="21"/>
      <c r="H28" s="21"/>
      <c r="I28" s="21"/>
      <c r="J28" s="21"/>
      <c r="K28" s="20"/>
    </row>
    <row r="29" spans="1:22" x14ac:dyDescent="0.3">
      <c r="A29" s="18"/>
      <c r="B29" s="117"/>
      <c r="C29" s="21"/>
      <c r="D29" s="123"/>
      <c r="E29" s="21"/>
      <c r="F29" s="21"/>
      <c r="G29" s="21"/>
      <c r="H29" s="21"/>
      <c r="I29" s="21"/>
      <c r="J29" s="21"/>
      <c r="K29" s="20"/>
    </row>
    <row r="30" spans="1:22" ht="15" thickBot="1" x14ac:dyDescent="0.35">
      <c r="A30" s="22"/>
      <c r="B30" s="23"/>
      <c r="C30" s="23"/>
      <c r="D30" s="23"/>
      <c r="E30" s="23"/>
      <c r="F30" s="23"/>
      <c r="G30" s="23"/>
      <c r="H30" s="23"/>
      <c r="I30" s="23"/>
      <c r="J30" s="23"/>
      <c r="K30" s="24"/>
    </row>
  </sheetData>
  <mergeCells count="17">
    <mergeCell ref="M17:N19"/>
    <mergeCell ref="O17:U19"/>
    <mergeCell ref="V17:V19"/>
    <mergeCell ref="M11:N13"/>
    <mergeCell ref="O11:U13"/>
    <mergeCell ref="V11:V13"/>
    <mergeCell ref="M14:N16"/>
    <mergeCell ref="O14:U16"/>
    <mergeCell ref="V14:V16"/>
    <mergeCell ref="M8:N10"/>
    <mergeCell ref="O8:U10"/>
    <mergeCell ref="V8:V10"/>
    <mergeCell ref="M3:V3"/>
    <mergeCell ref="M4:N6"/>
    <mergeCell ref="O4:V6"/>
    <mergeCell ref="M7:N7"/>
    <mergeCell ref="O7:U7"/>
  </mergeCells>
  <pageMargins left="0.7" right="0.7" top="0.75" bottom="0.75" header="0.3" footer="0.3"/>
  <pageSetup orientation="portrait" verticalDpi="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3944-25C3-4C02-B3F4-8CD2CB3360A1}">
  <sheetPr codeName="Sheet26"/>
  <dimension ref="A1:V96"/>
  <sheetViews>
    <sheetView workbookViewId="0">
      <pane ySplit="1" topLeftCell="A2" activePane="bottomLeft" state="frozen"/>
      <selection pane="bottomLeft" activeCell="A2" sqref="A2"/>
    </sheetView>
  </sheetViews>
  <sheetFormatPr defaultColWidth="9.21875" defaultRowHeight="14.4" x14ac:dyDescent="0.3"/>
  <cols>
    <col min="2" max="2" width="24.77734375" customWidth="1"/>
    <col min="3" max="3" width="36.44140625" bestFit="1" customWidth="1"/>
    <col min="4" max="4" width="9" customWidth="1"/>
    <col min="5" max="5" width="23.77734375" customWidth="1"/>
    <col min="6" max="11" width="16" customWidth="1"/>
    <col min="15" max="21" width="12" customWidth="1"/>
  </cols>
  <sheetData>
    <row r="1" spans="1:22" ht="34.5" customHeight="1" thickBot="1" x14ac:dyDescent="0.35">
      <c r="A1" s="292" t="s">
        <v>1580</v>
      </c>
      <c r="B1" s="473" t="e" vm="1">
        <v>#VALUE!</v>
      </c>
      <c r="C1" s="8" t="s">
        <v>2984</v>
      </c>
      <c r="D1" s="27"/>
      <c r="E1" s="16"/>
      <c r="F1" s="16"/>
      <c r="G1" s="16"/>
      <c r="H1" s="16"/>
      <c r="I1" s="16"/>
      <c r="J1" s="16"/>
      <c r="K1" s="19"/>
    </row>
    <row r="2" spans="1:22" ht="15" customHeight="1" x14ac:dyDescent="0.3">
      <c r="A2" s="18"/>
      <c r="B2" s="25"/>
      <c r="C2" s="25"/>
      <c r="D2" s="21"/>
      <c r="E2" s="21"/>
      <c r="F2" s="21"/>
      <c r="G2" s="21"/>
      <c r="H2" s="21"/>
      <c r="I2" s="21"/>
      <c r="J2" s="21"/>
      <c r="K2" s="20"/>
    </row>
    <row r="3" spans="1:22" x14ac:dyDescent="0.3">
      <c r="A3" s="18"/>
      <c r="B3" s="21"/>
      <c r="C3" s="21"/>
      <c r="D3" s="21"/>
      <c r="E3" s="21"/>
      <c r="F3" s="21"/>
      <c r="G3" s="21"/>
      <c r="H3" s="21"/>
      <c r="I3" s="21"/>
      <c r="J3" s="21"/>
      <c r="K3" s="20"/>
      <c r="M3" s="486" t="s">
        <v>3434</v>
      </c>
      <c r="N3" s="486"/>
      <c r="O3" s="486"/>
      <c r="P3" s="486"/>
      <c r="Q3" s="486"/>
      <c r="R3" s="486"/>
      <c r="S3" s="486"/>
      <c r="T3" s="486"/>
      <c r="U3" s="486"/>
      <c r="V3" s="486"/>
    </row>
    <row r="4" spans="1:22" x14ac:dyDescent="0.3">
      <c r="A4" s="18"/>
      <c r="B4" s="442" t="s">
        <v>2985</v>
      </c>
      <c r="C4" s="21"/>
      <c r="D4" s="21"/>
      <c r="E4" s="101" t="s">
        <v>3434</v>
      </c>
      <c r="F4" s="21"/>
      <c r="G4" s="21"/>
      <c r="H4" s="21"/>
      <c r="I4" s="21"/>
      <c r="J4" s="21"/>
      <c r="K4" s="20"/>
      <c r="M4" s="487" t="s">
        <v>333</v>
      </c>
      <c r="N4" s="487"/>
      <c r="O4" s="487" t="s">
        <v>2982</v>
      </c>
      <c r="P4" s="487"/>
      <c r="Q4" s="487"/>
      <c r="R4" s="487"/>
      <c r="S4" s="487"/>
      <c r="T4" s="487"/>
      <c r="U4" s="487"/>
      <c r="V4" s="487"/>
    </row>
    <row r="5" spans="1:22" x14ac:dyDescent="0.3">
      <c r="A5" s="18"/>
      <c r="B5" s="21"/>
      <c r="C5" s="21"/>
      <c r="D5" s="21"/>
      <c r="E5" s="30" t="str" cm="1">
        <f t="array" ref="E5">_xll.U.FORMAT_RANGE(B4,B8:C11)</f>
        <v>Cell [U_UsageExamples.xlsx]FORMAT_RANGE!B4 format updated</v>
      </c>
      <c r="F5" s="21"/>
      <c r="G5" s="21"/>
      <c r="H5" s="21"/>
      <c r="I5" s="21"/>
      <c r="J5" s="21"/>
      <c r="K5" s="20"/>
      <c r="M5" s="487"/>
      <c r="N5" s="487"/>
      <c r="O5" s="487"/>
      <c r="P5" s="487"/>
      <c r="Q5" s="487"/>
      <c r="R5" s="487"/>
      <c r="S5" s="487"/>
      <c r="T5" s="487"/>
      <c r="U5" s="487"/>
      <c r="V5" s="487"/>
    </row>
    <row r="6" spans="1:22" x14ac:dyDescent="0.3">
      <c r="A6" s="18"/>
      <c r="C6" s="21"/>
      <c r="D6" s="21"/>
      <c r="E6" s="117"/>
      <c r="F6" s="21"/>
      <c r="G6" s="21"/>
      <c r="H6" s="21"/>
      <c r="I6" s="21"/>
      <c r="J6" s="21"/>
      <c r="K6" s="20"/>
      <c r="M6" s="487"/>
      <c r="N6" s="487"/>
      <c r="O6" s="487"/>
      <c r="P6" s="487"/>
      <c r="Q6" s="487"/>
      <c r="R6" s="487"/>
      <c r="S6" s="487"/>
      <c r="T6" s="487"/>
      <c r="U6" s="487"/>
      <c r="V6" s="487"/>
    </row>
    <row r="7" spans="1:22" ht="15" customHeight="1" x14ac:dyDescent="0.3">
      <c r="A7" s="18"/>
      <c r="B7" s="3" t="s">
        <v>2161</v>
      </c>
      <c r="C7" s="3" t="s">
        <v>17</v>
      </c>
      <c r="D7" s="21"/>
      <c r="E7" s="117"/>
      <c r="F7" s="21"/>
      <c r="G7" s="21"/>
      <c r="H7" s="21"/>
      <c r="I7" s="21"/>
      <c r="J7" s="21"/>
      <c r="K7" s="20"/>
      <c r="M7" s="483" t="s">
        <v>323</v>
      </c>
      <c r="N7" s="483"/>
      <c r="O7" s="483" t="s">
        <v>1</v>
      </c>
      <c r="P7" s="483"/>
      <c r="Q7" s="483"/>
      <c r="R7" s="483"/>
      <c r="S7" s="483"/>
      <c r="T7" s="483"/>
      <c r="U7" s="483"/>
      <c r="V7" s="85" t="s">
        <v>324</v>
      </c>
    </row>
    <row r="8" spans="1:22" ht="15" customHeight="1" x14ac:dyDescent="0.3">
      <c r="A8" s="18"/>
      <c r="B8" s="181" t="s">
        <v>2858</v>
      </c>
      <c r="C8" s="181" t="s">
        <v>2694</v>
      </c>
      <c r="D8" s="21"/>
      <c r="E8" s="117"/>
      <c r="F8" s="21"/>
      <c r="G8" s="21"/>
      <c r="H8" s="21"/>
      <c r="I8" s="21"/>
      <c r="J8" s="21"/>
      <c r="K8" s="20"/>
      <c r="M8" s="487" t="s">
        <v>458</v>
      </c>
      <c r="N8" s="487"/>
      <c r="O8" s="487" t="s">
        <v>3074</v>
      </c>
      <c r="P8" s="487"/>
      <c r="Q8" s="487"/>
      <c r="R8" s="487"/>
      <c r="S8" s="487"/>
      <c r="T8" s="487"/>
      <c r="U8" s="487"/>
      <c r="V8" s="509" t="s">
        <v>325</v>
      </c>
    </row>
    <row r="9" spans="1:22" ht="15" customHeight="1" x14ac:dyDescent="0.3">
      <c r="A9" s="18"/>
      <c r="B9" s="181" t="s">
        <v>2925</v>
      </c>
      <c r="C9" s="181" t="s">
        <v>2878</v>
      </c>
      <c r="D9" s="21"/>
      <c r="E9" s="117"/>
      <c r="F9" s="21"/>
      <c r="G9" s="21"/>
      <c r="H9" s="21"/>
      <c r="I9" s="21"/>
      <c r="J9" s="21"/>
      <c r="K9" s="20"/>
      <c r="M9" s="487"/>
      <c r="N9" s="487"/>
      <c r="O9" s="487"/>
      <c r="P9" s="487"/>
      <c r="Q9" s="487"/>
      <c r="R9" s="487"/>
      <c r="S9" s="487"/>
      <c r="T9" s="487"/>
      <c r="U9" s="487"/>
      <c r="V9" s="509"/>
    </row>
    <row r="10" spans="1:22" ht="15" customHeight="1" x14ac:dyDescent="0.3">
      <c r="A10" s="18"/>
      <c r="B10" s="181" t="s">
        <v>2867</v>
      </c>
      <c r="C10" s="181" t="s">
        <v>3031</v>
      </c>
      <c r="D10" s="21"/>
      <c r="E10" s="21"/>
      <c r="F10" s="21"/>
      <c r="G10" s="21"/>
      <c r="H10" s="21"/>
      <c r="I10" s="21"/>
      <c r="J10" s="21"/>
      <c r="K10" s="20"/>
      <c r="M10" s="487"/>
      <c r="N10" s="487"/>
      <c r="O10" s="487"/>
      <c r="P10" s="487"/>
      <c r="Q10" s="487"/>
      <c r="R10" s="487"/>
      <c r="S10" s="487"/>
      <c r="T10" s="487"/>
      <c r="U10" s="487"/>
      <c r="V10" s="509"/>
    </row>
    <row r="11" spans="1:22" ht="15" customHeight="1" x14ac:dyDescent="0.3">
      <c r="A11" s="18"/>
      <c r="B11" s="181" t="s">
        <v>3032</v>
      </c>
      <c r="C11" s="181" t="s">
        <v>3033</v>
      </c>
      <c r="D11" s="21"/>
      <c r="E11" s="21"/>
      <c r="F11" s="21"/>
      <c r="G11" s="21"/>
      <c r="H11" s="21"/>
      <c r="I11" s="21"/>
      <c r="J11" s="21"/>
      <c r="K11" s="20"/>
      <c r="M11" s="487" t="s">
        <v>504</v>
      </c>
      <c r="N11" s="487"/>
      <c r="O11" s="487" t="s">
        <v>2900</v>
      </c>
      <c r="P11" s="487"/>
      <c r="Q11" s="487"/>
      <c r="R11" s="487"/>
      <c r="S11" s="487"/>
      <c r="T11" s="487"/>
      <c r="U11" s="487"/>
      <c r="V11" s="509" t="s">
        <v>325</v>
      </c>
    </row>
    <row r="12" spans="1:22" ht="15" customHeight="1" x14ac:dyDescent="0.3">
      <c r="A12" s="18"/>
      <c r="B12" s="21"/>
      <c r="C12" s="21"/>
      <c r="D12" s="21"/>
      <c r="E12" s="21"/>
      <c r="F12" s="21"/>
      <c r="G12" s="21"/>
      <c r="H12" s="21"/>
      <c r="I12" s="21"/>
      <c r="J12" s="21"/>
      <c r="K12" s="20"/>
      <c r="M12" s="487"/>
      <c r="N12" s="487"/>
      <c r="O12" s="487"/>
      <c r="P12" s="487"/>
      <c r="Q12" s="487"/>
      <c r="R12" s="487"/>
      <c r="S12" s="487"/>
      <c r="T12" s="487"/>
      <c r="U12" s="487"/>
      <c r="V12" s="509"/>
    </row>
    <row r="13" spans="1:22" ht="15" customHeight="1" x14ac:dyDescent="0.3">
      <c r="A13" s="18"/>
      <c r="B13" s="117"/>
      <c r="C13" s="21"/>
      <c r="D13" s="21"/>
      <c r="E13" s="21"/>
      <c r="F13" s="21"/>
      <c r="G13" s="21"/>
      <c r="H13" s="21"/>
      <c r="I13" s="21"/>
      <c r="J13" s="21"/>
      <c r="K13" s="20"/>
      <c r="M13" s="487"/>
      <c r="N13" s="487"/>
      <c r="O13" s="487"/>
      <c r="P13" s="487"/>
      <c r="Q13" s="487"/>
      <c r="R13" s="487"/>
      <c r="S13" s="487"/>
      <c r="T13" s="487"/>
      <c r="U13" s="487"/>
      <c r="V13" s="509"/>
    </row>
    <row r="14" spans="1:22" ht="15" customHeight="1" x14ac:dyDescent="0.3">
      <c r="A14" s="18"/>
      <c r="B14" s="117"/>
      <c r="C14" s="21"/>
      <c r="D14" s="21"/>
      <c r="E14" s="21"/>
      <c r="F14" s="21"/>
      <c r="G14" s="21"/>
      <c r="H14" s="21"/>
      <c r="I14" s="21"/>
      <c r="J14" s="21"/>
      <c r="K14" s="20"/>
      <c r="M14" s="484" t="s">
        <v>894</v>
      </c>
      <c r="N14" s="484"/>
      <c r="O14" s="484" t="s">
        <v>3036</v>
      </c>
      <c r="P14" s="484"/>
      <c r="Q14" s="484"/>
      <c r="R14" s="484"/>
      <c r="S14" s="484"/>
      <c r="T14" s="484"/>
      <c r="U14" s="484"/>
      <c r="V14" s="485" t="s">
        <v>326</v>
      </c>
    </row>
    <row r="15" spans="1:22" x14ac:dyDescent="0.3">
      <c r="A15" s="18"/>
      <c r="B15" s="117"/>
      <c r="C15" s="21"/>
      <c r="D15" s="21"/>
      <c r="E15" s="21"/>
      <c r="F15" s="21"/>
      <c r="G15" s="21"/>
      <c r="H15" s="21"/>
      <c r="I15" s="21"/>
      <c r="J15" s="21"/>
      <c r="K15" s="20"/>
      <c r="M15" s="484"/>
      <c r="N15" s="484"/>
      <c r="O15" s="484"/>
      <c r="P15" s="484"/>
      <c r="Q15" s="484"/>
      <c r="R15" s="484"/>
      <c r="S15" s="484"/>
      <c r="T15" s="484"/>
      <c r="U15" s="484"/>
      <c r="V15" s="485"/>
    </row>
    <row r="16" spans="1:22" x14ac:dyDescent="0.3">
      <c r="A16" s="18"/>
      <c r="B16" s="117"/>
      <c r="C16" s="21"/>
      <c r="D16" s="21"/>
      <c r="E16" s="21"/>
      <c r="F16" s="21"/>
      <c r="G16" s="21"/>
      <c r="H16" s="21"/>
      <c r="I16" s="21"/>
      <c r="J16" s="21"/>
      <c r="K16" s="20"/>
      <c r="M16" s="484"/>
      <c r="N16" s="484"/>
      <c r="O16" s="484"/>
      <c r="P16" s="484"/>
      <c r="Q16" s="484"/>
      <c r="R16" s="484"/>
      <c r="S16" s="484"/>
      <c r="T16" s="484"/>
      <c r="U16" s="484"/>
      <c r="V16" s="485"/>
    </row>
    <row r="17" spans="1:22" ht="15" customHeight="1" x14ac:dyDescent="0.3">
      <c r="A17" s="18"/>
      <c r="B17" s="443" t="s">
        <v>3043</v>
      </c>
      <c r="C17" s="21"/>
      <c r="D17" s="21"/>
      <c r="E17" s="101" t="s">
        <v>3434</v>
      </c>
      <c r="F17" s="21"/>
      <c r="G17" s="21"/>
      <c r="H17" s="21"/>
      <c r="I17" s="21"/>
      <c r="J17" s="21"/>
      <c r="K17" s="20"/>
      <c r="M17" s="484" t="s">
        <v>2299</v>
      </c>
      <c r="N17" s="484"/>
      <c r="O17" s="496" t="s">
        <v>3088</v>
      </c>
      <c r="P17" s="502"/>
      <c r="Q17" s="502"/>
      <c r="R17" s="502"/>
      <c r="S17" s="502"/>
      <c r="T17" s="502"/>
      <c r="U17" s="497"/>
      <c r="V17" s="485" t="s">
        <v>326</v>
      </c>
    </row>
    <row r="18" spans="1:22" x14ac:dyDescent="0.3">
      <c r="A18" s="18"/>
      <c r="B18" s="117"/>
      <c r="C18" s="21"/>
      <c r="D18" s="21"/>
      <c r="E18" s="30" t="str" cm="1">
        <f t="array" ref="E18">_xll.U.FORMAT_RANGE(B17,B21:C23)</f>
        <v>Cell [U_UsageExamples.xlsx]FORMAT_RANGE!B17 format updated</v>
      </c>
      <c r="F18" s="21"/>
      <c r="G18" s="21"/>
      <c r="H18" s="21"/>
      <c r="I18" s="21"/>
      <c r="J18" s="21"/>
      <c r="K18" s="20"/>
      <c r="M18" s="484"/>
      <c r="N18" s="484"/>
      <c r="O18" s="498"/>
      <c r="P18" s="503"/>
      <c r="Q18" s="503"/>
      <c r="R18" s="503"/>
      <c r="S18" s="503"/>
      <c r="T18" s="503"/>
      <c r="U18" s="499"/>
      <c r="V18" s="485"/>
    </row>
    <row r="19" spans="1:22" x14ac:dyDescent="0.3">
      <c r="A19" s="18"/>
      <c r="B19" s="117"/>
      <c r="C19" s="21"/>
      <c r="D19" s="21"/>
      <c r="E19" s="21"/>
      <c r="F19" s="21"/>
      <c r="G19" s="21"/>
      <c r="H19" s="21"/>
      <c r="I19" s="21"/>
      <c r="J19" s="21"/>
      <c r="K19" s="20"/>
      <c r="M19" s="484"/>
      <c r="N19" s="484"/>
      <c r="O19" s="500"/>
      <c r="P19" s="504"/>
      <c r="Q19" s="504"/>
      <c r="R19" s="504"/>
      <c r="S19" s="504"/>
      <c r="T19" s="504"/>
      <c r="U19" s="501"/>
      <c r="V19" s="485"/>
    </row>
    <row r="20" spans="1:22" x14ac:dyDescent="0.3">
      <c r="A20" s="18"/>
      <c r="B20" s="3" t="s">
        <v>2161</v>
      </c>
      <c r="C20" s="3" t="s">
        <v>17</v>
      </c>
      <c r="D20" s="21"/>
      <c r="E20" s="21"/>
      <c r="F20" s="21"/>
      <c r="G20" s="21"/>
      <c r="H20" s="21"/>
      <c r="I20" s="21"/>
      <c r="J20" s="21"/>
      <c r="K20" s="20"/>
      <c r="M20" s="126" t="s">
        <v>328</v>
      </c>
    </row>
    <row r="21" spans="1:22" x14ac:dyDescent="0.3">
      <c r="A21" s="18"/>
      <c r="B21" s="181" t="s">
        <v>3039</v>
      </c>
      <c r="C21" s="181" t="s">
        <v>3038</v>
      </c>
      <c r="D21" s="21"/>
      <c r="E21" s="21"/>
      <c r="F21" s="21"/>
      <c r="G21" s="21"/>
      <c r="H21" s="21"/>
      <c r="I21" s="21"/>
      <c r="J21" s="21"/>
      <c r="K21" s="20"/>
    </row>
    <row r="22" spans="1:22" x14ac:dyDescent="0.3">
      <c r="A22" s="18"/>
      <c r="B22" s="181" t="s">
        <v>3037</v>
      </c>
      <c r="C22" s="181" t="s">
        <v>3040</v>
      </c>
      <c r="D22" s="21"/>
      <c r="E22" s="21"/>
      <c r="F22" s="21"/>
      <c r="G22" s="21"/>
      <c r="H22" s="21"/>
      <c r="I22" s="21"/>
      <c r="J22" s="21"/>
      <c r="K22" s="20"/>
    </row>
    <row r="23" spans="1:22" x14ac:dyDescent="0.3">
      <c r="A23" s="18"/>
      <c r="B23" s="181" t="s">
        <v>3041</v>
      </c>
      <c r="C23" s="181" t="s">
        <v>3042</v>
      </c>
      <c r="D23" s="21"/>
      <c r="E23" s="21"/>
      <c r="F23" s="21"/>
      <c r="G23" s="21"/>
      <c r="H23" s="21"/>
      <c r="I23" s="21"/>
      <c r="J23" s="21"/>
      <c r="K23" s="20"/>
    </row>
    <row r="24" spans="1:22" x14ac:dyDescent="0.3">
      <c r="A24" s="18"/>
      <c r="B24" s="117"/>
      <c r="C24" s="21"/>
      <c r="D24" s="21"/>
      <c r="E24" s="21"/>
      <c r="F24" s="21"/>
      <c r="G24" s="21"/>
      <c r="H24" s="21"/>
      <c r="I24" s="21"/>
      <c r="J24" s="21"/>
      <c r="K24" s="20"/>
    </row>
    <row r="25" spans="1:22" x14ac:dyDescent="0.3">
      <c r="A25" s="18"/>
      <c r="B25" s="117"/>
      <c r="C25" s="21"/>
      <c r="D25" s="21"/>
      <c r="E25" s="21"/>
      <c r="F25" s="21"/>
      <c r="G25" s="21"/>
      <c r="H25" s="21"/>
      <c r="I25" s="21"/>
      <c r="J25" s="21"/>
      <c r="K25" s="20"/>
    </row>
    <row r="26" spans="1:22" x14ac:dyDescent="0.3">
      <c r="A26" s="18"/>
      <c r="B26" s="117"/>
      <c r="C26" s="117"/>
      <c r="D26" s="117"/>
      <c r="E26" s="117"/>
      <c r="F26" s="117"/>
      <c r="G26" s="117"/>
      <c r="H26" s="117"/>
      <c r="I26" s="21"/>
      <c r="J26" s="21"/>
      <c r="K26" s="20"/>
    </row>
    <row r="27" spans="1:22" x14ac:dyDescent="0.3">
      <c r="A27" s="18"/>
      <c r="B27" s="117"/>
      <c r="C27" s="21"/>
      <c r="D27" s="123"/>
      <c r="E27" s="21"/>
      <c r="F27" s="21"/>
      <c r="G27" s="21"/>
      <c r="H27" s="21"/>
      <c r="I27" s="21"/>
      <c r="J27" s="21"/>
      <c r="K27" s="20"/>
    </row>
    <row r="28" spans="1:22" x14ac:dyDescent="0.3">
      <c r="A28" s="18"/>
      <c r="B28" s="117"/>
      <c r="C28" s="21"/>
      <c r="D28" s="123"/>
      <c r="E28" s="21"/>
      <c r="F28" s="21"/>
      <c r="G28" s="21"/>
      <c r="H28" s="21"/>
      <c r="I28" s="21"/>
      <c r="J28" s="21"/>
      <c r="K28" s="20"/>
    </row>
    <row r="29" spans="1:22" x14ac:dyDescent="0.3">
      <c r="A29" s="18"/>
      <c r="B29" s="117"/>
      <c r="C29" s="21"/>
      <c r="D29" s="123"/>
      <c r="E29" s="21"/>
      <c r="F29" s="21"/>
      <c r="G29" s="21"/>
      <c r="H29" s="21"/>
      <c r="I29" s="21"/>
      <c r="J29" s="21"/>
      <c r="K29" s="20"/>
    </row>
    <row r="30" spans="1:22" x14ac:dyDescent="0.3">
      <c r="A30" s="18"/>
      <c r="B30" s="117"/>
      <c r="C30" s="21"/>
      <c r="D30" s="123"/>
      <c r="E30" s="21"/>
      <c r="F30" s="21"/>
      <c r="G30" s="21"/>
      <c r="H30" s="21"/>
      <c r="I30" s="21"/>
      <c r="J30" s="21"/>
      <c r="K30" s="20"/>
    </row>
    <row r="31" spans="1:22" x14ac:dyDescent="0.3">
      <c r="A31" s="18"/>
      <c r="B31" s="117"/>
      <c r="C31" s="21"/>
      <c r="D31" s="123"/>
      <c r="E31" s="21"/>
      <c r="F31" s="21"/>
      <c r="G31" s="21"/>
      <c r="H31" s="21"/>
      <c r="I31" s="21"/>
      <c r="J31" s="21"/>
      <c r="K31" s="20"/>
    </row>
    <row r="32" spans="1:22" x14ac:dyDescent="0.3">
      <c r="A32" s="18"/>
      <c r="B32" s="117"/>
      <c r="C32" s="21"/>
      <c r="D32" s="123"/>
      <c r="E32" s="21"/>
      <c r="F32" s="21"/>
      <c r="G32" s="21"/>
      <c r="H32" s="21"/>
      <c r="I32" s="21"/>
      <c r="J32" s="21"/>
      <c r="K32" s="20"/>
    </row>
    <row r="33" spans="1:11" x14ac:dyDescent="0.3">
      <c r="A33" s="18"/>
      <c r="B33" s="117"/>
      <c r="C33" s="21"/>
      <c r="D33" s="123"/>
      <c r="E33" s="21"/>
      <c r="F33" s="21"/>
      <c r="G33" s="21"/>
      <c r="H33" s="21"/>
      <c r="I33" s="21"/>
      <c r="J33" s="21"/>
      <c r="K33" s="20"/>
    </row>
    <row r="34" spans="1:11" x14ac:dyDescent="0.3">
      <c r="A34" s="18"/>
      <c r="B34" s="117"/>
      <c r="C34" s="21"/>
      <c r="D34" s="123"/>
      <c r="E34" s="21"/>
      <c r="F34" s="21"/>
      <c r="G34" s="21"/>
      <c r="H34" s="21"/>
      <c r="I34" s="21"/>
      <c r="J34" s="21"/>
      <c r="K34" s="20"/>
    </row>
    <row r="35" spans="1:11" x14ac:dyDescent="0.3">
      <c r="A35" s="18"/>
      <c r="B35" s="117"/>
      <c r="C35" s="21"/>
      <c r="D35" s="123"/>
      <c r="E35" s="21"/>
      <c r="F35" s="21"/>
      <c r="G35" s="21"/>
      <c r="H35" s="21"/>
      <c r="I35" s="21"/>
      <c r="J35" s="21"/>
      <c r="K35" s="20"/>
    </row>
    <row r="36" spans="1:11" x14ac:dyDescent="0.3">
      <c r="A36" s="18"/>
      <c r="B36" s="117"/>
      <c r="C36" s="21"/>
      <c r="D36" s="123"/>
      <c r="E36" s="21"/>
      <c r="F36" s="21"/>
      <c r="G36" s="21"/>
      <c r="H36" s="21"/>
      <c r="I36" s="21"/>
      <c r="J36" s="21"/>
      <c r="K36" s="20"/>
    </row>
    <row r="37" spans="1:11" x14ac:dyDescent="0.3">
      <c r="A37" s="18"/>
      <c r="B37" s="445" t="s">
        <v>3045</v>
      </c>
      <c r="C37" s="444" t="s">
        <v>3046</v>
      </c>
      <c r="D37" s="123"/>
      <c r="E37" s="101" t="s">
        <v>3434</v>
      </c>
      <c r="F37" s="21"/>
      <c r="G37" s="21"/>
      <c r="H37" s="21"/>
      <c r="I37" s="21"/>
      <c r="J37" s="21"/>
      <c r="K37" s="20"/>
    </row>
    <row r="38" spans="1:11" x14ac:dyDescent="0.3">
      <c r="A38" s="18"/>
      <c r="B38" s="444" t="s">
        <v>3051</v>
      </c>
      <c r="C38" s="445" t="s">
        <v>3045</v>
      </c>
      <c r="D38" s="123"/>
      <c r="E38" s="30" t="str" cm="1">
        <f t="array" ref="E38">_xll.U.FORMAT_RANGE(B37:C39,B43:C44,B48:C50)</f>
        <v>Range [U_UsageExamples.xlsx]FORMAT_RANGE!B37:C39 format updated</v>
      </c>
      <c r="F38" s="21"/>
      <c r="G38" s="21"/>
      <c r="H38" s="21"/>
      <c r="I38" s="21"/>
      <c r="J38" s="21"/>
      <c r="K38" s="20"/>
    </row>
    <row r="39" spans="1:11" x14ac:dyDescent="0.3">
      <c r="A39" s="18"/>
      <c r="B39" s="444" t="s">
        <v>3045</v>
      </c>
      <c r="C39" s="444" t="s">
        <v>3046</v>
      </c>
      <c r="D39" s="123"/>
      <c r="E39" s="21"/>
      <c r="F39" s="21"/>
      <c r="G39" s="21"/>
      <c r="H39" s="21"/>
      <c r="I39" s="21"/>
      <c r="J39" s="21"/>
      <c r="K39" s="20"/>
    </row>
    <row r="40" spans="1:11" x14ac:dyDescent="0.3">
      <c r="A40" s="18"/>
      <c r="B40" s="117"/>
      <c r="C40" s="21"/>
      <c r="D40" s="123"/>
      <c r="E40" s="21"/>
      <c r="F40" s="21"/>
      <c r="G40" s="21"/>
      <c r="H40" s="21"/>
      <c r="I40" s="21"/>
      <c r="J40" s="21"/>
      <c r="K40" s="20"/>
    </row>
    <row r="41" spans="1:11" x14ac:dyDescent="0.3">
      <c r="A41" s="18"/>
      <c r="B41" s="117"/>
      <c r="C41" s="21"/>
      <c r="D41" s="123"/>
      <c r="E41" s="21"/>
      <c r="F41" s="21"/>
      <c r="G41" s="21"/>
      <c r="H41" s="21"/>
      <c r="I41" s="21"/>
      <c r="J41" s="21"/>
      <c r="K41" s="20"/>
    </row>
    <row r="42" spans="1:11" x14ac:dyDescent="0.3">
      <c r="A42" s="18"/>
      <c r="B42" s="3" t="s">
        <v>2161</v>
      </c>
      <c r="C42" s="3" t="s">
        <v>17</v>
      </c>
      <c r="D42" s="123"/>
      <c r="E42" s="21"/>
      <c r="F42" s="21"/>
      <c r="G42" s="21"/>
      <c r="H42" s="21"/>
      <c r="I42" s="21"/>
      <c r="J42" s="21"/>
      <c r="K42" s="20"/>
    </row>
    <row r="43" spans="1:11" x14ac:dyDescent="0.3">
      <c r="A43" s="18"/>
      <c r="B43" s="181" t="s">
        <v>2925</v>
      </c>
      <c r="C43" s="181" t="s">
        <v>3049</v>
      </c>
      <c r="D43" s="123"/>
      <c r="E43" s="21"/>
      <c r="F43" s="21"/>
      <c r="G43" s="21"/>
      <c r="H43" s="21"/>
      <c r="I43" s="21"/>
      <c r="J43" s="21"/>
      <c r="K43" s="20"/>
    </row>
    <row r="44" spans="1:11" x14ac:dyDescent="0.3">
      <c r="A44" s="18"/>
      <c r="B44" s="181" t="s">
        <v>3047</v>
      </c>
      <c r="C44" s="181" t="s">
        <v>2909</v>
      </c>
      <c r="D44" s="123"/>
      <c r="E44" s="21"/>
      <c r="F44" s="21"/>
      <c r="G44" s="21"/>
      <c r="H44" s="21"/>
      <c r="I44" s="21"/>
      <c r="J44" s="21"/>
      <c r="K44" s="20"/>
    </row>
    <row r="45" spans="1:11" x14ac:dyDescent="0.3">
      <c r="A45" s="18"/>
      <c r="B45" s="117"/>
      <c r="C45" s="21"/>
      <c r="D45" s="123"/>
      <c r="E45" s="21"/>
      <c r="F45" s="21"/>
      <c r="G45" s="21"/>
      <c r="H45" s="21"/>
      <c r="I45" s="21"/>
      <c r="J45" s="21"/>
      <c r="K45" s="20"/>
    </row>
    <row r="46" spans="1:11" x14ac:dyDescent="0.3">
      <c r="A46" s="18"/>
      <c r="B46" s="117"/>
      <c r="C46" s="21"/>
      <c r="D46" s="123"/>
      <c r="E46" s="21"/>
      <c r="F46" s="21"/>
      <c r="G46" s="21"/>
      <c r="H46" s="21"/>
      <c r="I46" s="21"/>
      <c r="J46" s="21"/>
      <c r="K46" s="20"/>
    </row>
    <row r="47" spans="1:11" x14ac:dyDescent="0.3">
      <c r="A47" s="18"/>
      <c r="B47" s="520" t="s">
        <v>2886</v>
      </c>
      <c r="C47" s="520"/>
      <c r="D47" s="123"/>
      <c r="E47" s="21"/>
      <c r="F47" s="21"/>
      <c r="G47" s="21"/>
      <c r="H47" s="21"/>
      <c r="I47" s="21"/>
      <c r="J47" s="21"/>
      <c r="K47" s="20"/>
    </row>
    <row r="48" spans="1:11" x14ac:dyDescent="0.3">
      <c r="A48" s="18"/>
      <c r="B48" s="181" t="b">
        <v>1</v>
      </c>
      <c r="C48" s="181" t="b">
        <v>0</v>
      </c>
      <c r="D48" s="123"/>
      <c r="E48" s="21"/>
      <c r="F48" s="21"/>
      <c r="G48" s="21"/>
      <c r="H48" s="21"/>
      <c r="I48" s="21"/>
      <c r="J48" s="21"/>
      <c r="K48" s="20"/>
    </row>
    <row r="49" spans="1:11" x14ac:dyDescent="0.3">
      <c r="A49" s="18"/>
      <c r="B49" s="181" t="s">
        <v>3050</v>
      </c>
      <c r="C49" s="181" t="b">
        <v>1</v>
      </c>
      <c r="D49" s="123"/>
      <c r="E49" s="21"/>
      <c r="F49" s="21"/>
      <c r="G49" s="21"/>
      <c r="H49" s="21"/>
      <c r="I49" s="21"/>
      <c r="J49" s="21"/>
      <c r="K49" s="20"/>
    </row>
    <row r="50" spans="1:11" x14ac:dyDescent="0.3">
      <c r="A50" s="18"/>
      <c r="B50" s="181" t="s">
        <v>3048</v>
      </c>
      <c r="C50" s="181" t="b">
        <v>0</v>
      </c>
      <c r="D50" s="123"/>
      <c r="E50" s="21"/>
      <c r="F50" s="21"/>
      <c r="G50" s="21"/>
      <c r="H50" s="21"/>
      <c r="I50" s="21"/>
      <c r="J50" s="21"/>
      <c r="K50" s="20"/>
    </row>
    <row r="51" spans="1:11" x14ac:dyDescent="0.3">
      <c r="A51" s="18"/>
      <c r="B51" s="117"/>
      <c r="C51" s="21"/>
      <c r="D51" s="123"/>
      <c r="E51" s="21"/>
      <c r="F51" s="21"/>
      <c r="G51" s="21"/>
      <c r="H51" s="21"/>
      <c r="I51" s="21"/>
      <c r="J51" s="21"/>
      <c r="K51" s="20"/>
    </row>
    <row r="52" spans="1:11" x14ac:dyDescent="0.3">
      <c r="A52" s="18"/>
      <c r="B52" s="117"/>
      <c r="C52" s="21"/>
      <c r="D52" s="123"/>
      <c r="E52" s="21"/>
      <c r="F52" s="21"/>
      <c r="G52" s="21"/>
      <c r="H52" s="21"/>
      <c r="I52" s="21"/>
      <c r="J52" s="21"/>
      <c r="K52" s="20"/>
    </row>
    <row r="53" spans="1:11" x14ac:dyDescent="0.3">
      <c r="A53" s="18"/>
      <c r="B53" s="117"/>
      <c r="C53" s="21"/>
      <c r="D53" s="123"/>
      <c r="E53" s="21"/>
      <c r="F53" s="21"/>
      <c r="G53" s="21"/>
      <c r="H53" s="21"/>
      <c r="I53" s="21"/>
      <c r="J53" s="21"/>
      <c r="K53" s="20"/>
    </row>
    <row r="54" spans="1:11" x14ac:dyDescent="0.3">
      <c r="A54" s="18"/>
      <c r="B54" s="117"/>
      <c r="C54" s="21"/>
      <c r="D54" s="123"/>
      <c r="E54" s="21"/>
      <c r="F54" s="21"/>
      <c r="G54" s="21"/>
      <c r="H54" s="21"/>
      <c r="I54" s="21"/>
      <c r="J54" s="21"/>
      <c r="K54" s="20"/>
    </row>
    <row r="55" spans="1:11" x14ac:dyDescent="0.3">
      <c r="A55" s="18"/>
      <c r="B55" s="3" t="s">
        <v>2161</v>
      </c>
      <c r="C55" s="3" t="s">
        <v>17</v>
      </c>
      <c r="D55" s="123"/>
      <c r="E55" s="101" t="s">
        <v>3434</v>
      </c>
      <c r="F55" s="21"/>
      <c r="G55" s="21"/>
      <c r="H55" s="21"/>
      <c r="I55" s="21"/>
      <c r="J55" s="21"/>
      <c r="K55" s="20"/>
    </row>
    <row r="56" spans="1:11" x14ac:dyDescent="0.3">
      <c r="A56" s="18"/>
      <c r="B56" s="181" t="s">
        <v>3054</v>
      </c>
      <c r="C56" s="181" t="b">
        <v>1</v>
      </c>
      <c r="D56" s="123"/>
      <c r="E56" s="30" t="str" cm="1">
        <f t="array" ref="E56">_xll.U.FORMAT_RANGE(B59,B56:C57)</f>
        <v>I am an example comment</v>
      </c>
      <c r="F56" s="21"/>
      <c r="G56" s="21"/>
      <c r="H56" s="21"/>
      <c r="I56" s="21"/>
      <c r="J56" s="21"/>
      <c r="K56" s="20"/>
    </row>
    <row r="57" spans="1:11" x14ac:dyDescent="0.3">
      <c r="A57" s="18"/>
      <c r="B57" s="181" t="s">
        <v>3055</v>
      </c>
      <c r="C57" s="181" t="b">
        <v>1</v>
      </c>
      <c r="D57" s="123"/>
      <c r="E57" s="21"/>
      <c r="F57" s="21"/>
      <c r="G57" s="21"/>
      <c r="H57" s="21"/>
      <c r="I57" s="21"/>
      <c r="J57" s="21"/>
      <c r="K57" s="20"/>
    </row>
    <row r="58" spans="1:11" x14ac:dyDescent="0.3">
      <c r="A58" s="18"/>
      <c r="B58" s="117"/>
      <c r="C58" s="21"/>
      <c r="D58" s="123"/>
      <c r="E58" s="21"/>
      <c r="F58" s="21"/>
      <c r="G58" s="21"/>
      <c r="H58" s="21"/>
      <c r="I58" s="21"/>
      <c r="J58" s="21"/>
      <c r="K58" s="20"/>
    </row>
    <row r="59" spans="1:11" x14ac:dyDescent="0.3">
      <c r="A59" s="18"/>
      <c r="B59" s="117"/>
      <c r="C59" s="21"/>
      <c r="D59" s="123"/>
      <c r="E59" s="21"/>
      <c r="F59" s="21"/>
      <c r="G59" s="21"/>
      <c r="H59" s="21"/>
      <c r="I59" s="21"/>
      <c r="J59" s="21"/>
      <c r="K59" s="20"/>
    </row>
    <row r="60" spans="1:11" x14ac:dyDescent="0.3">
      <c r="A60" s="18"/>
      <c r="B60" s="117"/>
      <c r="C60" s="21"/>
      <c r="D60" s="123"/>
      <c r="E60" s="21"/>
      <c r="F60" s="21"/>
      <c r="G60" s="21"/>
      <c r="H60" s="21"/>
      <c r="I60" s="21"/>
      <c r="J60" s="21"/>
      <c r="K60" s="20"/>
    </row>
    <row r="61" spans="1:11" x14ac:dyDescent="0.3">
      <c r="A61" s="18"/>
      <c r="B61" s="117"/>
      <c r="C61" s="21"/>
      <c r="D61" s="123"/>
      <c r="E61" s="21"/>
      <c r="F61" s="21"/>
      <c r="G61" s="21"/>
      <c r="H61" s="21"/>
      <c r="I61" s="21"/>
      <c r="J61" s="21"/>
      <c r="K61" s="20"/>
    </row>
    <row r="62" spans="1:11" x14ac:dyDescent="0.3">
      <c r="A62" s="18"/>
      <c r="B62" s="117"/>
      <c r="C62" s="21"/>
      <c r="D62" s="123"/>
      <c r="E62" s="21"/>
      <c r="F62" s="21"/>
      <c r="G62" s="21"/>
      <c r="H62" s="21"/>
      <c r="I62" s="21"/>
      <c r="J62" s="21"/>
      <c r="K62" s="20"/>
    </row>
    <row r="63" spans="1:11" x14ac:dyDescent="0.3">
      <c r="A63" s="18"/>
      <c r="B63" s="117"/>
      <c r="C63" s="21"/>
      <c r="D63" s="123"/>
      <c r="E63" s="21"/>
      <c r="F63" s="21"/>
      <c r="G63" s="21"/>
      <c r="H63" s="21"/>
      <c r="I63" s="21"/>
      <c r="J63" s="21"/>
      <c r="K63" s="20"/>
    </row>
    <row r="64" spans="1:11" x14ac:dyDescent="0.3">
      <c r="A64" s="18"/>
      <c r="B64" s="559" t="s">
        <v>3035</v>
      </c>
      <c r="C64" s="560"/>
      <c r="D64" s="560"/>
      <c r="E64" s="560"/>
      <c r="F64" s="560"/>
      <c r="G64" s="560"/>
      <c r="H64" s="560"/>
      <c r="I64" s="561"/>
      <c r="J64" s="21"/>
      <c r="K64" s="20"/>
    </row>
    <row r="65" spans="1:11" x14ac:dyDescent="0.3">
      <c r="A65" s="18"/>
      <c r="B65" s="235" t="s">
        <v>2161</v>
      </c>
      <c r="C65" s="183" t="s">
        <v>394</v>
      </c>
      <c r="D65" s="423"/>
      <c r="E65" s="425" t="s">
        <v>2842</v>
      </c>
      <c r="F65" s="426"/>
      <c r="G65" s="426"/>
      <c r="H65" s="426"/>
      <c r="I65" s="427"/>
      <c r="J65" s="21"/>
      <c r="K65" s="20"/>
    </row>
    <row r="66" spans="1:11" x14ac:dyDescent="0.3">
      <c r="A66" s="18"/>
      <c r="B66" s="100" t="s">
        <v>2858</v>
      </c>
      <c r="C66" s="256" t="s">
        <v>2990</v>
      </c>
      <c r="D66" s="404"/>
      <c r="E66" s="250" t="s">
        <v>3075</v>
      </c>
      <c r="F66" s="112"/>
      <c r="G66" s="112"/>
      <c r="H66" s="112"/>
      <c r="I66" s="113"/>
      <c r="J66" s="21"/>
      <c r="K66" s="20"/>
    </row>
    <row r="67" spans="1:11" x14ac:dyDescent="0.3">
      <c r="A67" s="18"/>
      <c r="B67" s="100" t="s">
        <v>2925</v>
      </c>
      <c r="C67" s="256" t="s">
        <v>2991</v>
      </c>
      <c r="D67" s="404"/>
      <c r="E67" s="250" t="s">
        <v>3075</v>
      </c>
      <c r="F67" s="112"/>
      <c r="G67" s="112"/>
      <c r="H67" s="112"/>
      <c r="I67" s="113"/>
      <c r="J67" s="21"/>
      <c r="K67" s="20"/>
    </row>
    <row r="68" spans="1:11" x14ac:dyDescent="0.3">
      <c r="A68" s="18"/>
      <c r="B68" s="100" t="s">
        <v>3000</v>
      </c>
      <c r="C68" s="256" t="s">
        <v>3001</v>
      </c>
      <c r="D68" s="404"/>
      <c r="E68" s="250"/>
      <c r="F68" s="112"/>
      <c r="G68" s="112"/>
      <c r="H68" s="112"/>
      <c r="I68" s="113"/>
      <c r="J68" s="21"/>
      <c r="K68" s="20"/>
    </row>
    <row r="69" spans="1:11" x14ac:dyDescent="0.3">
      <c r="A69" s="18"/>
      <c r="B69" s="100" t="s">
        <v>3015</v>
      </c>
      <c r="C69" s="256" t="s">
        <v>3016</v>
      </c>
      <c r="D69" s="404"/>
      <c r="E69" s="250"/>
      <c r="F69" s="112"/>
      <c r="G69" s="112"/>
      <c r="H69" s="112"/>
      <c r="I69" s="113"/>
      <c r="J69" s="21"/>
      <c r="K69" s="20"/>
    </row>
    <row r="70" spans="1:11" x14ac:dyDescent="0.3">
      <c r="A70" s="18"/>
      <c r="B70" s="100" t="s">
        <v>3002</v>
      </c>
      <c r="C70" s="256" t="s">
        <v>3004</v>
      </c>
      <c r="D70" s="404"/>
      <c r="E70" s="250"/>
      <c r="F70" s="112"/>
      <c r="G70" s="112"/>
      <c r="H70" s="112"/>
      <c r="I70" s="113"/>
      <c r="J70" s="21"/>
      <c r="K70" s="20"/>
    </row>
    <row r="71" spans="1:11" x14ac:dyDescent="0.3">
      <c r="A71" s="18"/>
      <c r="B71" s="100" t="s">
        <v>3003</v>
      </c>
      <c r="C71" s="256" t="s">
        <v>3005</v>
      </c>
      <c r="D71" s="404"/>
      <c r="E71" s="250"/>
      <c r="F71" s="112"/>
      <c r="G71" s="112"/>
      <c r="H71" s="112"/>
      <c r="I71" s="113"/>
      <c r="J71" s="21"/>
      <c r="K71" s="20"/>
    </row>
    <row r="72" spans="1:11" x14ac:dyDescent="0.3">
      <c r="A72" s="18"/>
      <c r="B72" s="100" t="s">
        <v>2986</v>
      </c>
      <c r="C72" s="256" t="s">
        <v>2987</v>
      </c>
      <c r="D72" s="404"/>
      <c r="E72" s="250"/>
      <c r="F72" s="112"/>
      <c r="G72" s="112"/>
      <c r="H72" s="112"/>
      <c r="I72" s="113"/>
      <c r="J72" s="21"/>
      <c r="K72" s="20"/>
    </row>
    <row r="73" spans="1:11" x14ac:dyDescent="0.3">
      <c r="A73" s="18"/>
      <c r="B73" s="100" t="s">
        <v>2988</v>
      </c>
      <c r="C73" s="256" t="s">
        <v>2989</v>
      </c>
      <c r="D73" s="404"/>
      <c r="E73" s="250"/>
      <c r="F73" s="112"/>
      <c r="G73" s="112"/>
      <c r="H73" s="112"/>
      <c r="I73" s="113"/>
      <c r="J73" s="21"/>
      <c r="K73" s="20"/>
    </row>
    <row r="74" spans="1:11" x14ac:dyDescent="0.3">
      <c r="A74" s="18"/>
      <c r="B74" s="100" t="s">
        <v>2995</v>
      </c>
      <c r="C74" s="256" t="s">
        <v>2996</v>
      </c>
      <c r="D74" s="404"/>
      <c r="E74" s="250" t="s">
        <v>2997</v>
      </c>
      <c r="F74" s="112"/>
      <c r="G74" s="112"/>
      <c r="H74" s="112"/>
      <c r="I74" s="113"/>
      <c r="J74" s="21"/>
      <c r="K74" s="20"/>
    </row>
    <row r="75" spans="1:11" x14ac:dyDescent="0.3">
      <c r="A75" s="18"/>
      <c r="B75" s="100" t="s">
        <v>3007</v>
      </c>
      <c r="C75" s="256" t="s">
        <v>2848</v>
      </c>
      <c r="D75" s="404"/>
      <c r="E75" s="250"/>
      <c r="F75" s="112"/>
      <c r="G75" s="112"/>
      <c r="H75" s="112"/>
      <c r="I75" s="113"/>
      <c r="J75" s="21"/>
      <c r="K75" s="20"/>
    </row>
    <row r="76" spans="1:11" x14ac:dyDescent="0.3">
      <c r="A76" s="18"/>
      <c r="B76" s="100" t="s">
        <v>3008</v>
      </c>
      <c r="C76" s="256" t="s">
        <v>2848</v>
      </c>
      <c r="D76" s="404"/>
      <c r="E76" s="250" t="s">
        <v>3009</v>
      </c>
      <c r="F76" s="112"/>
      <c r="G76" s="112"/>
      <c r="H76" s="112"/>
      <c r="I76" s="113"/>
      <c r="J76" s="21"/>
      <c r="K76" s="20"/>
    </row>
    <row r="77" spans="1:11" x14ac:dyDescent="0.3">
      <c r="A77" s="18"/>
      <c r="B77" s="100" t="s">
        <v>3010</v>
      </c>
      <c r="C77" s="256" t="s">
        <v>2848</v>
      </c>
      <c r="D77" s="404"/>
      <c r="E77" s="250" t="s">
        <v>3012</v>
      </c>
      <c r="F77" s="112"/>
      <c r="G77" s="112"/>
      <c r="H77" s="112"/>
      <c r="I77" s="113"/>
      <c r="J77" s="21"/>
      <c r="K77" s="20"/>
    </row>
    <row r="78" spans="1:11" x14ac:dyDescent="0.3">
      <c r="A78" s="18"/>
      <c r="B78" s="100" t="s">
        <v>3011</v>
      </c>
      <c r="C78" s="256" t="s">
        <v>2848</v>
      </c>
      <c r="D78" s="404"/>
      <c r="E78" s="250" t="s">
        <v>3013</v>
      </c>
      <c r="F78" s="112"/>
      <c r="G78" s="112"/>
      <c r="H78" s="112"/>
      <c r="I78" s="113"/>
      <c r="J78" s="21"/>
      <c r="K78" s="20"/>
    </row>
    <row r="79" spans="1:11" x14ac:dyDescent="0.3">
      <c r="A79" s="18"/>
      <c r="B79" s="100" t="s">
        <v>2930</v>
      </c>
      <c r="C79" s="256" t="s">
        <v>2862</v>
      </c>
      <c r="D79" s="404"/>
      <c r="E79" s="250"/>
      <c r="F79" s="112"/>
      <c r="G79" s="112"/>
      <c r="H79" s="112"/>
      <c r="I79" s="113"/>
      <c r="J79" s="21"/>
      <c r="K79" s="20"/>
    </row>
    <row r="80" spans="1:11" x14ac:dyDescent="0.3">
      <c r="A80" s="18"/>
      <c r="B80" s="100" t="s">
        <v>2931</v>
      </c>
      <c r="C80" s="256" t="s">
        <v>2861</v>
      </c>
      <c r="D80" s="404"/>
      <c r="E80" s="250"/>
      <c r="F80" s="112"/>
      <c r="G80" s="112"/>
      <c r="H80" s="112"/>
      <c r="I80" s="113"/>
      <c r="J80" s="21"/>
      <c r="K80" s="20"/>
    </row>
    <row r="81" spans="1:16" x14ac:dyDescent="0.3">
      <c r="A81" s="18"/>
      <c r="B81" s="100" t="s">
        <v>2992</v>
      </c>
      <c r="C81" s="256" t="s">
        <v>2993</v>
      </c>
      <c r="D81" s="404"/>
      <c r="E81" s="250" t="s">
        <v>2994</v>
      </c>
      <c r="F81" s="112"/>
      <c r="G81" s="112"/>
      <c r="H81" s="112"/>
      <c r="I81" s="113"/>
      <c r="J81" s="21"/>
      <c r="K81" s="20"/>
    </row>
    <row r="82" spans="1:16" x14ac:dyDescent="0.3">
      <c r="A82" s="18"/>
      <c r="B82" s="100" t="s">
        <v>2932</v>
      </c>
      <c r="C82" s="256" t="s">
        <v>2998</v>
      </c>
      <c r="D82" s="404"/>
      <c r="E82" s="250" t="s">
        <v>3052</v>
      </c>
      <c r="F82" s="112"/>
      <c r="G82" s="112"/>
      <c r="H82" s="112"/>
      <c r="I82" s="113"/>
      <c r="J82" s="21"/>
      <c r="K82" s="20"/>
      <c r="P82" s="457"/>
    </row>
    <row r="83" spans="1:16" x14ac:dyDescent="0.3">
      <c r="A83" s="18"/>
      <c r="B83" s="100" t="s">
        <v>2933</v>
      </c>
      <c r="C83" s="256" t="s">
        <v>2866</v>
      </c>
      <c r="D83" s="404"/>
      <c r="E83" s="250"/>
      <c r="F83" s="112"/>
      <c r="G83" s="112"/>
      <c r="H83" s="112"/>
      <c r="I83" s="113"/>
      <c r="J83" s="21"/>
      <c r="K83" s="20"/>
    </row>
    <row r="84" spans="1:16" x14ac:dyDescent="0.3">
      <c r="A84" s="18"/>
      <c r="B84" s="100" t="s">
        <v>2867</v>
      </c>
      <c r="C84" s="256" t="s">
        <v>2868</v>
      </c>
      <c r="D84" s="404"/>
      <c r="E84" s="250"/>
      <c r="F84" s="112"/>
      <c r="G84" s="112"/>
      <c r="H84" s="112"/>
      <c r="I84" s="113"/>
      <c r="J84" s="21"/>
      <c r="K84" s="20"/>
      <c r="P84" s="457"/>
    </row>
    <row r="85" spans="1:16" x14ac:dyDescent="0.3">
      <c r="A85" s="18"/>
      <c r="B85" s="100" t="s">
        <v>3006</v>
      </c>
      <c r="C85" s="256" t="s">
        <v>3001</v>
      </c>
      <c r="D85" s="404"/>
      <c r="E85" s="250"/>
      <c r="F85" s="112"/>
      <c r="G85" s="112"/>
      <c r="H85" s="112"/>
      <c r="I85" s="113"/>
      <c r="J85" s="21"/>
      <c r="K85" s="20"/>
    </row>
    <row r="86" spans="1:16" x14ac:dyDescent="0.3">
      <c r="A86" s="18"/>
      <c r="B86" s="100" t="s">
        <v>3014</v>
      </c>
      <c r="C86" s="256" t="s">
        <v>3017</v>
      </c>
      <c r="D86" s="404"/>
      <c r="E86" s="250"/>
      <c r="F86" s="112"/>
      <c r="G86" s="112"/>
      <c r="H86" s="112"/>
      <c r="I86" s="113"/>
      <c r="J86" s="21"/>
      <c r="K86" s="20"/>
    </row>
    <row r="87" spans="1:16" x14ac:dyDescent="0.3">
      <c r="A87" s="18"/>
      <c r="B87" s="100" t="s">
        <v>3018</v>
      </c>
      <c r="C87" s="256" t="s">
        <v>3019</v>
      </c>
      <c r="D87" s="404"/>
      <c r="E87" s="250"/>
      <c r="F87" s="112"/>
      <c r="G87" s="112"/>
      <c r="H87" s="112"/>
      <c r="I87" s="113"/>
      <c r="J87" s="21"/>
      <c r="K87" s="20"/>
    </row>
    <row r="88" spans="1:16" x14ac:dyDescent="0.3">
      <c r="A88" s="18"/>
      <c r="B88" s="100" t="s">
        <v>2864</v>
      </c>
      <c r="C88" s="256" t="s">
        <v>3115</v>
      </c>
      <c r="D88" s="404"/>
      <c r="E88" s="250" t="s">
        <v>2927</v>
      </c>
      <c r="F88" s="112"/>
      <c r="G88" s="112"/>
      <c r="H88" s="112"/>
      <c r="I88" s="113"/>
      <c r="J88" s="21"/>
      <c r="K88" s="20"/>
    </row>
    <row r="89" spans="1:16" x14ac:dyDescent="0.3">
      <c r="A89" s="18"/>
      <c r="B89" s="100" t="s">
        <v>3020</v>
      </c>
      <c r="C89" s="256" t="s">
        <v>3027</v>
      </c>
      <c r="D89" s="404"/>
      <c r="E89" s="562" t="s">
        <v>3044</v>
      </c>
      <c r="F89" s="563"/>
      <c r="G89" s="563"/>
      <c r="H89" s="563"/>
      <c r="I89" s="564"/>
      <c r="J89" s="21"/>
      <c r="K89" s="20"/>
    </row>
    <row r="90" spans="1:16" x14ac:dyDescent="0.3">
      <c r="A90" s="18"/>
      <c r="B90" s="100" t="s">
        <v>3021</v>
      </c>
      <c r="C90" s="256" t="s">
        <v>3028</v>
      </c>
      <c r="D90" s="404"/>
      <c r="E90" s="565"/>
      <c r="F90" s="566"/>
      <c r="G90" s="566"/>
      <c r="H90" s="566"/>
      <c r="I90" s="567"/>
      <c r="J90" s="21"/>
      <c r="K90" s="20"/>
    </row>
    <row r="91" spans="1:16" x14ac:dyDescent="0.3">
      <c r="A91" s="18"/>
      <c r="B91" s="100" t="s">
        <v>3022</v>
      </c>
      <c r="C91" s="256" t="s">
        <v>3029</v>
      </c>
      <c r="D91" s="404"/>
      <c r="E91" s="565"/>
      <c r="F91" s="566"/>
      <c r="G91" s="566"/>
      <c r="H91" s="566"/>
      <c r="I91" s="567"/>
      <c r="J91" s="21"/>
      <c r="K91" s="20"/>
    </row>
    <row r="92" spans="1:16" x14ac:dyDescent="0.3">
      <c r="A92" s="18"/>
      <c r="B92" s="100" t="s">
        <v>3023</v>
      </c>
      <c r="C92" s="256" t="s">
        <v>3030</v>
      </c>
      <c r="D92" s="404"/>
      <c r="E92" s="565"/>
      <c r="F92" s="566"/>
      <c r="G92" s="566"/>
      <c r="H92" s="566"/>
      <c r="I92" s="567"/>
      <c r="J92" s="21"/>
      <c r="K92" s="20"/>
    </row>
    <row r="93" spans="1:16" x14ac:dyDescent="0.3">
      <c r="A93" s="18"/>
      <c r="B93" s="100" t="s">
        <v>3024</v>
      </c>
      <c r="C93" s="256" t="s">
        <v>3001</v>
      </c>
      <c r="D93" s="404"/>
      <c r="E93" s="568"/>
      <c r="F93" s="569"/>
      <c r="G93" s="569"/>
      <c r="H93" s="569"/>
      <c r="I93" s="570"/>
      <c r="J93" s="21"/>
      <c r="K93" s="20"/>
    </row>
    <row r="94" spans="1:16" x14ac:dyDescent="0.3">
      <c r="A94" s="18"/>
      <c r="B94" s="100" t="s">
        <v>3054</v>
      </c>
      <c r="C94" s="256" t="s">
        <v>2848</v>
      </c>
      <c r="D94" s="404"/>
      <c r="E94" s="250"/>
      <c r="F94" s="112"/>
      <c r="G94" s="112"/>
      <c r="H94" s="112"/>
      <c r="I94" s="113"/>
      <c r="J94" s="21"/>
      <c r="K94" s="20"/>
    </row>
    <row r="95" spans="1:16" x14ac:dyDescent="0.3">
      <c r="A95" s="18"/>
      <c r="B95" s="100" t="s">
        <v>3055</v>
      </c>
      <c r="C95" s="256" t="s">
        <v>2848</v>
      </c>
      <c r="D95" s="404"/>
      <c r="E95" s="250" t="s">
        <v>3056</v>
      </c>
      <c r="F95" s="112"/>
      <c r="G95" s="112"/>
      <c r="H95" s="112"/>
      <c r="I95" s="113"/>
      <c r="J95" s="21"/>
      <c r="K95" s="20"/>
    </row>
    <row r="96" spans="1:16" ht="15" thickBot="1" x14ac:dyDescent="0.35">
      <c r="A96" s="22"/>
      <c r="B96" s="23"/>
      <c r="C96" s="23"/>
      <c r="D96" s="23"/>
      <c r="E96" s="23"/>
      <c r="F96" s="23"/>
      <c r="G96" s="23"/>
      <c r="H96" s="23"/>
      <c r="I96" s="23"/>
      <c r="J96" s="23"/>
      <c r="K96" s="24"/>
    </row>
  </sheetData>
  <mergeCells count="20">
    <mergeCell ref="M3:V3"/>
    <mergeCell ref="M4:N6"/>
    <mergeCell ref="O4:V6"/>
    <mergeCell ref="M7:N7"/>
    <mergeCell ref="O7:U7"/>
    <mergeCell ref="M8:N10"/>
    <mergeCell ref="O8:U10"/>
    <mergeCell ref="V8:V10"/>
    <mergeCell ref="B64:I64"/>
    <mergeCell ref="E89:I93"/>
    <mergeCell ref="M17:N19"/>
    <mergeCell ref="O17:U19"/>
    <mergeCell ref="V17:V19"/>
    <mergeCell ref="M11:N13"/>
    <mergeCell ref="O11:U13"/>
    <mergeCell ref="V11:V13"/>
    <mergeCell ref="M14:N16"/>
    <mergeCell ref="O14:U16"/>
    <mergeCell ref="V14:V16"/>
    <mergeCell ref="B47:C47"/>
  </mergeCells>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E5D8-2B37-4932-8047-89DC435FA2A5}">
  <sheetPr codeName="Sheet27"/>
  <dimension ref="A1:V201"/>
  <sheetViews>
    <sheetView workbookViewId="0">
      <pane ySplit="1" topLeftCell="A2" activePane="bottomLeft" state="frozen"/>
      <selection pane="bottomLeft" activeCell="A2" sqref="A2"/>
    </sheetView>
  </sheetViews>
  <sheetFormatPr defaultColWidth="9.21875" defaultRowHeight="14.4" x14ac:dyDescent="0.3"/>
  <cols>
    <col min="2" max="2" width="24.77734375" customWidth="1"/>
    <col min="3" max="3" width="36.44140625" bestFit="1" customWidth="1"/>
    <col min="4" max="4" width="35.109375" customWidth="1"/>
    <col min="5" max="10" width="10.5546875" customWidth="1"/>
    <col min="11" max="11" width="12.44140625" customWidth="1"/>
    <col min="15" max="21" width="16.77734375" customWidth="1"/>
  </cols>
  <sheetData>
    <row r="1" spans="1:22" ht="34.5" customHeight="1" thickBot="1" x14ac:dyDescent="0.35">
      <c r="A1" s="292" t="s">
        <v>1580</v>
      </c>
      <c r="B1" s="473" t="e" vm="1">
        <v>#VALUE!</v>
      </c>
      <c r="C1" s="8" t="s">
        <v>2839</v>
      </c>
      <c r="D1" s="27"/>
      <c r="E1" s="16"/>
      <c r="F1" s="16"/>
      <c r="G1" s="16"/>
      <c r="H1" s="16"/>
      <c r="I1" s="16"/>
      <c r="J1" s="16"/>
      <c r="K1" s="19"/>
    </row>
    <row r="2" spans="1:22" ht="15" customHeight="1" x14ac:dyDescent="0.3">
      <c r="A2" s="18"/>
      <c r="B2" s="25"/>
      <c r="C2" s="25"/>
      <c r="D2" s="21"/>
      <c r="E2" s="21"/>
      <c r="F2" s="21"/>
      <c r="G2" s="21"/>
      <c r="H2" s="21"/>
      <c r="I2" s="21"/>
      <c r="J2" s="21"/>
      <c r="K2" s="20"/>
    </row>
    <row r="3" spans="1:22" ht="15" customHeight="1" x14ac:dyDescent="0.3">
      <c r="A3" s="490" t="s">
        <v>2901</v>
      </c>
      <c r="B3" s="491"/>
      <c r="C3" s="491"/>
      <c r="D3" s="491"/>
      <c r="E3" s="491"/>
      <c r="F3" s="491"/>
      <c r="G3" s="491"/>
      <c r="H3" s="491"/>
      <c r="I3" s="491"/>
      <c r="J3" s="491"/>
      <c r="K3" s="20"/>
      <c r="M3" s="486" t="s">
        <v>3435</v>
      </c>
      <c r="N3" s="486"/>
      <c r="O3" s="486"/>
      <c r="P3" s="486"/>
      <c r="Q3" s="486"/>
      <c r="R3" s="486"/>
      <c r="S3" s="486"/>
      <c r="T3" s="486"/>
      <c r="U3" s="486"/>
      <c r="V3" s="486"/>
    </row>
    <row r="4" spans="1:22" ht="15" customHeight="1" x14ac:dyDescent="0.3">
      <c r="A4" s="18"/>
      <c r="B4" s="25"/>
      <c r="C4" s="25"/>
      <c r="D4" s="21"/>
      <c r="E4" s="21"/>
      <c r="F4" s="21"/>
      <c r="G4" s="21"/>
      <c r="H4" s="21"/>
      <c r="I4" s="21"/>
      <c r="J4" s="21"/>
      <c r="K4" s="20"/>
      <c r="M4" s="487" t="s">
        <v>333</v>
      </c>
      <c r="N4" s="487"/>
      <c r="O4" s="487" t="s">
        <v>2640</v>
      </c>
      <c r="P4" s="487"/>
      <c r="Q4" s="487"/>
      <c r="R4" s="487"/>
      <c r="S4" s="487"/>
      <c r="T4" s="487"/>
      <c r="U4" s="487"/>
      <c r="V4" s="487"/>
    </row>
    <row r="5" spans="1:22" ht="15" customHeight="1" x14ac:dyDescent="0.3">
      <c r="A5" s="18"/>
      <c r="B5" s="25"/>
      <c r="C5" s="25"/>
      <c r="D5" s="21"/>
      <c r="E5" s="21"/>
      <c r="F5" s="21"/>
      <c r="G5" s="21"/>
      <c r="H5" s="21"/>
      <c r="I5" s="21"/>
      <c r="J5" s="21"/>
      <c r="K5" s="20"/>
      <c r="M5" s="487"/>
      <c r="N5" s="487"/>
      <c r="O5" s="487"/>
      <c r="P5" s="487"/>
      <c r="Q5" s="487"/>
      <c r="R5" s="487"/>
      <c r="S5" s="487"/>
      <c r="T5" s="487"/>
      <c r="U5" s="487"/>
      <c r="V5" s="487"/>
    </row>
    <row r="6" spans="1:22" x14ac:dyDescent="0.3">
      <c r="A6" s="18"/>
      <c r="B6" s="21"/>
      <c r="C6" s="21"/>
      <c r="D6" s="21"/>
      <c r="E6" s="21"/>
      <c r="F6" s="21"/>
      <c r="G6" s="21"/>
      <c r="H6" s="21"/>
      <c r="I6" s="21"/>
      <c r="J6" s="21"/>
      <c r="K6" s="20"/>
      <c r="M6" s="487"/>
      <c r="N6" s="487"/>
      <c r="O6" s="487"/>
      <c r="P6" s="487"/>
      <c r="Q6" s="487"/>
      <c r="R6" s="487"/>
      <c r="S6" s="487"/>
      <c r="T6" s="487"/>
      <c r="U6" s="487"/>
      <c r="V6" s="487"/>
    </row>
    <row r="7" spans="1:22" x14ac:dyDescent="0.3">
      <c r="A7" s="18"/>
      <c r="B7" s="101" t="s">
        <v>2093</v>
      </c>
      <c r="C7" s="21"/>
      <c r="D7" s="101" t="s">
        <v>3435</v>
      </c>
      <c r="E7" s="21"/>
      <c r="F7" s="21"/>
      <c r="G7" s="21"/>
      <c r="H7" s="21"/>
      <c r="I7" s="21"/>
      <c r="J7" s="21"/>
      <c r="K7" s="20"/>
      <c r="M7" s="483" t="s">
        <v>323</v>
      </c>
      <c r="N7" s="483"/>
      <c r="O7" s="483" t="s">
        <v>1</v>
      </c>
      <c r="P7" s="483"/>
      <c r="Q7" s="483"/>
      <c r="R7" s="483"/>
      <c r="S7" s="483"/>
      <c r="T7" s="483"/>
      <c r="U7" s="483"/>
      <c r="V7" s="85" t="s">
        <v>324</v>
      </c>
    </row>
    <row r="8" spans="1:22" x14ac:dyDescent="0.3">
      <c r="A8" s="18"/>
      <c r="B8" s="181" t="s">
        <v>2642</v>
      </c>
      <c r="C8" s="21"/>
      <c r="D8" s="403" t="s">
        <v>3436</v>
      </c>
      <c r="E8" s="21"/>
      <c r="F8" s="21"/>
      <c r="G8" s="21"/>
      <c r="H8" s="21"/>
      <c r="I8" s="21"/>
      <c r="J8" s="21"/>
      <c r="K8" s="20"/>
      <c r="M8" s="487" t="s">
        <v>2636</v>
      </c>
      <c r="N8" s="487"/>
      <c r="O8" s="487" t="s">
        <v>3437</v>
      </c>
      <c r="P8" s="487"/>
      <c r="Q8" s="487"/>
      <c r="R8" s="487"/>
      <c r="S8" s="487"/>
      <c r="T8" s="487"/>
      <c r="U8" s="487"/>
      <c r="V8" s="509" t="s">
        <v>325</v>
      </c>
    </row>
    <row r="9" spans="1:22" x14ac:dyDescent="0.3">
      <c r="A9" s="18"/>
      <c r="B9" s="21"/>
      <c r="C9" s="21"/>
      <c r="D9" s="117"/>
      <c r="E9" s="21"/>
      <c r="F9" s="21"/>
      <c r="G9" s="21"/>
      <c r="H9" s="21"/>
      <c r="I9" s="21"/>
      <c r="J9" s="21"/>
      <c r="K9" s="20"/>
      <c r="M9" s="487"/>
      <c r="N9" s="487"/>
      <c r="O9" s="487"/>
      <c r="P9" s="487"/>
      <c r="Q9" s="487"/>
      <c r="R9" s="487"/>
      <c r="S9" s="487"/>
      <c r="T9" s="487"/>
      <c r="U9" s="487"/>
      <c r="V9" s="509"/>
    </row>
    <row r="10" spans="1:22" x14ac:dyDescent="0.3">
      <c r="A10" s="18"/>
      <c r="B10" s="21"/>
      <c r="C10" s="21"/>
      <c r="D10" s="117"/>
      <c r="E10" s="21"/>
      <c r="F10" s="21"/>
      <c r="G10" s="21"/>
      <c r="H10" s="21"/>
      <c r="I10" s="21"/>
      <c r="J10" s="21"/>
      <c r="K10" s="20"/>
      <c r="M10" s="487"/>
      <c r="N10" s="487"/>
      <c r="O10" s="487"/>
      <c r="P10" s="487"/>
      <c r="Q10" s="487"/>
      <c r="R10" s="487"/>
      <c r="S10" s="487"/>
      <c r="T10" s="487"/>
      <c r="U10" s="487"/>
      <c r="V10" s="509"/>
    </row>
    <row r="11" spans="1:22" x14ac:dyDescent="0.3">
      <c r="A11" s="18"/>
      <c r="B11" s="21"/>
      <c r="C11" s="21"/>
      <c r="D11" s="117"/>
      <c r="E11" s="21"/>
      <c r="F11" s="21"/>
      <c r="G11" s="21"/>
      <c r="H11" s="21"/>
      <c r="I11" s="21"/>
      <c r="J11" s="21"/>
      <c r="K11" s="20"/>
      <c r="M11" s="487" t="s">
        <v>2637</v>
      </c>
      <c r="N11" s="487"/>
      <c r="O11" s="487" t="s">
        <v>2638</v>
      </c>
      <c r="P11" s="487"/>
      <c r="Q11" s="487"/>
      <c r="R11" s="487"/>
      <c r="S11" s="487"/>
      <c r="T11" s="487"/>
      <c r="U11" s="487"/>
      <c r="V11" s="509" t="s">
        <v>325</v>
      </c>
    </row>
    <row r="12" spans="1:22" x14ac:dyDescent="0.3">
      <c r="A12" s="18"/>
      <c r="B12" s="21"/>
      <c r="C12" s="21"/>
      <c r="D12" s="117"/>
      <c r="E12" s="21"/>
      <c r="F12" s="21"/>
      <c r="G12" s="21"/>
      <c r="H12" s="21"/>
      <c r="I12" s="21"/>
      <c r="J12" s="21"/>
      <c r="K12" s="20"/>
      <c r="M12" s="487"/>
      <c r="N12" s="487"/>
      <c r="O12" s="487"/>
      <c r="P12" s="487"/>
      <c r="Q12" s="487"/>
      <c r="R12" s="487"/>
      <c r="S12" s="487"/>
      <c r="T12" s="487"/>
      <c r="U12" s="487"/>
      <c r="V12" s="509"/>
    </row>
    <row r="13" spans="1:22" x14ac:dyDescent="0.3">
      <c r="A13" s="18"/>
      <c r="B13" s="21"/>
      <c r="C13" s="21"/>
      <c r="D13" s="117"/>
      <c r="E13" s="21"/>
      <c r="F13" s="21"/>
      <c r="G13" s="21"/>
      <c r="H13" s="21"/>
      <c r="I13" s="21"/>
      <c r="J13" s="21"/>
      <c r="K13" s="20"/>
      <c r="M13" s="487"/>
      <c r="N13" s="487"/>
      <c r="O13" s="487"/>
      <c r="P13" s="487"/>
      <c r="Q13" s="487"/>
      <c r="R13" s="487"/>
      <c r="S13" s="487"/>
      <c r="T13" s="487"/>
      <c r="U13" s="487"/>
      <c r="V13" s="509"/>
    </row>
    <row r="14" spans="1:22" x14ac:dyDescent="0.3">
      <c r="A14" s="18"/>
      <c r="B14" s="21"/>
      <c r="C14" s="21"/>
      <c r="D14" s="430"/>
      <c r="E14" s="21"/>
      <c r="F14" s="21"/>
      <c r="G14" s="21"/>
      <c r="H14" s="21"/>
      <c r="I14" s="21"/>
      <c r="J14" s="21"/>
      <c r="K14" s="20"/>
      <c r="M14" s="484" t="s">
        <v>529</v>
      </c>
      <c r="N14" s="484"/>
      <c r="O14" s="484" t="s">
        <v>2658</v>
      </c>
      <c r="P14" s="484"/>
      <c r="Q14" s="484"/>
      <c r="R14" s="484"/>
      <c r="S14" s="484"/>
      <c r="T14" s="484"/>
      <c r="U14" s="484"/>
      <c r="V14" s="485" t="s">
        <v>326</v>
      </c>
    </row>
    <row r="15" spans="1:22" x14ac:dyDescent="0.3">
      <c r="A15" s="18"/>
      <c r="B15" s="21"/>
      <c r="C15" s="21"/>
      <c r="D15" s="117"/>
      <c r="E15" s="21"/>
      <c r="F15" s="21"/>
      <c r="G15" s="21"/>
      <c r="H15" s="21"/>
      <c r="I15" s="21"/>
      <c r="J15" s="21"/>
      <c r="K15" s="20"/>
      <c r="M15" s="484"/>
      <c r="N15" s="484"/>
      <c r="O15" s="484"/>
      <c r="P15" s="484"/>
      <c r="Q15" s="484"/>
      <c r="R15" s="484"/>
      <c r="S15" s="484"/>
      <c r="T15" s="484"/>
      <c r="U15" s="484"/>
      <c r="V15" s="485"/>
    </row>
    <row r="16" spans="1:22" x14ac:dyDescent="0.3">
      <c r="A16" s="18"/>
      <c r="B16" s="117"/>
      <c r="C16" s="21"/>
      <c r="D16" s="117"/>
      <c r="E16" s="21"/>
      <c r="F16" s="21"/>
      <c r="G16" s="21"/>
      <c r="H16" s="21"/>
      <c r="I16" s="21"/>
      <c r="J16" s="21"/>
      <c r="K16" s="20"/>
      <c r="M16" s="484"/>
      <c r="N16" s="484"/>
      <c r="O16" s="484"/>
      <c r="P16" s="484"/>
      <c r="Q16" s="484"/>
      <c r="R16" s="484"/>
      <c r="S16" s="484"/>
      <c r="T16" s="484"/>
      <c r="U16" s="484"/>
      <c r="V16" s="485"/>
    </row>
    <row r="17" spans="1:22" ht="15" customHeight="1" x14ac:dyDescent="0.3">
      <c r="A17" s="18"/>
      <c r="B17" s="117"/>
      <c r="C17" s="21"/>
      <c r="D17" s="117"/>
      <c r="E17" s="21"/>
      <c r="F17" s="21"/>
      <c r="G17" s="21"/>
      <c r="H17" s="21"/>
      <c r="I17" s="21"/>
      <c r="J17" s="21"/>
      <c r="K17" s="20"/>
      <c r="M17" s="484" t="s">
        <v>530</v>
      </c>
      <c r="N17" s="484"/>
      <c r="O17" s="484" t="s">
        <v>2659</v>
      </c>
      <c r="P17" s="484"/>
      <c r="Q17" s="484"/>
      <c r="R17" s="484"/>
      <c r="S17" s="484"/>
      <c r="T17" s="484"/>
      <c r="U17" s="484"/>
      <c r="V17" s="485" t="s">
        <v>326</v>
      </c>
    </row>
    <row r="18" spans="1:22" x14ac:dyDescent="0.3">
      <c r="A18" s="18"/>
      <c r="B18" s="117"/>
      <c r="C18" s="21"/>
      <c r="D18" s="117"/>
      <c r="E18" s="21"/>
      <c r="F18" s="21"/>
      <c r="G18" s="21"/>
      <c r="H18" s="21"/>
      <c r="I18" s="21"/>
      <c r="J18" s="21"/>
      <c r="K18" s="20"/>
      <c r="M18" s="484"/>
      <c r="N18" s="484"/>
      <c r="O18" s="484"/>
      <c r="P18" s="484"/>
      <c r="Q18" s="484"/>
      <c r="R18" s="484"/>
      <c r="S18" s="484"/>
      <c r="T18" s="484"/>
      <c r="U18" s="484"/>
      <c r="V18" s="485"/>
    </row>
    <row r="19" spans="1:22" x14ac:dyDescent="0.3">
      <c r="A19" s="18"/>
      <c r="B19" s="117"/>
      <c r="C19" s="21"/>
      <c r="D19" s="117"/>
      <c r="E19" s="21"/>
      <c r="F19" s="21"/>
      <c r="G19" s="21"/>
      <c r="H19" s="21"/>
      <c r="I19" s="21"/>
      <c r="J19" s="21"/>
      <c r="K19" s="20"/>
      <c r="M19" s="484"/>
      <c r="N19" s="484"/>
      <c r="O19" s="484"/>
      <c r="P19" s="484"/>
      <c r="Q19" s="484"/>
      <c r="R19" s="484"/>
      <c r="S19" s="484"/>
      <c r="T19" s="484"/>
      <c r="U19" s="484"/>
      <c r="V19" s="485"/>
    </row>
    <row r="20" spans="1:22" x14ac:dyDescent="0.3">
      <c r="A20" s="18"/>
      <c r="B20" s="117"/>
      <c r="C20" s="21"/>
      <c r="D20" s="21"/>
      <c r="E20" s="21"/>
      <c r="F20" s="21"/>
      <c r="G20" s="21"/>
      <c r="H20" s="21"/>
      <c r="I20" s="21"/>
      <c r="J20" s="21"/>
      <c r="K20" s="20"/>
      <c r="M20" s="484" t="s">
        <v>2639</v>
      </c>
      <c r="N20" s="484"/>
      <c r="O20" s="484" t="s">
        <v>2641</v>
      </c>
      <c r="P20" s="484"/>
      <c r="Q20" s="484"/>
      <c r="R20" s="484"/>
      <c r="S20" s="484"/>
      <c r="T20" s="484"/>
      <c r="U20" s="484"/>
      <c r="V20" s="485" t="s">
        <v>326</v>
      </c>
    </row>
    <row r="21" spans="1:22" x14ac:dyDescent="0.3">
      <c r="A21" s="18"/>
      <c r="B21" s="117"/>
      <c r="C21" s="21"/>
      <c r="D21" s="21"/>
      <c r="E21" s="21"/>
      <c r="F21" s="21"/>
      <c r="G21" s="21"/>
      <c r="H21" s="21"/>
      <c r="I21" s="21"/>
      <c r="J21" s="21"/>
      <c r="K21" s="20"/>
      <c r="M21" s="484"/>
      <c r="N21" s="484"/>
      <c r="O21" s="484"/>
      <c r="P21" s="484"/>
      <c r="Q21" s="484"/>
      <c r="R21" s="484"/>
      <c r="S21" s="484"/>
      <c r="T21" s="484"/>
      <c r="U21" s="484"/>
      <c r="V21" s="485"/>
    </row>
    <row r="22" spans="1:22" x14ac:dyDescent="0.3">
      <c r="A22" s="18"/>
      <c r="B22" s="117"/>
      <c r="C22" s="21"/>
      <c r="D22" s="21"/>
      <c r="E22" s="21"/>
      <c r="F22" s="21"/>
      <c r="G22" s="21"/>
      <c r="H22" s="21"/>
      <c r="I22" s="21"/>
      <c r="J22" s="21"/>
      <c r="K22" s="20"/>
      <c r="M22" s="484"/>
      <c r="N22" s="484"/>
      <c r="O22" s="484"/>
      <c r="P22" s="484"/>
      <c r="Q22" s="484"/>
      <c r="R22" s="484"/>
      <c r="S22" s="484"/>
      <c r="T22" s="484"/>
      <c r="U22" s="484"/>
      <c r="V22" s="485"/>
    </row>
    <row r="23" spans="1:22" x14ac:dyDescent="0.3">
      <c r="A23" s="18"/>
      <c r="B23" s="101" t="s">
        <v>2093</v>
      </c>
      <c r="C23" s="21"/>
      <c r="D23" s="101" t="s">
        <v>3435</v>
      </c>
      <c r="E23" s="21"/>
      <c r="F23" s="21"/>
      <c r="G23" s="21"/>
      <c r="H23" s="21"/>
      <c r="I23" s="21"/>
      <c r="J23" s="21"/>
      <c r="K23" s="20"/>
      <c r="M23" s="484" t="s">
        <v>2347</v>
      </c>
      <c r="N23" s="484"/>
      <c r="O23" s="484" t="s">
        <v>2899</v>
      </c>
      <c r="P23" s="484"/>
      <c r="Q23" s="484"/>
      <c r="R23" s="484"/>
      <c r="S23" s="484"/>
      <c r="T23" s="484"/>
      <c r="U23" s="484"/>
      <c r="V23" s="485" t="s">
        <v>326</v>
      </c>
    </row>
    <row r="24" spans="1:22" x14ac:dyDescent="0.3">
      <c r="A24" s="18"/>
      <c r="B24" s="181" t="str" cm="1">
        <f t="array" ref="B24">_xll.U.RANGE_REF(B1)</f>
        <v>[REF]{{34856#2238123964336!R1C2}}</v>
      </c>
      <c r="C24" s="21"/>
      <c r="D24" s="403" cm="1">
        <f t="array" ref="D24">_xll.U.INSERT_IMAGE(B24,B26:B28,"fit",0,TRUE,{"brightness",0.65;"rotation",15;"ReflectionSize","60"})</f>
        <v>46145.893248067128</v>
      </c>
      <c r="E24" s="21"/>
      <c r="F24" s="21"/>
      <c r="G24" s="21"/>
      <c r="H24" s="21"/>
      <c r="I24" s="21"/>
      <c r="J24" s="21"/>
      <c r="K24" s="20"/>
      <c r="M24" s="484"/>
      <c r="N24" s="484"/>
      <c r="O24" s="484"/>
      <c r="P24" s="484"/>
      <c r="Q24" s="484"/>
      <c r="R24" s="484"/>
      <c r="S24" s="484"/>
      <c r="T24" s="484"/>
      <c r="U24" s="484"/>
      <c r="V24" s="485"/>
    </row>
    <row r="25" spans="1:22" x14ac:dyDescent="0.3">
      <c r="A25" s="18"/>
      <c r="B25" s="117"/>
      <c r="C25" s="21"/>
      <c r="D25" s="21"/>
      <c r="E25" s="21"/>
      <c r="F25" s="21"/>
      <c r="G25" s="21"/>
      <c r="H25" s="21"/>
      <c r="I25" s="21"/>
      <c r="J25" s="21"/>
      <c r="K25" s="20"/>
      <c r="M25" s="484"/>
      <c r="N25" s="484"/>
      <c r="O25" s="484"/>
      <c r="P25" s="484"/>
      <c r="Q25" s="484"/>
      <c r="R25" s="484"/>
      <c r="S25" s="484"/>
      <c r="T25" s="484"/>
      <c r="U25" s="484"/>
      <c r="V25" s="485"/>
    </row>
    <row r="26" spans="1:22" ht="15" customHeight="1" x14ac:dyDescent="0.3">
      <c r="A26" s="18"/>
      <c r="B26" s="117"/>
      <c r="C26" s="21"/>
      <c r="D26" s="21"/>
      <c r="E26" s="21"/>
      <c r="F26" s="21"/>
      <c r="G26" s="21"/>
      <c r="H26" s="21"/>
      <c r="I26" s="21"/>
      <c r="J26" s="21"/>
      <c r="K26" s="20"/>
      <c r="M26" s="484" t="s">
        <v>2299</v>
      </c>
      <c r="N26" s="484"/>
      <c r="O26" s="496" t="s">
        <v>3088</v>
      </c>
      <c r="P26" s="502"/>
      <c r="Q26" s="502"/>
      <c r="R26" s="502"/>
      <c r="S26" s="502"/>
      <c r="T26" s="502"/>
      <c r="U26" s="497"/>
      <c r="V26" s="485" t="s">
        <v>326</v>
      </c>
    </row>
    <row r="27" spans="1:22" x14ac:dyDescent="0.3">
      <c r="A27" s="18"/>
      <c r="B27" s="117"/>
      <c r="C27" s="21"/>
      <c r="D27" s="21"/>
      <c r="E27" s="21"/>
      <c r="F27" s="21"/>
      <c r="G27" s="21"/>
      <c r="H27" s="21"/>
      <c r="I27" s="21"/>
      <c r="J27" s="21"/>
      <c r="K27" s="20"/>
      <c r="M27" s="484"/>
      <c r="N27" s="484"/>
      <c r="O27" s="498"/>
      <c r="P27" s="503"/>
      <c r="Q27" s="503"/>
      <c r="R27" s="503"/>
      <c r="S27" s="503"/>
      <c r="T27" s="503"/>
      <c r="U27" s="499"/>
      <c r="V27" s="485"/>
    </row>
    <row r="28" spans="1:22" x14ac:dyDescent="0.3">
      <c r="A28" s="18"/>
      <c r="B28" s="117"/>
      <c r="C28" s="21"/>
      <c r="D28" s="21"/>
      <c r="E28" s="21"/>
      <c r="F28" s="21"/>
      <c r="G28" s="21"/>
      <c r="H28" s="21"/>
      <c r="I28" s="21"/>
      <c r="J28" s="21"/>
      <c r="K28" s="20"/>
      <c r="M28" s="484"/>
      <c r="N28" s="484"/>
      <c r="O28" s="500"/>
      <c r="P28" s="504"/>
      <c r="Q28" s="504"/>
      <c r="R28" s="504"/>
      <c r="S28" s="504"/>
      <c r="T28" s="504"/>
      <c r="U28" s="501"/>
      <c r="V28" s="485"/>
    </row>
    <row r="29" spans="1:22" x14ac:dyDescent="0.3">
      <c r="A29" s="18"/>
      <c r="B29" s="117"/>
      <c r="C29" s="21"/>
      <c r="D29" s="21"/>
      <c r="E29" s="21"/>
      <c r="F29" s="21"/>
      <c r="G29" s="21"/>
      <c r="H29" s="21"/>
      <c r="I29" s="21"/>
      <c r="J29" s="21"/>
      <c r="K29" s="20"/>
      <c r="M29" s="126" t="s">
        <v>328</v>
      </c>
    </row>
    <row r="30" spans="1:22" x14ac:dyDescent="0.3">
      <c r="A30" s="18"/>
      <c r="B30" s="117"/>
      <c r="C30" s="21"/>
      <c r="D30" s="21"/>
      <c r="E30" s="21"/>
      <c r="F30" s="21"/>
      <c r="G30" s="21"/>
      <c r="H30" s="21"/>
      <c r="I30" s="21"/>
      <c r="J30" s="21"/>
      <c r="K30" s="20"/>
    </row>
    <row r="31" spans="1:22" x14ac:dyDescent="0.3">
      <c r="A31" s="18"/>
      <c r="B31" s="117"/>
      <c r="C31" s="117"/>
      <c r="D31" s="117"/>
      <c r="E31" s="117"/>
      <c r="F31" s="117"/>
      <c r="G31" s="117"/>
      <c r="H31" s="117"/>
      <c r="I31" s="21"/>
      <c r="J31" s="21"/>
      <c r="K31" s="20"/>
    </row>
    <row r="32" spans="1:22" x14ac:dyDescent="0.3">
      <c r="A32" s="18"/>
      <c r="B32" s="117"/>
      <c r="C32" s="117"/>
      <c r="D32" s="117"/>
      <c r="E32" s="21"/>
      <c r="F32" s="21"/>
      <c r="G32" s="21"/>
      <c r="H32" s="21"/>
      <c r="I32" s="21"/>
      <c r="J32" s="21"/>
      <c r="K32" s="20"/>
      <c r="M32" s="486" t="s">
        <v>3438</v>
      </c>
      <c r="N32" s="486"/>
      <c r="O32" s="486"/>
      <c r="P32" s="486"/>
      <c r="Q32" s="486"/>
      <c r="R32" s="486"/>
      <c r="S32" s="486"/>
      <c r="T32" s="486"/>
      <c r="U32" s="486"/>
      <c r="V32" s="486"/>
    </row>
    <row r="33" spans="1:22" x14ac:dyDescent="0.3">
      <c r="A33" s="18"/>
      <c r="B33" s="117"/>
      <c r="C33" s="117"/>
      <c r="D33" s="117"/>
      <c r="E33" s="21"/>
      <c r="F33" s="21"/>
      <c r="G33" s="21"/>
      <c r="H33" s="21"/>
      <c r="I33" s="21"/>
      <c r="J33" s="21"/>
      <c r="K33" s="20"/>
      <c r="M33" s="487" t="s">
        <v>333</v>
      </c>
      <c r="N33" s="487"/>
      <c r="O33" s="487" t="s">
        <v>2889</v>
      </c>
      <c r="P33" s="487"/>
      <c r="Q33" s="487"/>
      <c r="R33" s="487"/>
      <c r="S33" s="487"/>
      <c r="T33" s="487"/>
      <c r="U33" s="487"/>
      <c r="V33" s="487"/>
    </row>
    <row r="34" spans="1:22" x14ac:dyDescent="0.3">
      <c r="A34" s="18"/>
      <c r="B34" s="117"/>
      <c r="C34" s="117"/>
      <c r="D34" s="117"/>
      <c r="E34" s="21"/>
      <c r="F34" s="21"/>
      <c r="G34" s="21"/>
      <c r="H34" s="21"/>
      <c r="I34" s="21"/>
      <c r="J34" s="21"/>
      <c r="K34" s="20"/>
      <c r="M34" s="487"/>
      <c r="N34" s="487"/>
      <c r="O34" s="487"/>
      <c r="P34" s="487"/>
      <c r="Q34" s="487"/>
      <c r="R34" s="487"/>
      <c r="S34" s="487"/>
      <c r="T34" s="487"/>
      <c r="U34" s="487"/>
      <c r="V34" s="487"/>
    </row>
    <row r="35" spans="1:22" x14ac:dyDescent="0.3">
      <c r="A35" s="18"/>
      <c r="B35" s="117"/>
      <c r="C35" s="117"/>
      <c r="D35" s="117"/>
      <c r="E35" s="21"/>
      <c r="F35" s="21"/>
      <c r="G35" s="21"/>
      <c r="H35" s="21"/>
      <c r="I35" s="21"/>
      <c r="J35" s="21"/>
      <c r="K35" s="20"/>
      <c r="M35" s="487"/>
      <c r="N35" s="487"/>
      <c r="O35" s="487"/>
      <c r="P35" s="487"/>
      <c r="Q35" s="487"/>
      <c r="R35" s="487"/>
      <c r="S35" s="487"/>
      <c r="T35" s="487"/>
      <c r="U35" s="487"/>
      <c r="V35" s="487"/>
    </row>
    <row r="36" spans="1:22" x14ac:dyDescent="0.3">
      <c r="A36" s="18"/>
      <c r="B36" s="117"/>
      <c r="C36" s="117"/>
      <c r="D36" s="117"/>
      <c r="E36" s="21"/>
      <c r="F36" s="21"/>
      <c r="G36" s="21"/>
      <c r="H36" s="21"/>
      <c r="I36" s="21"/>
      <c r="J36" s="21"/>
      <c r="K36" s="20"/>
      <c r="M36" s="483" t="s">
        <v>323</v>
      </c>
      <c r="N36" s="483"/>
      <c r="O36" s="483" t="s">
        <v>1</v>
      </c>
      <c r="P36" s="483"/>
      <c r="Q36" s="483"/>
      <c r="R36" s="483"/>
      <c r="S36" s="483"/>
      <c r="T36" s="483"/>
      <c r="U36" s="483"/>
      <c r="V36" s="85" t="s">
        <v>324</v>
      </c>
    </row>
    <row r="37" spans="1:22" x14ac:dyDescent="0.3">
      <c r="A37" s="18"/>
      <c r="B37" s="117"/>
      <c r="C37" s="117"/>
      <c r="D37" s="117"/>
      <c r="E37" s="21"/>
      <c r="F37" s="21"/>
      <c r="G37" s="21"/>
      <c r="H37" s="21"/>
      <c r="I37" s="21"/>
      <c r="J37" s="21"/>
      <c r="K37" s="20"/>
      <c r="M37" s="487" t="s">
        <v>2890</v>
      </c>
      <c r="N37" s="487"/>
      <c r="O37" s="487" t="s">
        <v>2891</v>
      </c>
      <c r="P37" s="487"/>
      <c r="Q37" s="487"/>
      <c r="R37" s="487"/>
      <c r="S37" s="487"/>
      <c r="T37" s="487"/>
      <c r="U37" s="487"/>
      <c r="V37" s="509" t="s">
        <v>325</v>
      </c>
    </row>
    <row r="38" spans="1:22" x14ac:dyDescent="0.3">
      <c r="A38" s="18"/>
      <c r="B38" s="117"/>
      <c r="C38" s="117"/>
      <c r="D38" s="117"/>
      <c r="E38" s="21"/>
      <c r="F38" s="21"/>
      <c r="G38" s="21"/>
      <c r="H38" s="21"/>
      <c r="I38" s="21"/>
      <c r="J38" s="21"/>
      <c r="K38" s="20"/>
      <c r="M38" s="487"/>
      <c r="N38" s="487"/>
      <c r="O38" s="487"/>
      <c r="P38" s="487"/>
      <c r="Q38" s="487"/>
      <c r="R38" s="487"/>
      <c r="S38" s="487"/>
      <c r="T38" s="487"/>
      <c r="U38" s="487"/>
      <c r="V38" s="509"/>
    </row>
    <row r="39" spans="1:22" x14ac:dyDescent="0.3">
      <c r="A39" s="18"/>
      <c r="B39" s="117"/>
      <c r="C39" s="117"/>
      <c r="D39" s="117"/>
      <c r="E39" s="21"/>
      <c r="F39" s="21"/>
      <c r="G39" s="21"/>
      <c r="H39" s="21"/>
      <c r="I39" s="21"/>
      <c r="J39" s="21"/>
      <c r="K39" s="20"/>
      <c r="M39" s="487"/>
      <c r="N39" s="487"/>
      <c r="O39" s="487"/>
      <c r="P39" s="487"/>
      <c r="Q39" s="487"/>
      <c r="R39" s="487"/>
      <c r="S39" s="487"/>
      <c r="T39" s="487"/>
      <c r="U39" s="487"/>
      <c r="V39" s="509"/>
    </row>
    <row r="40" spans="1:22" x14ac:dyDescent="0.3">
      <c r="A40" s="18"/>
      <c r="B40" s="117"/>
      <c r="C40" s="21"/>
      <c r="D40" s="123"/>
      <c r="E40" s="21"/>
      <c r="F40" s="21"/>
      <c r="G40" s="21"/>
      <c r="H40" s="21"/>
      <c r="I40" s="21"/>
      <c r="J40" s="21"/>
      <c r="K40" s="20"/>
      <c r="M40" s="487" t="s">
        <v>504</v>
      </c>
      <c r="N40" s="487"/>
      <c r="O40" s="487" t="s">
        <v>2900</v>
      </c>
      <c r="P40" s="487"/>
      <c r="Q40" s="487"/>
      <c r="R40" s="487"/>
      <c r="S40" s="487"/>
      <c r="T40" s="487"/>
      <c r="U40" s="487"/>
      <c r="V40" s="509" t="s">
        <v>325</v>
      </c>
    </row>
    <row r="41" spans="1:22" x14ac:dyDescent="0.3">
      <c r="A41" s="18"/>
      <c r="B41" s="117"/>
      <c r="C41" s="21"/>
      <c r="D41" s="123"/>
      <c r="E41" s="21"/>
      <c r="F41" s="21"/>
      <c r="G41" s="21"/>
      <c r="H41" s="21"/>
      <c r="I41" s="21"/>
      <c r="J41" s="21"/>
      <c r="K41" s="20"/>
      <c r="M41" s="487"/>
      <c r="N41" s="487"/>
      <c r="O41" s="487"/>
      <c r="P41" s="487"/>
      <c r="Q41" s="487"/>
      <c r="R41" s="487"/>
      <c r="S41" s="487"/>
      <c r="T41" s="487"/>
      <c r="U41" s="487"/>
      <c r="V41" s="509"/>
    </row>
    <row r="42" spans="1:22" x14ac:dyDescent="0.3">
      <c r="A42" s="18"/>
      <c r="B42" s="117"/>
      <c r="C42" s="21"/>
      <c r="D42" s="123"/>
      <c r="E42" s="21"/>
      <c r="F42" s="21"/>
      <c r="G42" s="21"/>
      <c r="H42" s="21"/>
      <c r="I42" s="21"/>
      <c r="J42" s="21"/>
      <c r="K42" s="20"/>
      <c r="M42" s="487"/>
      <c r="N42" s="487"/>
      <c r="O42" s="487"/>
      <c r="P42" s="487"/>
      <c r="Q42" s="487"/>
      <c r="R42" s="487"/>
      <c r="S42" s="487"/>
      <c r="T42" s="487"/>
      <c r="U42" s="487"/>
      <c r="V42" s="509"/>
    </row>
    <row r="43" spans="1:22" x14ac:dyDescent="0.3">
      <c r="A43" s="18"/>
      <c r="B43" s="117"/>
      <c r="C43" s="21"/>
      <c r="D43" s="123"/>
      <c r="E43" s="21"/>
      <c r="F43" s="21"/>
      <c r="G43" s="21"/>
      <c r="H43" s="21"/>
      <c r="I43" s="21"/>
      <c r="J43" s="21"/>
      <c r="K43" s="20"/>
      <c r="M43" s="484" t="s">
        <v>894</v>
      </c>
      <c r="N43" s="484"/>
      <c r="O43" s="484" t="s">
        <v>2917</v>
      </c>
      <c r="P43" s="484"/>
      <c r="Q43" s="484"/>
      <c r="R43" s="484"/>
      <c r="S43" s="484"/>
      <c r="T43" s="484"/>
      <c r="U43" s="484"/>
      <c r="V43" s="485" t="s">
        <v>326</v>
      </c>
    </row>
    <row r="44" spans="1:22" x14ac:dyDescent="0.3">
      <c r="A44" s="18"/>
      <c r="B44" s="117"/>
      <c r="C44" s="21"/>
      <c r="D44" s="123"/>
      <c r="E44" s="21"/>
      <c r="F44" s="21"/>
      <c r="G44" s="21"/>
      <c r="H44" s="21"/>
      <c r="I44" s="21"/>
      <c r="J44" s="21"/>
      <c r="K44" s="20"/>
      <c r="M44" s="484"/>
      <c r="N44" s="484"/>
      <c r="O44" s="484"/>
      <c r="P44" s="484"/>
      <c r="Q44" s="484"/>
      <c r="R44" s="484"/>
      <c r="S44" s="484"/>
      <c r="T44" s="484"/>
      <c r="U44" s="484"/>
      <c r="V44" s="485"/>
    </row>
    <row r="45" spans="1:22" x14ac:dyDescent="0.3">
      <c r="A45" s="18"/>
      <c r="B45" s="117"/>
      <c r="C45" s="21"/>
      <c r="D45" s="123"/>
      <c r="E45" s="21"/>
      <c r="F45" s="21"/>
      <c r="G45" s="21"/>
      <c r="H45" s="21"/>
      <c r="I45" s="21"/>
      <c r="J45" s="21"/>
      <c r="K45" s="20"/>
      <c r="M45" s="484"/>
      <c r="N45" s="484"/>
      <c r="O45" s="484"/>
      <c r="P45" s="484"/>
      <c r="Q45" s="484"/>
      <c r="R45" s="484"/>
      <c r="S45" s="484"/>
      <c r="T45" s="484"/>
      <c r="U45" s="484"/>
      <c r="V45" s="485"/>
    </row>
    <row r="46" spans="1:22" ht="15" customHeight="1" x14ac:dyDescent="0.3">
      <c r="A46" s="18"/>
      <c r="B46" s="117"/>
      <c r="C46" s="21"/>
      <c r="D46" s="123"/>
      <c r="E46" s="21"/>
      <c r="F46" s="21"/>
      <c r="G46" s="21"/>
      <c r="H46" s="21"/>
      <c r="I46" s="21"/>
      <c r="J46" s="21"/>
      <c r="K46" s="20"/>
      <c r="M46" s="484" t="s">
        <v>2299</v>
      </c>
      <c r="N46" s="484"/>
      <c r="O46" s="496" t="s">
        <v>3088</v>
      </c>
      <c r="P46" s="502"/>
      <c r="Q46" s="502"/>
      <c r="R46" s="502"/>
      <c r="S46" s="502"/>
      <c r="T46" s="502"/>
      <c r="U46" s="497"/>
      <c r="V46" s="485" t="s">
        <v>326</v>
      </c>
    </row>
    <row r="47" spans="1:22" x14ac:dyDescent="0.3">
      <c r="A47" s="18"/>
      <c r="B47" s="117"/>
      <c r="C47" s="21"/>
      <c r="D47" s="123"/>
      <c r="E47" s="21"/>
      <c r="F47" s="21"/>
      <c r="G47" s="21"/>
      <c r="H47" s="21"/>
      <c r="I47" s="21"/>
      <c r="J47" s="21"/>
      <c r="K47" s="20"/>
      <c r="M47" s="484"/>
      <c r="N47" s="484"/>
      <c r="O47" s="498"/>
      <c r="P47" s="503"/>
      <c r="Q47" s="503"/>
      <c r="R47" s="503"/>
      <c r="S47" s="503"/>
      <c r="T47" s="503"/>
      <c r="U47" s="499"/>
      <c r="V47" s="485"/>
    </row>
    <row r="48" spans="1:22" x14ac:dyDescent="0.3">
      <c r="A48" s="18"/>
      <c r="B48" s="117"/>
      <c r="C48" s="21"/>
      <c r="D48" s="123"/>
      <c r="E48" s="21"/>
      <c r="F48" s="21"/>
      <c r="G48" s="21"/>
      <c r="H48" s="21"/>
      <c r="I48" s="21"/>
      <c r="J48" s="21"/>
      <c r="K48" s="20"/>
      <c r="M48" s="484"/>
      <c r="N48" s="484"/>
      <c r="O48" s="500"/>
      <c r="P48" s="504"/>
      <c r="Q48" s="504"/>
      <c r="R48" s="504"/>
      <c r="S48" s="504"/>
      <c r="T48" s="504"/>
      <c r="U48" s="501"/>
      <c r="V48" s="485"/>
    </row>
    <row r="49" spans="1:22" x14ac:dyDescent="0.3">
      <c r="A49" s="18"/>
      <c r="B49" s="117"/>
      <c r="C49" s="21"/>
      <c r="D49" s="123"/>
      <c r="E49" s="21"/>
      <c r="F49" s="21"/>
      <c r="G49" s="21"/>
      <c r="H49" s="21"/>
      <c r="I49" s="21"/>
      <c r="J49" s="21"/>
      <c r="K49" s="20"/>
      <c r="M49" s="126" t="s">
        <v>328</v>
      </c>
    </row>
    <row r="50" spans="1:22" x14ac:dyDescent="0.3">
      <c r="A50" s="18"/>
      <c r="B50" s="117"/>
      <c r="C50" s="21"/>
      <c r="D50" s="123"/>
      <c r="E50" s="21"/>
      <c r="F50" s="21"/>
      <c r="G50" s="21"/>
      <c r="H50" s="21"/>
      <c r="I50" s="21"/>
      <c r="J50" s="21"/>
      <c r="K50" s="20"/>
    </row>
    <row r="51" spans="1:22" x14ac:dyDescent="0.3">
      <c r="A51" s="18"/>
      <c r="B51" s="117"/>
      <c r="C51" s="21"/>
      <c r="D51" s="123"/>
      <c r="E51" s="21"/>
      <c r="F51" s="21"/>
      <c r="G51" s="21"/>
      <c r="H51" s="21"/>
      <c r="I51" s="21"/>
      <c r="J51" s="21"/>
      <c r="K51" s="20"/>
    </row>
    <row r="52" spans="1:22" x14ac:dyDescent="0.3">
      <c r="A52" s="18"/>
      <c r="B52" s="117"/>
      <c r="C52" s="21"/>
      <c r="D52" s="123"/>
      <c r="E52" s="21"/>
      <c r="F52" s="21"/>
      <c r="G52" s="21"/>
      <c r="H52" s="21"/>
      <c r="I52" s="21"/>
      <c r="J52" s="21"/>
      <c r="K52" s="20"/>
      <c r="M52" s="486" t="s">
        <v>3439</v>
      </c>
      <c r="N52" s="486"/>
      <c r="O52" s="486"/>
      <c r="P52" s="486"/>
      <c r="Q52" s="486"/>
      <c r="R52" s="486"/>
      <c r="S52" s="486"/>
      <c r="T52" s="486"/>
      <c r="U52" s="486"/>
      <c r="V52" s="486"/>
    </row>
    <row r="53" spans="1:22" x14ac:dyDescent="0.3">
      <c r="A53" s="18"/>
      <c r="B53" s="117"/>
      <c r="C53" s="21"/>
      <c r="D53" s="123"/>
      <c r="E53" s="21"/>
      <c r="F53" s="21"/>
      <c r="G53" s="21"/>
      <c r="H53" s="21"/>
      <c r="I53" s="21"/>
      <c r="J53" s="21"/>
      <c r="K53" s="20"/>
      <c r="M53" s="487" t="s">
        <v>333</v>
      </c>
      <c r="N53" s="487"/>
      <c r="O53" s="487" t="s">
        <v>3440</v>
      </c>
      <c r="P53" s="487"/>
      <c r="Q53" s="487"/>
      <c r="R53" s="487"/>
      <c r="S53" s="487"/>
      <c r="T53" s="487"/>
      <c r="U53" s="487"/>
      <c r="V53" s="487"/>
    </row>
    <row r="54" spans="1:22" x14ac:dyDescent="0.3">
      <c r="A54" s="18"/>
      <c r="B54" s="117"/>
      <c r="C54" s="21"/>
      <c r="D54" s="123"/>
      <c r="E54" s="21"/>
      <c r="F54" s="21"/>
      <c r="G54" s="21"/>
      <c r="H54" s="21"/>
      <c r="I54" s="21"/>
      <c r="J54" s="21"/>
      <c r="K54" s="20"/>
      <c r="M54" s="487"/>
      <c r="N54" s="487"/>
      <c r="O54" s="487"/>
      <c r="P54" s="487"/>
      <c r="Q54" s="487"/>
      <c r="R54" s="487"/>
      <c r="S54" s="487"/>
      <c r="T54" s="487"/>
      <c r="U54" s="487"/>
      <c r="V54" s="487"/>
    </row>
    <row r="55" spans="1:22" x14ac:dyDescent="0.3">
      <c r="A55" s="18"/>
      <c r="B55" s="117"/>
      <c r="C55" s="21"/>
      <c r="D55" s="123"/>
      <c r="E55" s="21"/>
      <c r="F55" s="21"/>
      <c r="G55" s="21"/>
      <c r="H55" s="21"/>
      <c r="I55" s="21"/>
      <c r="J55" s="21"/>
      <c r="K55" s="20"/>
      <c r="M55" s="487"/>
      <c r="N55" s="487"/>
      <c r="O55" s="487"/>
      <c r="P55" s="487"/>
      <c r="Q55" s="487"/>
      <c r="R55" s="487"/>
      <c r="S55" s="487"/>
      <c r="T55" s="487"/>
      <c r="U55" s="487"/>
      <c r="V55" s="487"/>
    </row>
    <row r="56" spans="1:22" x14ac:dyDescent="0.3">
      <c r="A56" s="18"/>
      <c r="B56" s="117"/>
      <c r="C56" s="21"/>
      <c r="D56" s="123"/>
      <c r="E56" s="21"/>
      <c r="F56" s="21"/>
      <c r="G56" s="21"/>
      <c r="H56" s="21"/>
      <c r="I56" s="21"/>
      <c r="J56" s="21"/>
      <c r="K56" s="20"/>
      <c r="M56" s="483" t="s">
        <v>323</v>
      </c>
      <c r="N56" s="483"/>
      <c r="O56" s="483" t="s">
        <v>1</v>
      </c>
      <c r="P56" s="483"/>
      <c r="Q56" s="483"/>
      <c r="R56" s="483"/>
      <c r="S56" s="483"/>
      <c r="T56" s="483"/>
      <c r="U56" s="483"/>
      <c r="V56" s="85" t="s">
        <v>324</v>
      </c>
    </row>
    <row r="57" spans="1:22" ht="15" customHeight="1" x14ac:dyDescent="0.3">
      <c r="A57" s="18"/>
      <c r="B57" s="117"/>
      <c r="C57" s="21"/>
      <c r="D57" s="123"/>
      <c r="E57" s="21"/>
      <c r="F57" s="21"/>
      <c r="G57" s="21"/>
      <c r="H57" s="21"/>
      <c r="I57" s="21"/>
      <c r="J57" s="21"/>
      <c r="K57" s="20"/>
      <c r="M57" s="487" t="s">
        <v>458</v>
      </c>
      <c r="N57" s="487"/>
      <c r="O57" s="487" t="s">
        <v>2893</v>
      </c>
      <c r="P57" s="487"/>
      <c r="Q57" s="487"/>
      <c r="R57" s="487"/>
      <c r="S57" s="487"/>
      <c r="T57" s="487"/>
      <c r="U57" s="487"/>
      <c r="V57" s="509" t="s">
        <v>325</v>
      </c>
    </row>
    <row r="58" spans="1:22" x14ac:dyDescent="0.3">
      <c r="A58" s="18"/>
      <c r="B58" s="117"/>
      <c r="C58" s="21"/>
      <c r="D58" s="123"/>
      <c r="E58" s="21"/>
      <c r="F58" s="21"/>
      <c r="G58" s="21"/>
      <c r="H58" s="21"/>
      <c r="I58" s="21"/>
      <c r="J58" s="21"/>
      <c r="K58" s="20"/>
      <c r="M58" s="487"/>
      <c r="N58" s="487"/>
      <c r="O58" s="487"/>
      <c r="P58" s="487"/>
      <c r="Q58" s="487"/>
      <c r="R58" s="487"/>
      <c r="S58" s="487"/>
      <c r="T58" s="487"/>
      <c r="U58" s="487"/>
      <c r="V58" s="509"/>
    </row>
    <row r="59" spans="1:22" x14ac:dyDescent="0.3">
      <c r="A59" s="18"/>
      <c r="B59" s="117"/>
      <c r="C59" s="21"/>
      <c r="D59" s="123"/>
      <c r="E59" s="21"/>
      <c r="F59" s="21"/>
      <c r="G59" s="21"/>
      <c r="H59" s="21"/>
      <c r="I59" s="21"/>
      <c r="J59" s="21"/>
      <c r="K59" s="20"/>
      <c r="M59" s="487"/>
      <c r="N59" s="487"/>
      <c r="O59" s="487"/>
      <c r="P59" s="487"/>
      <c r="Q59" s="487"/>
      <c r="R59" s="487"/>
      <c r="S59" s="487"/>
      <c r="T59" s="487"/>
      <c r="U59" s="487"/>
      <c r="V59" s="509"/>
    </row>
    <row r="60" spans="1:22" ht="15" customHeight="1" x14ac:dyDescent="0.3">
      <c r="A60" s="18"/>
      <c r="B60" s="117"/>
      <c r="C60" s="21"/>
      <c r="D60" s="123"/>
      <c r="E60" s="21"/>
      <c r="F60" s="21"/>
      <c r="G60" s="21"/>
      <c r="H60" s="21"/>
      <c r="I60" s="21"/>
      <c r="J60" s="21"/>
      <c r="K60" s="20"/>
      <c r="M60" s="487" t="s">
        <v>517</v>
      </c>
      <c r="N60" s="487"/>
      <c r="O60" s="487" t="s">
        <v>2894</v>
      </c>
      <c r="P60" s="487"/>
      <c r="Q60" s="487"/>
      <c r="R60" s="487"/>
      <c r="S60" s="487"/>
      <c r="T60" s="487"/>
      <c r="U60" s="487"/>
      <c r="V60" s="509" t="s">
        <v>325</v>
      </c>
    </row>
    <row r="61" spans="1:22" x14ac:dyDescent="0.3">
      <c r="A61" s="18"/>
      <c r="B61" s="117"/>
      <c r="C61" s="21"/>
      <c r="D61" s="123"/>
      <c r="E61" s="21"/>
      <c r="F61" s="21"/>
      <c r="G61" s="21"/>
      <c r="H61" s="21"/>
      <c r="I61" s="21"/>
      <c r="J61" s="21"/>
      <c r="K61" s="20"/>
      <c r="M61" s="487"/>
      <c r="N61" s="487"/>
      <c r="O61" s="487"/>
      <c r="P61" s="487"/>
      <c r="Q61" s="487"/>
      <c r="R61" s="487"/>
      <c r="S61" s="487"/>
      <c r="T61" s="487"/>
      <c r="U61" s="487"/>
      <c r="V61" s="509"/>
    </row>
    <row r="62" spans="1:22" x14ac:dyDescent="0.3">
      <c r="A62" s="18"/>
      <c r="B62" s="117"/>
      <c r="C62" s="21"/>
      <c r="D62" s="123"/>
      <c r="E62" s="21"/>
      <c r="F62" s="21"/>
      <c r="G62" s="21"/>
      <c r="H62" s="21"/>
      <c r="I62" s="21"/>
      <c r="J62" s="21"/>
      <c r="K62" s="20"/>
      <c r="M62" s="487"/>
      <c r="N62" s="487"/>
      <c r="O62" s="487"/>
      <c r="P62" s="487"/>
      <c r="Q62" s="487"/>
      <c r="R62" s="487"/>
      <c r="S62" s="487"/>
      <c r="T62" s="487"/>
      <c r="U62" s="487"/>
      <c r="V62" s="509"/>
    </row>
    <row r="63" spans="1:22" x14ac:dyDescent="0.3">
      <c r="A63" s="490" t="s">
        <v>2882</v>
      </c>
      <c r="B63" s="491"/>
      <c r="C63" s="491"/>
      <c r="D63" s="491"/>
      <c r="E63" s="491"/>
      <c r="F63" s="491"/>
      <c r="G63" s="491"/>
      <c r="H63" s="491"/>
      <c r="I63" s="491"/>
      <c r="J63" s="491"/>
      <c r="K63" s="20"/>
      <c r="M63" s="484" t="s">
        <v>2892</v>
      </c>
      <c r="N63" s="484"/>
      <c r="O63" s="484" t="s">
        <v>3441</v>
      </c>
      <c r="P63" s="484"/>
      <c r="Q63" s="484"/>
      <c r="R63" s="484"/>
      <c r="S63" s="484"/>
      <c r="T63" s="484"/>
      <c r="U63" s="484"/>
      <c r="V63" s="485" t="s">
        <v>326</v>
      </c>
    </row>
    <row r="64" spans="1:22" x14ac:dyDescent="0.3">
      <c r="A64" s="18"/>
      <c r="B64" s="117"/>
      <c r="C64" s="21"/>
      <c r="D64" s="123"/>
      <c r="E64" s="21"/>
      <c r="F64" s="21"/>
      <c r="G64" s="21"/>
      <c r="H64" s="21"/>
      <c r="I64" s="21"/>
      <c r="J64" s="21"/>
      <c r="K64" s="20"/>
      <c r="M64" s="484"/>
      <c r="N64" s="484"/>
      <c r="O64" s="484"/>
      <c r="P64" s="484"/>
      <c r="Q64" s="484"/>
      <c r="R64" s="484"/>
      <c r="S64" s="484"/>
      <c r="T64" s="484"/>
      <c r="U64" s="484"/>
      <c r="V64" s="485"/>
    </row>
    <row r="65" spans="1:22" x14ac:dyDescent="0.3">
      <c r="A65" s="18"/>
      <c r="B65" s="117"/>
      <c r="C65" s="21"/>
      <c r="D65" s="123"/>
      <c r="E65" s="21"/>
      <c r="F65" s="21"/>
      <c r="G65" s="21"/>
      <c r="H65" s="21"/>
      <c r="I65" s="21"/>
      <c r="J65" s="21"/>
      <c r="K65" s="20"/>
      <c r="M65" s="484"/>
      <c r="N65" s="484"/>
      <c r="O65" s="484"/>
      <c r="P65" s="484"/>
      <c r="Q65" s="484"/>
      <c r="R65" s="484"/>
      <c r="S65" s="484"/>
      <c r="T65" s="484"/>
      <c r="U65" s="484"/>
      <c r="V65" s="485"/>
    </row>
    <row r="66" spans="1:22" x14ac:dyDescent="0.3">
      <c r="A66" s="18"/>
      <c r="B66" s="117"/>
      <c r="C66" s="21"/>
      <c r="D66" s="123"/>
      <c r="E66" s="21"/>
      <c r="F66" s="21"/>
      <c r="G66" s="21"/>
      <c r="H66" s="21"/>
      <c r="I66" s="21"/>
      <c r="J66" s="21"/>
      <c r="K66" s="20"/>
      <c r="M66" s="484" t="s">
        <v>894</v>
      </c>
      <c r="N66" s="484"/>
      <c r="O66" s="484" t="s">
        <v>2916</v>
      </c>
      <c r="P66" s="484"/>
      <c r="Q66" s="484"/>
      <c r="R66" s="484"/>
      <c r="S66" s="484"/>
      <c r="T66" s="484"/>
      <c r="U66" s="484"/>
      <c r="V66" s="485" t="s">
        <v>326</v>
      </c>
    </row>
    <row r="67" spans="1:22" x14ac:dyDescent="0.3">
      <c r="A67" s="18"/>
      <c r="B67" s="117"/>
      <c r="C67" s="21"/>
      <c r="D67" s="101" t="s">
        <v>3438</v>
      </c>
      <c r="E67" s="21"/>
      <c r="F67" s="21"/>
      <c r="G67" s="21"/>
      <c r="H67" s="21"/>
      <c r="I67" s="21"/>
      <c r="J67" s="21"/>
      <c r="K67" s="20"/>
      <c r="M67" s="484"/>
      <c r="N67" s="484"/>
      <c r="O67" s="484"/>
      <c r="P67" s="484"/>
      <c r="Q67" s="484"/>
      <c r="R67" s="484"/>
      <c r="S67" s="484"/>
      <c r="T67" s="484"/>
      <c r="U67" s="484"/>
      <c r="V67" s="485"/>
    </row>
    <row r="68" spans="1:22" x14ac:dyDescent="0.3">
      <c r="A68" s="18"/>
      <c r="B68" s="117"/>
      <c r="C68" s="21"/>
      <c r="D68" s="122" t="str" cm="1">
        <f t="array" ref="D68">_xll.U.UPDATE_IMAGE(B67:B73,D73:E77)</f>
        <v>Image 5-Point Star 39 updated</v>
      </c>
      <c r="E68" s="21"/>
      <c r="F68" s="21"/>
      <c r="G68" s="21"/>
      <c r="H68" s="21"/>
      <c r="I68" s="21"/>
      <c r="J68" s="21"/>
      <c r="K68" s="20"/>
      <c r="M68" s="484"/>
      <c r="N68" s="484"/>
      <c r="O68" s="484"/>
      <c r="P68" s="484"/>
      <c r="Q68" s="484"/>
      <c r="R68" s="484"/>
      <c r="S68" s="484"/>
      <c r="T68" s="484"/>
      <c r="U68" s="484"/>
      <c r="V68" s="485"/>
    </row>
    <row r="69" spans="1:22" x14ac:dyDescent="0.3">
      <c r="A69" s="18"/>
      <c r="B69" s="117"/>
      <c r="C69" s="21"/>
      <c r="D69" s="123"/>
      <c r="E69" s="21"/>
      <c r="F69" s="21"/>
      <c r="G69" s="21"/>
      <c r="H69" s="21"/>
      <c r="I69" s="21"/>
      <c r="J69" s="21"/>
      <c r="K69" s="20"/>
      <c r="M69" s="126" t="s">
        <v>328</v>
      </c>
    </row>
    <row r="70" spans="1:22" x14ac:dyDescent="0.3">
      <c r="A70" s="18"/>
      <c r="B70" s="117"/>
      <c r="C70" s="21"/>
      <c r="D70" s="123"/>
      <c r="E70" s="21"/>
      <c r="F70" s="21"/>
      <c r="G70" s="21"/>
      <c r="H70" s="21"/>
      <c r="I70" s="21"/>
      <c r="J70" s="21"/>
      <c r="K70" s="20"/>
    </row>
    <row r="71" spans="1:22" x14ac:dyDescent="0.3">
      <c r="A71" s="18"/>
      <c r="B71" s="117"/>
      <c r="C71" s="21"/>
      <c r="D71" s="123"/>
      <c r="E71" s="21"/>
      <c r="F71" s="21"/>
      <c r="G71" s="21"/>
      <c r="H71" s="21"/>
      <c r="I71" s="21"/>
      <c r="J71" s="21"/>
      <c r="K71" s="20"/>
    </row>
    <row r="72" spans="1:22" x14ac:dyDescent="0.3">
      <c r="A72" s="18"/>
      <c r="B72" s="117"/>
      <c r="C72" s="21"/>
      <c r="D72" s="428" t="s">
        <v>2161</v>
      </c>
      <c r="E72" s="3" t="s">
        <v>17</v>
      </c>
      <c r="F72" s="21"/>
      <c r="G72" s="21"/>
      <c r="H72" s="21"/>
      <c r="I72" s="21"/>
      <c r="J72" s="21"/>
      <c r="K72" s="20"/>
    </row>
    <row r="73" spans="1:22" x14ac:dyDescent="0.3">
      <c r="A73" s="18"/>
      <c r="B73" s="117"/>
      <c r="C73" s="21"/>
      <c r="D73" s="429" t="s">
        <v>2858</v>
      </c>
      <c r="E73" s="181" t="s">
        <v>2878</v>
      </c>
      <c r="F73" s="21"/>
      <c r="G73" s="21"/>
      <c r="H73" s="21"/>
      <c r="I73" s="21"/>
      <c r="J73" s="21"/>
      <c r="K73" s="20"/>
    </row>
    <row r="74" spans="1:22" x14ac:dyDescent="0.3">
      <c r="A74" s="18"/>
      <c r="B74" s="117"/>
      <c r="C74" s="21"/>
      <c r="D74" s="429" t="s">
        <v>2466</v>
      </c>
      <c r="E74" s="181" t="s">
        <v>2150</v>
      </c>
      <c r="F74" s="21"/>
      <c r="G74" s="21"/>
      <c r="H74" s="21"/>
      <c r="I74" s="21"/>
      <c r="J74" s="21"/>
      <c r="K74" s="20"/>
    </row>
    <row r="75" spans="1:22" x14ac:dyDescent="0.3">
      <c r="A75" s="18"/>
      <c r="B75" s="117"/>
      <c r="C75" s="21"/>
      <c r="D75" s="429" t="s">
        <v>2859</v>
      </c>
      <c r="E75" s="181" t="s">
        <v>2694</v>
      </c>
      <c r="F75" s="21"/>
      <c r="G75" s="21"/>
      <c r="H75" s="21"/>
      <c r="I75" s="21"/>
      <c r="J75" s="21"/>
      <c r="K75" s="20"/>
    </row>
    <row r="76" spans="1:22" x14ac:dyDescent="0.3">
      <c r="A76" s="18"/>
      <c r="B76" s="117"/>
      <c r="C76" s="21"/>
      <c r="D76" s="429" t="s">
        <v>2870</v>
      </c>
      <c r="E76" s="181" t="b">
        <v>1</v>
      </c>
      <c r="F76" s="21"/>
      <c r="G76" s="21"/>
      <c r="H76" s="21"/>
      <c r="I76" s="21"/>
      <c r="J76" s="21"/>
      <c r="K76" s="20"/>
    </row>
    <row r="77" spans="1:22" x14ac:dyDescent="0.3">
      <c r="A77" s="18"/>
      <c r="B77" s="117"/>
      <c r="C77" s="21"/>
      <c r="D77" s="429" t="s">
        <v>2869</v>
      </c>
      <c r="E77" s="181">
        <v>80</v>
      </c>
      <c r="F77" s="21"/>
      <c r="G77" s="21"/>
      <c r="H77" s="21"/>
      <c r="I77" s="21"/>
      <c r="J77" s="21"/>
      <c r="K77" s="20"/>
    </row>
    <row r="78" spans="1:22" x14ac:dyDescent="0.3">
      <c r="A78" s="18"/>
      <c r="B78" s="117"/>
      <c r="C78" s="21"/>
      <c r="D78" s="123"/>
      <c r="E78" s="21"/>
      <c r="F78" s="21"/>
      <c r="G78" s="21"/>
      <c r="H78" s="21"/>
      <c r="I78" s="21"/>
      <c r="J78" s="21"/>
      <c r="K78" s="20"/>
    </row>
    <row r="79" spans="1:22" x14ac:dyDescent="0.3">
      <c r="A79" s="18"/>
      <c r="B79" s="117"/>
      <c r="C79" s="21"/>
      <c r="D79" s="123"/>
      <c r="E79" s="21"/>
      <c r="F79" s="21"/>
      <c r="G79" s="21"/>
      <c r="H79" s="21"/>
      <c r="I79" s="21"/>
      <c r="J79" s="21"/>
      <c r="K79" s="20"/>
    </row>
    <row r="80" spans="1:22" x14ac:dyDescent="0.3">
      <c r="A80" s="18"/>
      <c r="B80" s="117"/>
      <c r="C80" s="21"/>
      <c r="D80" s="123"/>
      <c r="E80" s="21"/>
      <c r="F80" s="21"/>
      <c r="G80" s="21"/>
      <c r="H80" s="21"/>
      <c r="I80" s="21"/>
      <c r="J80" s="21"/>
      <c r="K80" s="20"/>
    </row>
    <row r="81" spans="1:11" x14ac:dyDescent="0.3">
      <c r="A81" s="18"/>
      <c r="B81" s="117"/>
      <c r="C81" s="21"/>
      <c r="D81" s="123"/>
      <c r="E81" s="21"/>
      <c r="F81" s="21"/>
      <c r="G81" s="21"/>
      <c r="H81" s="21"/>
      <c r="I81" s="21"/>
      <c r="J81" s="21"/>
      <c r="K81" s="20"/>
    </row>
    <row r="82" spans="1:11" x14ac:dyDescent="0.3">
      <c r="A82" s="18"/>
      <c r="B82" s="117"/>
      <c r="C82" s="21"/>
      <c r="D82" s="123"/>
      <c r="E82" s="21"/>
      <c r="F82" s="21"/>
      <c r="G82" s="21"/>
      <c r="H82" s="21"/>
      <c r="I82" s="21"/>
      <c r="J82" s="21"/>
      <c r="K82" s="20"/>
    </row>
    <row r="83" spans="1:11" x14ac:dyDescent="0.3">
      <c r="A83" s="18"/>
      <c r="B83" s="117"/>
      <c r="C83" s="21"/>
      <c r="D83" s="123"/>
      <c r="E83" s="21"/>
      <c r="F83" s="21"/>
      <c r="G83" s="21"/>
      <c r="H83" s="21"/>
      <c r="I83" s="21"/>
      <c r="J83" s="21"/>
      <c r="K83" s="20"/>
    </row>
    <row r="84" spans="1:11" x14ac:dyDescent="0.3">
      <c r="A84" s="18"/>
      <c r="B84" s="117"/>
      <c r="C84" s="21"/>
      <c r="D84" s="123"/>
      <c r="E84" s="21"/>
      <c r="F84" s="21"/>
      <c r="G84" s="21"/>
      <c r="H84" s="21"/>
      <c r="I84" s="21"/>
      <c r="J84" s="21"/>
      <c r="K84" s="20"/>
    </row>
    <row r="85" spans="1:11" x14ac:dyDescent="0.3">
      <c r="A85" s="18"/>
      <c r="B85" s="117"/>
      <c r="C85" s="21"/>
      <c r="D85" s="123"/>
      <c r="E85" s="21"/>
      <c r="F85" s="21"/>
      <c r="G85" s="21"/>
      <c r="H85" s="21"/>
      <c r="I85" s="21"/>
      <c r="J85" s="21"/>
      <c r="K85" s="20"/>
    </row>
    <row r="86" spans="1:11" x14ac:dyDescent="0.3">
      <c r="A86" s="18"/>
      <c r="B86" s="117"/>
      <c r="C86" s="21"/>
      <c r="D86" s="101" t="s">
        <v>3438</v>
      </c>
      <c r="E86" s="21"/>
      <c r="F86" s="21"/>
      <c r="G86" s="21"/>
      <c r="H86" s="21"/>
      <c r="I86" s="21"/>
      <c r="J86" s="21"/>
      <c r="K86" s="20"/>
    </row>
    <row r="87" spans="1:11" x14ac:dyDescent="0.3">
      <c r="A87" s="18"/>
      <c r="B87" s="117"/>
      <c r="C87" s="21"/>
      <c r="D87" s="122" t="str" cm="1">
        <f t="array" ref="D87">_xll.U.UPDATE_IMAGE(B85,D90:E95)</f>
        <v>Image Comment 14 updated</v>
      </c>
      <c r="E87" s="21"/>
      <c r="F87" s="21"/>
      <c r="G87" s="21"/>
      <c r="H87" s="21"/>
      <c r="I87" s="21"/>
      <c r="J87" s="21"/>
      <c r="K87" s="20"/>
    </row>
    <row r="88" spans="1:11" x14ac:dyDescent="0.3">
      <c r="A88" s="18"/>
      <c r="B88" s="117"/>
      <c r="C88" s="21"/>
      <c r="D88" s="123"/>
      <c r="E88" s="21"/>
      <c r="F88" s="21"/>
      <c r="G88" s="21"/>
      <c r="H88" s="21"/>
      <c r="I88" s="21"/>
      <c r="J88" s="21"/>
      <c r="K88" s="20"/>
    </row>
    <row r="89" spans="1:11" x14ac:dyDescent="0.3">
      <c r="A89" s="18"/>
      <c r="B89" s="117"/>
      <c r="C89" s="21"/>
      <c r="D89" s="428" t="s">
        <v>2161</v>
      </c>
      <c r="E89" s="3" t="s">
        <v>17</v>
      </c>
      <c r="F89" s="21"/>
      <c r="G89" s="21"/>
      <c r="H89" s="21"/>
      <c r="I89" s="21"/>
      <c r="J89" s="21"/>
      <c r="K89" s="20"/>
    </row>
    <row r="90" spans="1:11" x14ac:dyDescent="0.3">
      <c r="A90" s="18"/>
      <c r="B90" s="117"/>
      <c r="C90" s="21"/>
      <c r="D90" s="429" t="s">
        <v>2858</v>
      </c>
      <c r="E90" s="181" t="s">
        <v>3059</v>
      </c>
      <c r="F90" s="21"/>
      <c r="G90" s="21"/>
      <c r="H90" s="21"/>
      <c r="I90" s="21"/>
      <c r="J90" s="21"/>
      <c r="K90" s="20"/>
    </row>
    <row r="91" spans="1:11" x14ac:dyDescent="0.3">
      <c r="A91" s="18"/>
      <c r="B91" s="117"/>
      <c r="C91" s="21"/>
      <c r="D91" s="429" t="s">
        <v>3060</v>
      </c>
      <c r="E91" s="181" t="s">
        <v>3061</v>
      </c>
      <c r="F91" s="21"/>
      <c r="G91" s="21"/>
      <c r="H91" s="21"/>
      <c r="I91" s="21"/>
      <c r="J91" s="21"/>
      <c r="K91" s="20"/>
    </row>
    <row r="92" spans="1:11" x14ac:dyDescent="0.3">
      <c r="A92" s="18"/>
      <c r="B92" s="117"/>
      <c r="C92" s="21"/>
      <c r="D92" s="429" t="s">
        <v>3062</v>
      </c>
      <c r="E92" s="181" t="s">
        <v>2724</v>
      </c>
      <c r="F92" s="21"/>
      <c r="G92" s="21"/>
      <c r="H92" s="21"/>
      <c r="I92" s="21"/>
      <c r="J92" s="21"/>
      <c r="K92" s="20"/>
    </row>
    <row r="93" spans="1:11" x14ac:dyDescent="0.3">
      <c r="A93" s="18"/>
      <c r="B93" s="117"/>
      <c r="C93" s="21"/>
      <c r="D93" s="429" t="s">
        <v>2867</v>
      </c>
      <c r="E93" s="181" t="s">
        <v>3063</v>
      </c>
      <c r="F93" s="21"/>
      <c r="G93" s="21"/>
      <c r="H93" s="21"/>
      <c r="I93" s="21"/>
      <c r="J93" s="21"/>
      <c r="K93" s="20"/>
    </row>
    <row r="94" spans="1:11" x14ac:dyDescent="0.3">
      <c r="A94" s="18"/>
      <c r="B94" s="117"/>
      <c r="C94" s="21"/>
      <c r="D94" s="429" t="s">
        <v>2840</v>
      </c>
      <c r="E94" s="181">
        <v>50</v>
      </c>
      <c r="F94" s="21"/>
      <c r="G94" s="21"/>
      <c r="H94" s="21"/>
      <c r="I94" s="21"/>
      <c r="J94" s="21"/>
      <c r="K94" s="20"/>
    </row>
    <row r="95" spans="1:11" x14ac:dyDescent="0.3">
      <c r="A95" s="18"/>
      <c r="B95" s="117"/>
      <c r="C95" s="21"/>
      <c r="D95" s="429" t="s">
        <v>3057</v>
      </c>
      <c r="E95" s="181" t="b">
        <v>1</v>
      </c>
      <c r="F95" s="21"/>
      <c r="G95" s="21"/>
      <c r="H95" s="21"/>
      <c r="I95" s="21"/>
      <c r="J95" s="21"/>
      <c r="K95" s="20"/>
    </row>
    <row r="96" spans="1:11" x14ac:dyDescent="0.3">
      <c r="A96" s="18"/>
      <c r="B96" s="117"/>
      <c r="C96" s="21"/>
      <c r="D96" s="123"/>
      <c r="E96" s="21"/>
      <c r="F96" s="21"/>
      <c r="G96" s="21"/>
      <c r="H96" s="21"/>
      <c r="I96" s="21"/>
      <c r="J96" s="21"/>
      <c r="K96" s="20"/>
    </row>
    <row r="97" spans="1:11" x14ac:dyDescent="0.3">
      <c r="A97" s="490" t="s">
        <v>2883</v>
      </c>
      <c r="B97" s="491"/>
      <c r="C97" s="491"/>
      <c r="D97" s="491"/>
      <c r="E97" s="491"/>
      <c r="F97" s="491"/>
      <c r="G97" s="491"/>
      <c r="H97" s="491"/>
      <c r="I97" s="491"/>
      <c r="J97" s="491"/>
      <c r="K97" s="20"/>
    </row>
    <row r="98" spans="1:11" x14ac:dyDescent="0.3">
      <c r="A98" s="18"/>
      <c r="B98" s="117"/>
      <c r="C98" s="21"/>
      <c r="D98" s="123"/>
      <c r="E98" s="21"/>
      <c r="F98" s="21"/>
      <c r="G98" s="21"/>
      <c r="H98" s="21"/>
      <c r="I98" s="21"/>
      <c r="J98" s="21"/>
      <c r="K98" s="20"/>
    </row>
    <row r="99" spans="1:11" x14ac:dyDescent="0.3">
      <c r="A99" s="18"/>
      <c r="B99" s="117"/>
      <c r="C99" s="21"/>
      <c r="D99" s="123"/>
      <c r="E99" s="21"/>
      <c r="F99" s="21"/>
      <c r="G99" s="21"/>
      <c r="H99" s="21"/>
      <c r="I99" s="21"/>
      <c r="J99" s="21"/>
      <c r="K99" s="20"/>
    </row>
    <row r="100" spans="1:11" x14ac:dyDescent="0.3">
      <c r="A100" s="18"/>
      <c r="B100" s="117"/>
      <c r="C100" s="21"/>
      <c r="D100" s="123"/>
      <c r="E100" s="21"/>
      <c r="F100" s="21"/>
      <c r="G100" s="21"/>
      <c r="H100" s="21"/>
      <c r="I100" s="21"/>
      <c r="J100" s="21"/>
      <c r="K100" s="20"/>
    </row>
    <row r="101" spans="1:11" x14ac:dyDescent="0.3">
      <c r="A101" s="18"/>
      <c r="C101" s="21"/>
      <c r="D101" s="101" t="s">
        <v>3439</v>
      </c>
      <c r="E101" s="21"/>
      <c r="F101" s="21"/>
      <c r="G101" s="21"/>
      <c r="H101" s="21"/>
      <c r="I101" s="21"/>
      <c r="J101" s="21"/>
      <c r="K101" s="20"/>
    </row>
    <row r="102" spans="1:11" x14ac:dyDescent="0.3">
      <c r="A102" s="18"/>
      <c r="B102" s="117"/>
      <c r="C102" s="21"/>
      <c r="D102" s="122" t="str" cm="1">
        <f t="array" ref="D102">_xll.U.REGISTER_IMAGE(B103,E105,E106,E107)</f>
        <v>Robby</v>
      </c>
      <c r="E102" s="21"/>
      <c r="F102" s="21"/>
      <c r="G102" s="21"/>
      <c r="H102" s="21"/>
      <c r="I102" s="21"/>
      <c r="J102" s="21"/>
      <c r="K102" s="20"/>
    </row>
    <row r="103" spans="1:11" x14ac:dyDescent="0.3">
      <c r="A103" s="18"/>
      <c r="B103" s="117"/>
      <c r="C103" s="21"/>
      <c r="D103" s="123"/>
      <c r="E103" s="21"/>
      <c r="F103" s="21"/>
      <c r="G103" s="21"/>
      <c r="H103" s="21"/>
      <c r="I103" s="21"/>
      <c r="J103" s="21"/>
      <c r="K103" s="20"/>
    </row>
    <row r="104" spans="1:11" x14ac:dyDescent="0.3">
      <c r="A104" s="18"/>
      <c r="B104" s="117"/>
      <c r="C104" s="21"/>
      <c r="D104" s="123"/>
      <c r="E104" s="21"/>
      <c r="F104" s="21"/>
      <c r="G104" s="21"/>
      <c r="H104" s="21"/>
      <c r="I104" s="21"/>
      <c r="J104" s="21"/>
      <c r="K104" s="20"/>
    </row>
    <row r="105" spans="1:11" x14ac:dyDescent="0.3">
      <c r="A105" s="18"/>
      <c r="B105" s="117"/>
      <c r="C105" s="21"/>
      <c r="D105" s="428" t="s">
        <v>679</v>
      </c>
      <c r="E105" s="181" t="s">
        <v>2884</v>
      </c>
      <c r="F105" s="21"/>
      <c r="G105" s="21"/>
      <c r="H105" s="21"/>
      <c r="I105" s="21"/>
      <c r="J105" s="21"/>
      <c r="K105" s="20"/>
    </row>
    <row r="106" spans="1:11" x14ac:dyDescent="0.3">
      <c r="A106" s="18"/>
      <c r="B106" s="117"/>
      <c r="C106" s="21"/>
      <c r="D106" s="428" t="s">
        <v>2885</v>
      </c>
      <c r="E106" s="181" t="b">
        <v>1</v>
      </c>
      <c r="F106" s="21"/>
      <c r="G106" s="21"/>
      <c r="H106" s="21"/>
      <c r="I106" s="21"/>
      <c r="J106" s="21"/>
      <c r="K106" s="20"/>
    </row>
    <row r="107" spans="1:11" x14ac:dyDescent="0.3">
      <c r="A107" s="18"/>
      <c r="B107" s="117"/>
      <c r="C107" s="21"/>
      <c r="D107" s="428" t="s">
        <v>2886</v>
      </c>
      <c r="E107" s="181" t="s">
        <v>2887</v>
      </c>
      <c r="F107" s="21"/>
      <c r="G107" s="21"/>
      <c r="H107" s="21"/>
      <c r="I107" s="21"/>
      <c r="J107" s="21"/>
      <c r="K107" s="20"/>
    </row>
    <row r="108" spans="1:11" x14ac:dyDescent="0.3">
      <c r="A108" s="18"/>
      <c r="B108" s="117"/>
      <c r="C108" s="21"/>
      <c r="D108" s="123"/>
      <c r="E108" s="21"/>
      <c r="F108" s="21"/>
      <c r="G108" s="21"/>
      <c r="H108" s="21"/>
      <c r="I108" s="21"/>
      <c r="J108" s="21"/>
      <c r="K108" s="20"/>
    </row>
    <row r="109" spans="1:11" x14ac:dyDescent="0.3">
      <c r="A109" s="18"/>
      <c r="B109" s="117"/>
      <c r="C109" s="21"/>
      <c r="D109" s="123"/>
      <c r="E109" s="21"/>
      <c r="F109" s="21"/>
      <c r="G109" s="21"/>
      <c r="H109" s="21"/>
      <c r="I109" s="21"/>
      <c r="J109" s="21"/>
      <c r="K109" s="20"/>
    </row>
    <row r="110" spans="1:11" x14ac:dyDescent="0.3">
      <c r="A110" s="18"/>
      <c r="B110" s="117"/>
      <c r="C110" s="21"/>
      <c r="D110" s="123"/>
      <c r="E110" s="21"/>
      <c r="F110" s="21"/>
      <c r="G110" s="21"/>
      <c r="H110" s="21"/>
      <c r="I110" s="21"/>
      <c r="J110" s="21"/>
      <c r="K110" s="20"/>
    </row>
    <row r="111" spans="1:11" x14ac:dyDescent="0.3">
      <c r="A111" s="18"/>
      <c r="B111" s="117"/>
      <c r="C111" s="21"/>
      <c r="D111" s="123"/>
      <c r="E111" s="21"/>
      <c r="F111" s="21"/>
      <c r="G111" s="21"/>
      <c r="H111" s="21"/>
      <c r="I111" s="21"/>
      <c r="J111" s="21"/>
      <c r="K111" s="20"/>
    </row>
    <row r="112" spans="1:11" x14ac:dyDescent="0.3">
      <c r="A112" s="18"/>
      <c r="B112" s="117"/>
      <c r="C112" s="21"/>
      <c r="D112" s="123"/>
      <c r="E112" s="21"/>
      <c r="F112" s="21"/>
      <c r="G112" s="21"/>
      <c r="H112" s="21"/>
      <c r="I112" s="21"/>
      <c r="J112" s="21"/>
      <c r="K112" s="20"/>
    </row>
    <row r="113" spans="1:11" x14ac:dyDescent="0.3">
      <c r="A113" s="18"/>
      <c r="B113" s="117"/>
      <c r="C113" s="21"/>
      <c r="D113" s="123"/>
      <c r="E113" s="21"/>
      <c r="F113" s="21"/>
      <c r="G113" s="21"/>
      <c r="H113" s="21"/>
      <c r="I113" s="21"/>
      <c r="J113" s="21"/>
      <c r="K113" s="20"/>
    </row>
    <row r="114" spans="1:11" x14ac:dyDescent="0.3">
      <c r="A114" s="18"/>
      <c r="B114" s="117"/>
      <c r="C114" s="21"/>
      <c r="D114" s="123"/>
      <c r="E114" s="21"/>
      <c r="F114" s="21"/>
      <c r="G114" s="21"/>
      <c r="H114" s="21"/>
      <c r="I114" s="21"/>
      <c r="J114" s="21"/>
      <c r="K114" s="20"/>
    </row>
    <row r="115" spans="1:11" x14ac:dyDescent="0.3">
      <c r="A115" s="18"/>
      <c r="B115" s="117"/>
      <c r="C115" s="21"/>
      <c r="D115" s="123"/>
      <c r="E115" s="21"/>
      <c r="F115" s="21"/>
      <c r="G115" s="21"/>
      <c r="H115" s="21"/>
      <c r="I115" s="21"/>
      <c r="J115" s="21"/>
      <c r="K115" s="20"/>
    </row>
    <row r="116" spans="1:11" x14ac:dyDescent="0.3">
      <c r="A116" s="18"/>
      <c r="B116" s="117"/>
      <c r="C116" s="21"/>
      <c r="D116" s="123"/>
      <c r="E116" s="21"/>
      <c r="F116" s="21"/>
      <c r="G116" s="21"/>
      <c r="H116" s="21"/>
      <c r="I116" s="21"/>
      <c r="J116" s="21"/>
      <c r="K116" s="20"/>
    </row>
    <row r="117" spans="1:11" x14ac:dyDescent="0.3">
      <c r="A117" s="18"/>
      <c r="B117" s="117"/>
      <c r="C117" s="21"/>
      <c r="D117" s="123"/>
      <c r="E117" s="21"/>
      <c r="F117" s="21"/>
      <c r="G117" s="21"/>
      <c r="H117" s="21"/>
      <c r="I117" s="21"/>
      <c r="J117" s="21"/>
      <c r="K117" s="20"/>
    </row>
    <row r="118" spans="1:11" x14ac:dyDescent="0.3">
      <c r="A118" s="18"/>
      <c r="B118" s="117"/>
      <c r="C118" s="21"/>
      <c r="D118" s="123"/>
      <c r="E118" s="21"/>
      <c r="F118" s="21"/>
      <c r="G118" s="21"/>
      <c r="H118" s="21"/>
      <c r="I118" s="21"/>
      <c r="J118" s="21"/>
      <c r="K118" s="20"/>
    </row>
    <row r="119" spans="1:11" x14ac:dyDescent="0.3">
      <c r="A119" s="18"/>
      <c r="B119" s="117"/>
      <c r="C119" s="21"/>
      <c r="D119" s="123"/>
      <c r="E119" s="21"/>
      <c r="F119" s="21"/>
      <c r="G119" s="21"/>
      <c r="H119" s="21"/>
      <c r="I119" s="21"/>
      <c r="J119" s="21"/>
      <c r="K119" s="20"/>
    </row>
    <row r="120" spans="1:11" x14ac:dyDescent="0.3">
      <c r="A120" s="18"/>
      <c r="B120" s="117"/>
      <c r="C120" s="21"/>
      <c r="D120" s="123"/>
      <c r="E120" s="21"/>
      <c r="F120" s="21"/>
      <c r="G120" s="21"/>
      <c r="H120" s="21"/>
      <c r="I120" s="21"/>
      <c r="J120" s="21"/>
      <c r="K120" s="20"/>
    </row>
    <row r="121" spans="1:11" x14ac:dyDescent="0.3">
      <c r="A121" s="18"/>
      <c r="B121" s="117"/>
      <c r="C121" s="21"/>
      <c r="D121" s="123"/>
      <c r="E121" s="21"/>
      <c r="F121" s="21"/>
      <c r="G121" s="21"/>
      <c r="H121" s="21"/>
      <c r="I121" s="21"/>
      <c r="J121" s="21"/>
      <c r="K121" s="20"/>
    </row>
    <row r="122" spans="1:11" x14ac:dyDescent="0.3">
      <c r="A122" s="18"/>
      <c r="B122" s="117"/>
      <c r="C122" s="21"/>
      <c r="D122" s="123"/>
      <c r="E122" s="21"/>
      <c r="F122" s="21"/>
      <c r="G122" s="21"/>
      <c r="H122" s="21"/>
      <c r="I122" s="21"/>
      <c r="J122" s="21"/>
      <c r="K122" s="20"/>
    </row>
    <row r="123" spans="1:11" x14ac:dyDescent="0.3">
      <c r="A123" s="18"/>
      <c r="B123" s="117"/>
      <c r="C123" s="21"/>
      <c r="D123" s="123"/>
      <c r="E123" s="21"/>
      <c r="F123" s="21"/>
      <c r="G123" s="21"/>
      <c r="H123" s="21"/>
      <c r="I123" s="21"/>
      <c r="J123" s="21"/>
      <c r="K123" s="20"/>
    </row>
    <row r="124" spans="1:11" x14ac:dyDescent="0.3">
      <c r="A124" s="18"/>
      <c r="B124" s="117"/>
      <c r="C124" s="21"/>
      <c r="D124" s="123"/>
      <c r="E124" s="21"/>
      <c r="F124" s="21"/>
      <c r="G124" s="21"/>
      <c r="H124" s="21"/>
      <c r="I124" s="21"/>
      <c r="J124" s="21"/>
      <c r="K124" s="20"/>
    </row>
    <row r="125" spans="1:11" x14ac:dyDescent="0.3">
      <c r="A125" s="18"/>
      <c r="B125" s="117"/>
      <c r="C125" s="21"/>
      <c r="D125" s="123"/>
      <c r="E125" s="21"/>
      <c r="F125" s="21"/>
      <c r="G125" s="21"/>
      <c r="H125" s="21"/>
      <c r="I125" s="21"/>
      <c r="J125" s="21"/>
      <c r="K125" s="20"/>
    </row>
    <row r="126" spans="1:11" x14ac:dyDescent="0.3">
      <c r="A126" s="18"/>
      <c r="B126" s="117"/>
      <c r="C126" s="21"/>
      <c r="D126" s="123"/>
      <c r="E126" s="21"/>
      <c r="F126" s="21"/>
      <c r="G126" s="21"/>
      <c r="H126" s="21"/>
      <c r="I126" s="21"/>
      <c r="J126" s="21"/>
      <c r="K126" s="20"/>
    </row>
    <row r="127" spans="1:11" x14ac:dyDescent="0.3">
      <c r="A127" s="18"/>
      <c r="B127" s="117"/>
      <c r="C127" s="21"/>
      <c r="D127" s="123"/>
      <c r="E127" s="21"/>
      <c r="F127" s="21"/>
      <c r="G127" s="21"/>
      <c r="H127" s="21"/>
      <c r="I127" s="21"/>
      <c r="J127" s="21"/>
      <c r="K127" s="20"/>
    </row>
    <row r="128" spans="1:11" x14ac:dyDescent="0.3">
      <c r="A128" s="18"/>
      <c r="B128" s="235" t="str">
        <f t="array" ref="B128:F132">_xll.U.REGISTER_IMAGE()</f>
        <v>Name</v>
      </c>
      <c r="C128" s="3" t="str">
        <v>Type</v>
      </c>
      <c r="D128" s="428" t="str">
        <v>Range</v>
      </c>
      <c r="E128" s="3" t="str">
        <v>Clickable</v>
      </c>
      <c r="F128" s="3" t="str">
        <v>AltText Filter</v>
      </c>
      <c r="G128" s="21"/>
      <c r="H128" s="21"/>
      <c r="I128" s="21"/>
      <c r="J128" s="21"/>
      <c r="K128" s="20"/>
    </row>
    <row r="129" spans="1:11" x14ac:dyDescent="0.3">
      <c r="A129" s="18"/>
      <c r="B129" s="100" t="str">
        <v>Lightning Bolt 10</v>
      </c>
      <c r="C129" s="30" t="str">
        <v>Shape</v>
      </c>
      <c r="D129" s="122" t="str">
        <v>[U_UsageExamples.xlsx]CLICKVALS!B87</v>
      </c>
      <c r="E129" s="30" t="b">
        <v>1</v>
      </c>
      <c r="F129" s="30" t="str">
        <v/>
      </c>
      <c r="G129" s="21"/>
      <c r="H129" s="21"/>
      <c r="I129" s="21"/>
      <c r="J129" s="21"/>
      <c r="K129" s="20"/>
    </row>
    <row r="130" spans="1:11" x14ac:dyDescent="0.3">
      <c r="A130" s="18"/>
      <c r="B130" s="100" t="str">
        <v>Rectangle 3</v>
      </c>
      <c r="C130" s="30" t="str">
        <v>Shape</v>
      </c>
      <c r="D130" s="122" t="str">
        <v>[U_UsageExamples.xlsx]CLICKVALS!C104</v>
      </c>
      <c r="E130" s="30" t="b">
        <v>1</v>
      </c>
      <c r="F130" s="30" t="str">
        <v/>
      </c>
      <c r="G130" s="21"/>
      <c r="H130" s="21"/>
      <c r="I130" s="21"/>
      <c r="J130" s="21"/>
      <c r="K130" s="20"/>
    </row>
    <row r="131" spans="1:11" x14ac:dyDescent="0.3">
      <c r="A131" s="18"/>
      <c r="B131" s="100" t="str">
        <v>Rectangle 6</v>
      </c>
      <c r="C131" s="30" t="str">
        <v>Shape</v>
      </c>
      <c r="D131" s="122" t="str">
        <v>[U_UsageExamples.xlsx]CLICKVALS!C104</v>
      </c>
      <c r="E131" s="30" t="b">
        <v>1</v>
      </c>
      <c r="F131" s="30" t="str">
        <v/>
      </c>
      <c r="G131" s="21"/>
      <c r="H131" s="21"/>
      <c r="I131" s="21"/>
      <c r="J131" s="21"/>
      <c r="K131" s="20"/>
    </row>
    <row r="132" spans="1:11" x14ac:dyDescent="0.3">
      <c r="A132" s="18"/>
      <c r="B132" s="100" t="str">
        <v>Robby</v>
      </c>
      <c r="C132" s="30" t="str">
        <v>Shape</v>
      </c>
      <c r="D132" s="122" t="str">
        <v>[U_UsageExamples.xlsx]IMAGES!B103</v>
      </c>
      <c r="E132" s="30" t="b">
        <v>1</v>
      </c>
      <c r="F132" s="30" t="str">
        <v>cool robot</v>
      </c>
      <c r="G132" s="21"/>
      <c r="H132" s="21"/>
      <c r="I132" s="21"/>
      <c r="J132" s="21"/>
      <c r="K132" s="20"/>
    </row>
    <row r="133" spans="1:11" x14ac:dyDescent="0.3">
      <c r="A133" s="18"/>
      <c r="B133" s="117"/>
      <c r="C133" s="21"/>
      <c r="D133" s="123"/>
      <c r="E133" s="21"/>
      <c r="F133" s="21"/>
      <c r="G133" s="21"/>
      <c r="H133" s="21"/>
      <c r="I133" s="21"/>
      <c r="J133" s="21"/>
      <c r="K133" s="20"/>
    </row>
    <row r="134" spans="1:11" x14ac:dyDescent="0.3">
      <c r="A134" s="18"/>
      <c r="B134" s="559" t="s">
        <v>3034</v>
      </c>
      <c r="C134" s="560"/>
      <c r="D134" s="560"/>
      <c r="E134" s="560"/>
      <c r="F134" s="560"/>
      <c r="G134" s="560"/>
      <c r="H134" s="560"/>
      <c r="I134" s="561"/>
      <c r="J134" s="21"/>
      <c r="K134" s="20"/>
    </row>
    <row r="135" spans="1:11" x14ac:dyDescent="0.3">
      <c r="A135" s="18"/>
      <c r="B135" s="235" t="s">
        <v>2161</v>
      </c>
      <c r="C135" s="183" t="s">
        <v>394</v>
      </c>
      <c r="D135" s="423"/>
      <c r="E135" s="425" t="s">
        <v>2842</v>
      </c>
      <c r="F135" s="426"/>
      <c r="G135" s="426"/>
      <c r="H135" s="426"/>
      <c r="I135" s="427"/>
      <c r="J135" s="21"/>
      <c r="K135" s="20"/>
    </row>
    <row r="136" spans="1:11" x14ac:dyDescent="0.3">
      <c r="A136" s="18"/>
      <c r="B136" s="100" t="s">
        <v>517</v>
      </c>
      <c r="C136" s="256" t="s">
        <v>2648</v>
      </c>
      <c r="D136" s="424"/>
      <c r="E136" s="250"/>
      <c r="F136" s="112"/>
      <c r="G136" s="112"/>
      <c r="H136" s="112"/>
      <c r="I136" s="113"/>
      <c r="J136" s="21"/>
      <c r="K136" s="20"/>
    </row>
    <row r="137" spans="1:11" x14ac:dyDescent="0.3">
      <c r="A137" s="18"/>
      <c r="B137" s="100" t="s">
        <v>2707</v>
      </c>
      <c r="C137" s="256" t="s">
        <v>2843</v>
      </c>
      <c r="D137" s="404"/>
      <c r="E137" s="250" t="s">
        <v>3442</v>
      </c>
      <c r="F137" s="112"/>
      <c r="G137" s="112"/>
      <c r="H137" s="112"/>
      <c r="I137" s="113"/>
      <c r="J137" s="21"/>
      <c r="K137" s="20"/>
    </row>
    <row r="138" spans="1:11" x14ac:dyDescent="0.3">
      <c r="A138" s="18"/>
      <c r="B138" s="100" t="s">
        <v>2704</v>
      </c>
      <c r="C138" s="256" t="s">
        <v>2844</v>
      </c>
      <c r="D138" s="404"/>
      <c r="E138" s="250" t="s">
        <v>3443</v>
      </c>
      <c r="F138" s="112"/>
      <c r="G138" s="112"/>
      <c r="H138" s="112"/>
      <c r="I138" s="113"/>
      <c r="J138" s="21"/>
      <c r="K138" s="20"/>
    </row>
    <row r="139" spans="1:11" x14ac:dyDescent="0.3">
      <c r="A139" s="18"/>
      <c r="B139" s="100" t="s">
        <v>2840</v>
      </c>
      <c r="C139" s="256" t="s">
        <v>2845</v>
      </c>
      <c r="D139" s="404"/>
      <c r="E139" s="250" t="s">
        <v>3444</v>
      </c>
      <c r="F139" s="112"/>
      <c r="G139" s="112"/>
      <c r="H139" s="112"/>
      <c r="I139" s="113"/>
      <c r="J139" s="21"/>
      <c r="K139" s="20"/>
    </row>
    <row r="140" spans="1:11" x14ac:dyDescent="0.3">
      <c r="A140" s="18"/>
      <c r="B140" s="100" t="s">
        <v>2841</v>
      </c>
      <c r="C140" s="256" t="s">
        <v>2846</v>
      </c>
      <c r="D140" s="404"/>
      <c r="E140" s="250" t="s">
        <v>3445</v>
      </c>
      <c r="F140" s="112"/>
      <c r="G140" s="112"/>
      <c r="H140" s="112"/>
      <c r="I140" s="113"/>
      <c r="J140" s="21"/>
      <c r="K140" s="20"/>
    </row>
    <row r="141" spans="1:11" x14ac:dyDescent="0.3">
      <c r="A141" s="18"/>
      <c r="B141" s="100" t="s">
        <v>2971</v>
      </c>
      <c r="C141" s="256" t="s">
        <v>2975</v>
      </c>
      <c r="D141" s="404"/>
      <c r="E141" s="250" t="s">
        <v>2981</v>
      </c>
      <c r="F141" s="112"/>
      <c r="G141" s="112"/>
      <c r="H141" s="112"/>
      <c r="I141" s="113"/>
      <c r="J141" s="21"/>
      <c r="K141" s="20"/>
    </row>
    <row r="142" spans="1:11" x14ac:dyDescent="0.3">
      <c r="A142" s="18"/>
      <c r="B142" s="100" t="s">
        <v>2972</v>
      </c>
      <c r="C142" s="256" t="s">
        <v>2978</v>
      </c>
      <c r="D142" s="404"/>
      <c r="E142" s="250" t="s">
        <v>2981</v>
      </c>
      <c r="F142" s="112"/>
      <c r="G142" s="112"/>
      <c r="H142" s="112"/>
      <c r="I142" s="113"/>
      <c r="J142" s="21"/>
      <c r="K142" s="20"/>
    </row>
    <row r="143" spans="1:11" x14ac:dyDescent="0.3">
      <c r="A143" s="18"/>
      <c r="B143" s="100" t="s">
        <v>2973</v>
      </c>
      <c r="C143" s="256" t="s">
        <v>2976</v>
      </c>
      <c r="D143" s="404"/>
      <c r="E143" s="250" t="s">
        <v>2981</v>
      </c>
      <c r="F143" s="112"/>
      <c r="G143" s="112"/>
      <c r="H143" s="112"/>
      <c r="I143" s="113"/>
      <c r="J143" s="21"/>
      <c r="K143" s="20"/>
    </row>
    <row r="144" spans="1:11" x14ac:dyDescent="0.3">
      <c r="A144" s="18"/>
      <c r="B144" s="100" t="s">
        <v>2974</v>
      </c>
      <c r="C144" s="256" t="s">
        <v>2977</v>
      </c>
      <c r="D144" s="404"/>
      <c r="E144" s="250" t="s">
        <v>2981</v>
      </c>
      <c r="F144" s="112"/>
      <c r="G144" s="112"/>
      <c r="H144" s="112"/>
      <c r="I144" s="113"/>
      <c r="J144" s="21"/>
      <c r="K144" s="20"/>
    </row>
    <row r="145" spans="1:11" x14ac:dyDescent="0.3">
      <c r="A145" s="18"/>
      <c r="B145" s="100" t="s">
        <v>2969</v>
      </c>
      <c r="C145" s="256" t="s">
        <v>2979</v>
      </c>
      <c r="D145" s="404"/>
      <c r="E145" s="250"/>
      <c r="F145" s="112"/>
      <c r="G145" s="112"/>
      <c r="H145" s="112"/>
      <c r="I145" s="113"/>
      <c r="J145" s="21"/>
      <c r="K145" s="20"/>
    </row>
    <row r="146" spans="1:11" x14ac:dyDescent="0.3">
      <c r="A146" s="18"/>
      <c r="B146" s="100" t="s">
        <v>2970</v>
      </c>
      <c r="C146" s="256" t="s">
        <v>2980</v>
      </c>
      <c r="D146" s="404"/>
      <c r="E146" s="250"/>
      <c r="F146" s="112"/>
      <c r="G146" s="112"/>
      <c r="H146" s="112"/>
      <c r="I146" s="113"/>
      <c r="J146" s="21"/>
      <c r="K146" s="20"/>
    </row>
    <row r="147" spans="1:11" x14ac:dyDescent="0.3">
      <c r="A147" s="18"/>
      <c r="B147" s="100" t="s">
        <v>3066</v>
      </c>
      <c r="C147" s="256" t="s">
        <v>3068</v>
      </c>
      <c r="D147" s="404"/>
      <c r="E147" s="250"/>
      <c r="F147" s="112"/>
      <c r="G147" s="112"/>
      <c r="H147" s="112"/>
      <c r="I147" s="113"/>
      <c r="J147" s="21"/>
      <c r="K147" s="20"/>
    </row>
    <row r="148" spans="1:11" x14ac:dyDescent="0.3">
      <c r="A148" s="18"/>
      <c r="B148" s="100" t="s">
        <v>3067</v>
      </c>
      <c r="C148" s="256" t="s">
        <v>3069</v>
      </c>
      <c r="D148" s="404"/>
      <c r="E148" s="250"/>
      <c r="F148" s="112"/>
      <c r="G148" s="112"/>
      <c r="H148" s="112"/>
      <c r="I148" s="113"/>
      <c r="J148" s="21"/>
      <c r="K148" s="20"/>
    </row>
    <row r="149" spans="1:11" x14ac:dyDescent="0.3">
      <c r="A149" s="18"/>
      <c r="B149" s="100" t="s">
        <v>2643</v>
      </c>
      <c r="C149" s="256" t="s">
        <v>2649</v>
      </c>
      <c r="D149" s="404"/>
      <c r="E149" s="250"/>
      <c r="F149" s="112"/>
      <c r="G149" s="112"/>
      <c r="H149" s="112"/>
      <c r="I149" s="113"/>
      <c r="J149" s="21"/>
      <c r="K149" s="20"/>
    </row>
    <row r="150" spans="1:11" x14ac:dyDescent="0.3">
      <c r="A150" s="18"/>
      <c r="B150" s="100" t="s">
        <v>2644</v>
      </c>
      <c r="C150" s="256" t="s">
        <v>2649</v>
      </c>
      <c r="D150" s="404"/>
      <c r="E150" s="250"/>
      <c r="F150" s="112"/>
      <c r="G150" s="112"/>
      <c r="H150" s="112"/>
      <c r="I150" s="113"/>
      <c r="J150" s="21"/>
      <c r="K150" s="20"/>
    </row>
    <row r="151" spans="1:11" x14ac:dyDescent="0.3">
      <c r="A151" s="18"/>
      <c r="B151" s="100" t="s">
        <v>2837</v>
      </c>
      <c r="C151" s="256" t="s">
        <v>2649</v>
      </c>
      <c r="D151" s="404"/>
      <c r="E151" s="250"/>
      <c r="F151" s="112"/>
      <c r="G151" s="112"/>
      <c r="H151" s="112"/>
      <c r="I151" s="113"/>
      <c r="J151" s="21"/>
      <c r="K151" s="20"/>
    </row>
    <row r="152" spans="1:11" x14ac:dyDescent="0.3">
      <c r="A152" s="18"/>
      <c r="B152" s="100" t="s">
        <v>2645</v>
      </c>
      <c r="C152" s="256" t="s">
        <v>2836</v>
      </c>
      <c r="D152" s="404"/>
      <c r="E152" s="250"/>
      <c r="F152" s="112"/>
      <c r="G152" s="112"/>
      <c r="H152" s="112"/>
      <c r="I152" s="113"/>
      <c r="J152" s="21"/>
      <c r="K152" s="20"/>
    </row>
    <row r="153" spans="1:11" x14ac:dyDescent="0.3">
      <c r="A153" s="18"/>
      <c r="B153" s="100" t="s">
        <v>2646</v>
      </c>
      <c r="C153" s="256" t="s">
        <v>2650</v>
      </c>
      <c r="D153" s="404"/>
      <c r="E153" s="250"/>
      <c r="F153" s="112"/>
      <c r="G153" s="112"/>
      <c r="H153" s="112"/>
      <c r="I153" s="113"/>
      <c r="J153" s="21"/>
      <c r="K153" s="20"/>
    </row>
    <row r="154" spans="1:11" x14ac:dyDescent="0.3">
      <c r="A154" s="18"/>
      <c r="B154" s="100" t="s">
        <v>2647</v>
      </c>
      <c r="C154" s="256" t="s">
        <v>2838</v>
      </c>
      <c r="D154" s="404"/>
      <c r="E154" s="250"/>
      <c r="F154" s="112"/>
      <c r="G154" s="112"/>
      <c r="H154" s="112"/>
      <c r="I154" s="113"/>
      <c r="J154" s="21"/>
      <c r="K154" s="20"/>
    </row>
    <row r="155" spans="1:11" x14ac:dyDescent="0.3">
      <c r="A155" s="18"/>
      <c r="B155" s="100" t="s">
        <v>2835</v>
      </c>
      <c r="C155" s="256" t="s">
        <v>2898</v>
      </c>
      <c r="D155" s="404"/>
      <c r="E155" s="250" t="s">
        <v>2851</v>
      </c>
      <c r="F155" s="112"/>
      <c r="G155" s="112"/>
      <c r="H155" s="112"/>
      <c r="I155" s="113"/>
      <c r="J155" s="21"/>
      <c r="K155" s="20"/>
    </row>
    <row r="156" spans="1:11" x14ac:dyDescent="0.3">
      <c r="A156" s="18"/>
      <c r="B156" s="100" t="s">
        <v>2847</v>
      </c>
      <c r="C156" s="256" t="s">
        <v>2848</v>
      </c>
      <c r="D156" s="404"/>
      <c r="E156" s="250"/>
      <c r="F156" s="112"/>
      <c r="G156" s="112"/>
      <c r="H156" s="112"/>
      <c r="I156" s="113"/>
      <c r="J156" s="21"/>
      <c r="K156" s="20"/>
    </row>
    <row r="157" spans="1:11" x14ac:dyDescent="0.3">
      <c r="A157" s="18"/>
      <c r="B157" s="100" t="s">
        <v>2849</v>
      </c>
      <c r="C157" s="256" t="s">
        <v>2848</v>
      </c>
      <c r="D157" s="404"/>
      <c r="E157" s="250" t="s">
        <v>2850</v>
      </c>
      <c r="F157" s="112"/>
      <c r="G157" s="112"/>
      <c r="H157" s="112"/>
      <c r="I157" s="113"/>
      <c r="J157" s="21"/>
      <c r="K157" s="20"/>
    </row>
    <row r="158" spans="1:11" x14ac:dyDescent="0.3">
      <c r="A158" s="18"/>
      <c r="B158" s="100" t="s">
        <v>2856</v>
      </c>
      <c r="C158" s="256" t="s">
        <v>2857</v>
      </c>
      <c r="D158" s="404"/>
      <c r="E158" s="250" t="s">
        <v>2877</v>
      </c>
      <c r="F158" s="112"/>
      <c r="G158" s="112"/>
      <c r="H158" s="112"/>
      <c r="I158" s="113"/>
      <c r="J158" s="21"/>
      <c r="K158" s="20"/>
    </row>
    <row r="159" spans="1:11" x14ac:dyDescent="0.3">
      <c r="A159" s="18"/>
      <c r="B159" s="100" t="s">
        <v>2858</v>
      </c>
      <c r="C159" s="256" t="s">
        <v>3922</v>
      </c>
      <c r="D159" s="404"/>
      <c r="E159" s="250"/>
      <c r="F159" s="112"/>
      <c r="G159" s="112"/>
      <c r="H159" s="112"/>
      <c r="I159" s="113"/>
      <c r="J159" s="21"/>
      <c r="K159" s="20"/>
    </row>
    <row r="160" spans="1:11" x14ac:dyDescent="0.3">
      <c r="A160" s="18"/>
      <c r="B160" s="100" t="s">
        <v>2923</v>
      </c>
      <c r="C160" s="256" t="s">
        <v>3923</v>
      </c>
      <c r="D160" s="404"/>
      <c r="E160" s="250" t="s">
        <v>2926</v>
      </c>
      <c r="F160" s="112"/>
      <c r="G160" s="112"/>
      <c r="H160" s="112"/>
      <c r="I160" s="113"/>
      <c r="J160" s="21"/>
      <c r="K160" s="20"/>
    </row>
    <row r="161" spans="1:11" x14ac:dyDescent="0.3">
      <c r="A161" s="18"/>
      <c r="B161" s="100" t="s">
        <v>2924</v>
      </c>
      <c r="C161" s="256" t="s">
        <v>3924</v>
      </c>
      <c r="D161" s="404"/>
      <c r="E161" s="250" t="s">
        <v>2926</v>
      </c>
      <c r="F161" s="112"/>
      <c r="G161" s="112"/>
      <c r="H161" s="112"/>
      <c r="I161" s="113"/>
      <c r="J161" s="21"/>
      <c r="K161" s="20"/>
    </row>
    <row r="162" spans="1:11" x14ac:dyDescent="0.3">
      <c r="A162" s="18"/>
      <c r="B162" s="100" t="s">
        <v>2925</v>
      </c>
      <c r="C162" s="256" t="s">
        <v>3925</v>
      </c>
      <c r="D162" s="404"/>
      <c r="E162" s="250"/>
      <c r="F162" s="112"/>
      <c r="G162" s="112"/>
      <c r="H162" s="112"/>
      <c r="I162" s="113"/>
      <c r="J162" s="21"/>
      <c r="K162" s="20"/>
    </row>
    <row r="163" spans="1:11" x14ac:dyDescent="0.3">
      <c r="A163" s="18"/>
      <c r="B163" s="100" t="s">
        <v>2928</v>
      </c>
      <c r="C163" s="256" t="s">
        <v>3926</v>
      </c>
      <c r="D163" s="404"/>
      <c r="E163" s="250"/>
      <c r="F163" s="112"/>
      <c r="G163" s="112"/>
      <c r="H163" s="112"/>
      <c r="I163" s="113"/>
      <c r="J163" s="21"/>
      <c r="K163" s="20"/>
    </row>
    <row r="164" spans="1:11" x14ac:dyDescent="0.3">
      <c r="A164" s="18"/>
      <c r="B164" s="100" t="s">
        <v>2929</v>
      </c>
      <c r="C164" s="256" t="s">
        <v>2860</v>
      </c>
      <c r="D164" s="404"/>
      <c r="E164" s="250"/>
      <c r="F164" s="112"/>
      <c r="G164" s="112"/>
      <c r="H164" s="112"/>
      <c r="I164" s="113"/>
      <c r="J164" s="21"/>
      <c r="K164" s="20"/>
    </row>
    <row r="165" spans="1:11" x14ac:dyDescent="0.3">
      <c r="A165" s="18"/>
      <c r="B165" s="100" t="s">
        <v>2930</v>
      </c>
      <c r="C165" s="256" t="s">
        <v>2862</v>
      </c>
      <c r="D165" s="404"/>
      <c r="E165" s="250"/>
      <c r="F165" s="112"/>
      <c r="G165" s="112"/>
      <c r="H165" s="112"/>
      <c r="I165" s="113"/>
      <c r="J165" s="21"/>
      <c r="K165" s="20"/>
    </row>
    <row r="166" spans="1:11" x14ac:dyDescent="0.3">
      <c r="A166" s="18"/>
      <c r="B166" s="100" t="s">
        <v>2931</v>
      </c>
      <c r="C166" s="256" t="s">
        <v>2861</v>
      </c>
      <c r="D166" s="404"/>
      <c r="E166" s="250"/>
      <c r="F166" s="112"/>
      <c r="G166" s="112"/>
      <c r="H166" s="112"/>
      <c r="I166" s="113"/>
      <c r="J166" s="21"/>
      <c r="K166" s="20"/>
    </row>
    <row r="167" spans="1:11" x14ac:dyDescent="0.3">
      <c r="A167" s="18"/>
      <c r="B167" s="100" t="s">
        <v>2992</v>
      </c>
      <c r="C167" s="256" t="s">
        <v>2993</v>
      </c>
      <c r="D167" s="404"/>
      <c r="E167" s="250" t="s">
        <v>2994</v>
      </c>
      <c r="F167" s="112"/>
      <c r="G167" s="112"/>
      <c r="H167" s="112"/>
      <c r="I167" s="113"/>
      <c r="J167" s="21"/>
      <c r="K167" s="20"/>
    </row>
    <row r="168" spans="1:11" x14ac:dyDescent="0.3">
      <c r="A168" s="18"/>
      <c r="B168" s="100" t="s">
        <v>2932</v>
      </c>
      <c r="C168" s="256" t="s">
        <v>2998</v>
      </c>
      <c r="D168" s="404"/>
      <c r="E168" s="250" t="s">
        <v>2999</v>
      </c>
      <c r="F168" s="112"/>
      <c r="G168" s="112"/>
      <c r="H168" s="112"/>
      <c r="I168" s="113"/>
      <c r="J168" s="21"/>
      <c r="K168" s="20"/>
    </row>
    <row r="169" spans="1:11" x14ac:dyDescent="0.3">
      <c r="A169" s="18"/>
      <c r="B169" s="100" t="s">
        <v>2933</v>
      </c>
      <c r="C169" s="256" t="s">
        <v>2866</v>
      </c>
      <c r="D169" s="404"/>
      <c r="E169" s="250"/>
      <c r="F169" s="112"/>
      <c r="G169" s="112"/>
      <c r="H169" s="112"/>
      <c r="I169" s="113"/>
      <c r="J169" s="21"/>
      <c r="K169" s="20"/>
    </row>
    <row r="170" spans="1:11" x14ac:dyDescent="0.3">
      <c r="A170" s="18"/>
      <c r="B170" s="100" t="s">
        <v>2867</v>
      </c>
      <c r="C170" s="256" t="s">
        <v>2868</v>
      </c>
      <c r="D170" s="404"/>
      <c r="E170" s="250"/>
      <c r="F170" s="112"/>
      <c r="G170" s="112"/>
      <c r="H170" s="112"/>
      <c r="I170" s="113"/>
      <c r="J170" s="21"/>
      <c r="K170" s="20"/>
    </row>
    <row r="171" spans="1:11" x14ac:dyDescent="0.3">
      <c r="A171" s="18"/>
      <c r="B171" s="100" t="s">
        <v>2934</v>
      </c>
      <c r="C171" s="256" t="s">
        <v>3921</v>
      </c>
      <c r="D171" s="404"/>
      <c r="E171" s="250"/>
      <c r="F171" s="112"/>
      <c r="G171" s="112"/>
      <c r="H171" s="112"/>
      <c r="I171" s="113"/>
      <c r="J171" s="21"/>
      <c r="K171" s="20"/>
    </row>
    <row r="172" spans="1:11" x14ac:dyDescent="0.3">
      <c r="A172" s="18"/>
      <c r="B172" s="100" t="s">
        <v>2935</v>
      </c>
      <c r="C172" s="256" t="s">
        <v>2863</v>
      </c>
      <c r="D172" s="404"/>
      <c r="E172" s="250"/>
      <c r="F172" s="112"/>
      <c r="G172" s="112"/>
      <c r="H172" s="112"/>
      <c r="I172" s="113"/>
      <c r="J172" s="21"/>
      <c r="K172" s="20"/>
    </row>
    <row r="173" spans="1:11" x14ac:dyDescent="0.3">
      <c r="A173" s="18"/>
      <c r="B173" s="100" t="s">
        <v>2936</v>
      </c>
      <c r="C173" s="256" t="s">
        <v>2649</v>
      </c>
      <c r="D173" s="404"/>
      <c r="E173" s="250"/>
      <c r="F173" s="112"/>
      <c r="G173" s="112"/>
      <c r="H173" s="112"/>
      <c r="I173" s="113"/>
      <c r="J173" s="21"/>
      <c r="K173" s="20"/>
    </row>
    <row r="174" spans="1:11" x14ac:dyDescent="0.3">
      <c r="A174" s="18"/>
      <c r="B174" s="100" t="s">
        <v>2937</v>
      </c>
      <c r="C174" s="256" t="s">
        <v>2848</v>
      </c>
      <c r="D174" s="404"/>
      <c r="E174" s="250"/>
      <c r="F174" s="112"/>
      <c r="G174" s="112"/>
      <c r="H174" s="112"/>
      <c r="I174" s="113"/>
      <c r="J174" s="21"/>
      <c r="K174" s="20"/>
    </row>
    <row r="175" spans="1:11" x14ac:dyDescent="0.3">
      <c r="A175" s="18"/>
      <c r="B175" s="100" t="s">
        <v>3025</v>
      </c>
      <c r="C175" s="256" t="s">
        <v>3026</v>
      </c>
      <c r="D175" s="404"/>
      <c r="E175" s="250"/>
      <c r="F175" s="112"/>
      <c r="G175" s="112"/>
      <c r="H175" s="112"/>
      <c r="I175" s="113"/>
      <c r="J175" s="21"/>
      <c r="K175" s="20"/>
    </row>
    <row r="176" spans="1:11" x14ac:dyDescent="0.3">
      <c r="A176" s="18"/>
      <c r="B176" s="100" t="s">
        <v>2466</v>
      </c>
      <c r="C176" s="256" t="s">
        <v>2914</v>
      </c>
      <c r="D176" s="404"/>
      <c r="E176" s="250" t="s">
        <v>2915</v>
      </c>
      <c r="F176" s="112"/>
      <c r="G176" s="112"/>
      <c r="H176" s="112"/>
      <c r="I176" s="113"/>
      <c r="J176" s="21"/>
      <c r="K176" s="20"/>
    </row>
    <row r="177" spans="1:11" x14ac:dyDescent="0.3">
      <c r="A177" s="18"/>
      <c r="B177" s="100" t="s">
        <v>2938</v>
      </c>
      <c r="C177" s="256" t="s">
        <v>2855</v>
      </c>
      <c r="D177" s="404"/>
      <c r="E177" s="250"/>
      <c r="F177" s="112"/>
      <c r="G177" s="112"/>
      <c r="H177" s="112"/>
      <c r="I177" s="113"/>
      <c r="J177" s="21"/>
      <c r="K177" s="20"/>
    </row>
    <row r="178" spans="1:11" x14ac:dyDescent="0.3">
      <c r="A178" s="18"/>
      <c r="B178" s="100" t="s">
        <v>2864</v>
      </c>
      <c r="C178" s="256" t="s">
        <v>2865</v>
      </c>
      <c r="D178" s="404"/>
      <c r="E178" s="250" t="s">
        <v>2927</v>
      </c>
      <c r="F178" s="112"/>
      <c r="G178" s="112"/>
      <c r="H178" s="112"/>
      <c r="I178" s="113"/>
      <c r="J178" s="21"/>
      <c r="K178" s="20"/>
    </row>
    <row r="179" spans="1:11" x14ac:dyDescent="0.3">
      <c r="A179" s="18"/>
      <c r="B179" s="100" t="s">
        <v>2939</v>
      </c>
      <c r="C179" s="256" t="s">
        <v>2848</v>
      </c>
      <c r="D179" s="404"/>
      <c r="E179" s="250"/>
      <c r="F179" s="112"/>
      <c r="G179" s="112"/>
      <c r="H179" s="112"/>
      <c r="I179" s="113"/>
      <c r="J179" s="21"/>
      <c r="K179" s="20"/>
    </row>
    <row r="180" spans="1:11" x14ac:dyDescent="0.3">
      <c r="A180" s="18"/>
      <c r="B180" s="100" t="s">
        <v>2940</v>
      </c>
      <c r="C180" s="256" t="s">
        <v>2880</v>
      </c>
      <c r="D180" s="404"/>
      <c r="E180" s="250"/>
      <c r="F180" s="112"/>
      <c r="G180" s="112"/>
      <c r="H180" s="112"/>
      <c r="I180" s="113"/>
      <c r="J180" s="21"/>
      <c r="K180" s="20"/>
    </row>
    <row r="181" spans="1:11" x14ac:dyDescent="0.3">
      <c r="A181" s="18"/>
      <c r="B181" s="100" t="s">
        <v>2941</v>
      </c>
      <c r="C181" s="256" t="s">
        <v>3927</v>
      </c>
      <c r="D181" s="404"/>
      <c r="E181" s="250"/>
      <c r="F181" s="112"/>
      <c r="G181" s="112"/>
      <c r="H181" s="112"/>
      <c r="I181" s="113"/>
      <c r="J181" s="21"/>
      <c r="K181" s="20"/>
    </row>
    <row r="182" spans="1:11" x14ac:dyDescent="0.3">
      <c r="A182" s="18"/>
      <c r="B182" s="100" t="s">
        <v>2942</v>
      </c>
      <c r="C182" s="256" t="s">
        <v>2871</v>
      </c>
      <c r="D182" s="404"/>
      <c r="E182" s="250"/>
      <c r="F182" s="112"/>
      <c r="G182" s="112"/>
      <c r="H182" s="112"/>
      <c r="I182" s="113"/>
      <c r="J182" s="21"/>
      <c r="K182" s="20"/>
    </row>
    <row r="183" spans="1:11" x14ac:dyDescent="0.3">
      <c r="A183" s="18"/>
      <c r="B183" s="100" t="s">
        <v>2943</v>
      </c>
      <c r="C183" s="256" t="s">
        <v>2649</v>
      </c>
      <c r="D183" s="404"/>
      <c r="E183" s="250"/>
      <c r="F183" s="112"/>
      <c r="G183" s="112"/>
      <c r="H183" s="112"/>
      <c r="I183" s="113"/>
      <c r="J183" s="21"/>
      <c r="K183" s="20"/>
    </row>
    <row r="184" spans="1:11" x14ac:dyDescent="0.3">
      <c r="A184" s="18"/>
      <c r="B184" s="100" t="s">
        <v>2944</v>
      </c>
      <c r="C184" s="256" t="s">
        <v>2872</v>
      </c>
      <c r="D184" s="404"/>
      <c r="E184" s="250"/>
      <c r="F184" s="112"/>
      <c r="G184" s="112"/>
      <c r="H184" s="112"/>
      <c r="I184" s="113"/>
      <c r="J184" s="21"/>
      <c r="K184" s="20"/>
    </row>
    <row r="185" spans="1:11" x14ac:dyDescent="0.3">
      <c r="A185" s="18"/>
      <c r="B185" s="100" t="s">
        <v>2945</v>
      </c>
      <c r="C185" s="256" t="s">
        <v>2873</v>
      </c>
      <c r="D185" s="404"/>
      <c r="E185" s="250"/>
      <c r="F185" s="112"/>
      <c r="G185" s="112"/>
      <c r="H185" s="112"/>
      <c r="I185" s="113"/>
      <c r="J185" s="21"/>
      <c r="K185" s="20"/>
    </row>
    <row r="186" spans="1:11" x14ac:dyDescent="0.3">
      <c r="A186" s="18"/>
      <c r="B186" s="100" t="s">
        <v>2946</v>
      </c>
      <c r="C186" s="256" t="s">
        <v>2848</v>
      </c>
      <c r="D186" s="404"/>
      <c r="E186" s="250"/>
      <c r="F186" s="112"/>
      <c r="G186" s="112"/>
      <c r="H186" s="112"/>
      <c r="I186" s="113"/>
      <c r="J186" s="21"/>
      <c r="K186" s="20"/>
    </row>
    <row r="187" spans="1:11" x14ac:dyDescent="0.3">
      <c r="A187" s="18"/>
      <c r="B187" s="100" t="s">
        <v>2947</v>
      </c>
      <c r="C187" s="256" t="s">
        <v>2874</v>
      </c>
      <c r="D187" s="404"/>
      <c r="E187" s="250"/>
      <c r="F187" s="112"/>
      <c r="G187" s="112"/>
      <c r="H187" s="112"/>
      <c r="I187" s="113"/>
      <c r="J187" s="21"/>
      <c r="K187" s="20"/>
    </row>
    <row r="188" spans="1:11" x14ac:dyDescent="0.3">
      <c r="A188" s="18"/>
      <c r="B188" s="100" t="s">
        <v>2948</v>
      </c>
      <c r="C188" s="256" t="s">
        <v>2879</v>
      </c>
      <c r="D188" s="404"/>
      <c r="E188" s="250"/>
      <c r="F188" s="112"/>
      <c r="G188" s="112"/>
      <c r="H188" s="112"/>
      <c r="I188" s="113"/>
      <c r="J188" s="21"/>
      <c r="K188" s="20"/>
    </row>
    <row r="189" spans="1:11" x14ac:dyDescent="0.3">
      <c r="A189" s="18"/>
      <c r="B189" s="100" t="s">
        <v>2949</v>
      </c>
      <c r="C189" s="256" t="s">
        <v>2875</v>
      </c>
      <c r="D189" s="404"/>
      <c r="E189" s="250"/>
      <c r="F189" s="112"/>
      <c r="G189" s="112"/>
      <c r="H189" s="112"/>
      <c r="I189" s="113"/>
      <c r="J189" s="21"/>
      <c r="K189" s="20"/>
    </row>
    <row r="190" spans="1:11" x14ac:dyDescent="0.3">
      <c r="A190" s="18"/>
      <c r="B190" s="100" t="s">
        <v>2950</v>
      </c>
      <c r="C190" s="256" t="s">
        <v>2876</v>
      </c>
      <c r="D190" s="404"/>
      <c r="E190" s="250"/>
      <c r="F190" s="112"/>
      <c r="G190" s="112"/>
      <c r="H190" s="112"/>
      <c r="I190" s="113"/>
      <c r="J190" s="21"/>
      <c r="K190" s="20"/>
    </row>
    <row r="191" spans="1:11" x14ac:dyDescent="0.3">
      <c r="A191" s="18"/>
      <c r="B191" s="100" t="s">
        <v>2951</v>
      </c>
      <c r="C191" s="256" t="s">
        <v>2649</v>
      </c>
      <c r="D191" s="404"/>
      <c r="E191" s="250"/>
      <c r="F191" s="112"/>
      <c r="G191" s="112"/>
      <c r="H191" s="112"/>
      <c r="I191" s="113"/>
      <c r="J191" s="21"/>
      <c r="K191" s="20"/>
    </row>
    <row r="192" spans="1:11" x14ac:dyDescent="0.3">
      <c r="A192" s="18"/>
      <c r="B192" s="100" t="s">
        <v>3064</v>
      </c>
      <c r="C192" s="256" t="s">
        <v>2848</v>
      </c>
      <c r="D192" s="404"/>
      <c r="E192" s="250" t="s">
        <v>3065</v>
      </c>
      <c r="F192" s="112"/>
      <c r="G192" s="112"/>
      <c r="H192" s="112"/>
      <c r="I192" s="113"/>
      <c r="J192" s="21"/>
      <c r="K192" s="20"/>
    </row>
    <row r="193" spans="1:11" x14ac:dyDescent="0.3">
      <c r="A193" s="18"/>
      <c r="B193" s="100" t="s">
        <v>2852</v>
      </c>
      <c r="C193" s="256" t="s">
        <v>2848</v>
      </c>
      <c r="D193" s="404"/>
      <c r="E193" s="250"/>
      <c r="F193" s="112"/>
      <c r="G193" s="112"/>
      <c r="H193" s="112"/>
      <c r="I193" s="113"/>
      <c r="J193" s="21"/>
      <c r="K193" s="20"/>
    </row>
    <row r="194" spans="1:11" x14ac:dyDescent="0.3">
      <c r="A194" s="18"/>
      <c r="B194" s="100" t="s">
        <v>2853</v>
      </c>
      <c r="C194" s="256" t="s">
        <v>2848</v>
      </c>
      <c r="D194" s="404"/>
      <c r="E194" s="250"/>
      <c r="F194" s="112"/>
      <c r="G194" s="112"/>
      <c r="H194" s="112"/>
      <c r="I194" s="113"/>
      <c r="J194" s="21"/>
      <c r="K194" s="20"/>
    </row>
    <row r="195" spans="1:11" x14ac:dyDescent="0.3">
      <c r="A195" s="18"/>
      <c r="B195" s="100" t="s">
        <v>2854</v>
      </c>
      <c r="C195" s="256" t="s">
        <v>2848</v>
      </c>
      <c r="D195" s="404"/>
      <c r="E195" s="250"/>
      <c r="F195" s="112"/>
      <c r="G195" s="112"/>
      <c r="H195" s="112"/>
      <c r="I195" s="113"/>
      <c r="J195" s="21"/>
      <c r="K195" s="20"/>
    </row>
    <row r="196" spans="1:11" x14ac:dyDescent="0.3">
      <c r="A196" s="18"/>
      <c r="B196" s="100" t="s">
        <v>2656</v>
      </c>
      <c r="C196" s="256" t="s">
        <v>2657</v>
      </c>
      <c r="D196" s="404"/>
      <c r="E196" s="250" t="s">
        <v>3446</v>
      </c>
      <c r="F196" s="112"/>
      <c r="G196" s="112"/>
      <c r="H196" s="112"/>
      <c r="I196" s="113"/>
      <c r="J196" s="21"/>
      <c r="K196" s="20"/>
    </row>
    <row r="197" spans="1:11" x14ac:dyDescent="0.3">
      <c r="A197" s="18"/>
      <c r="B197" s="100" t="s">
        <v>2888</v>
      </c>
      <c r="C197" s="256" t="s">
        <v>2848</v>
      </c>
      <c r="D197" s="404"/>
      <c r="E197" s="250" t="s">
        <v>3447</v>
      </c>
      <c r="F197" s="112"/>
      <c r="G197" s="112"/>
      <c r="H197" s="112"/>
      <c r="I197" s="113"/>
      <c r="J197" s="21"/>
      <c r="K197" s="20"/>
    </row>
    <row r="198" spans="1:11" x14ac:dyDescent="0.3">
      <c r="A198" s="18"/>
      <c r="B198" s="100" t="s">
        <v>2952</v>
      </c>
      <c r="C198" s="256" t="s">
        <v>2848</v>
      </c>
      <c r="D198" s="404"/>
      <c r="E198" s="250" t="s">
        <v>3446</v>
      </c>
      <c r="F198" s="112"/>
      <c r="G198" s="112"/>
      <c r="H198" s="112"/>
      <c r="I198" s="113"/>
      <c r="J198" s="21"/>
      <c r="K198" s="20"/>
    </row>
    <row r="199" spans="1:11" x14ac:dyDescent="0.3">
      <c r="A199" s="18"/>
      <c r="B199" s="100" t="s">
        <v>2881</v>
      </c>
      <c r="C199" s="256" t="s">
        <v>2895</v>
      </c>
      <c r="D199" s="404"/>
      <c r="E199" s="250" t="s">
        <v>3447</v>
      </c>
      <c r="F199" s="112"/>
      <c r="G199" s="112"/>
      <c r="H199" s="112"/>
      <c r="I199" s="113"/>
      <c r="J199" s="21"/>
      <c r="K199" s="20"/>
    </row>
    <row r="200" spans="1:11" x14ac:dyDescent="0.3">
      <c r="A200" s="18"/>
      <c r="B200" s="100" t="s">
        <v>3057</v>
      </c>
      <c r="C200" s="256" t="s">
        <v>2848</v>
      </c>
      <c r="D200" s="404"/>
      <c r="E200" s="250" t="s">
        <v>3058</v>
      </c>
      <c r="F200" s="112"/>
      <c r="G200" s="112"/>
      <c r="H200" s="112"/>
      <c r="I200" s="113"/>
      <c r="J200" s="21"/>
      <c r="K200" s="20"/>
    </row>
    <row r="201" spans="1:11" ht="15" thickBot="1" x14ac:dyDescent="0.35">
      <c r="A201" s="22"/>
      <c r="B201" s="23"/>
      <c r="C201" s="23"/>
      <c r="D201" s="23"/>
      <c r="E201" s="23"/>
      <c r="F201" s="23"/>
      <c r="G201" s="23"/>
      <c r="H201" s="23"/>
      <c r="I201" s="23"/>
      <c r="J201" s="23"/>
      <c r="K201" s="24"/>
    </row>
  </sheetData>
  <mergeCells count="64">
    <mergeCell ref="M8:N10"/>
    <mergeCell ref="O8:U10"/>
    <mergeCell ref="V8:V10"/>
    <mergeCell ref="M3:V3"/>
    <mergeCell ref="M4:N6"/>
    <mergeCell ref="O4:V6"/>
    <mergeCell ref="M7:N7"/>
    <mergeCell ref="O7:U7"/>
    <mergeCell ref="M17:N19"/>
    <mergeCell ref="O17:U19"/>
    <mergeCell ref="V17:V19"/>
    <mergeCell ref="M20:N22"/>
    <mergeCell ref="O20:U22"/>
    <mergeCell ref="V20:V22"/>
    <mergeCell ref="M11:N13"/>
    <mergeCell ref="O11:U13"/>
    <mergeCell ref="V11:V13"/>
    <mergeCell ref="M14:N16"/>
    <mergeCell ref="O14:U16"/>
    <mergeCell ref="V14:V16"/>
    <mergeCell ref="V23:V25"/>
    <mergeCell ref="M26:N28"/>
    <mergeCell ref="O26:U28"/>
    <mergeCell ref="V26:V28"/>
    <mergeCell ref="M23:N25"/>
    <mergeCell ref="A3:J3"/>
    <mergeCell ref="B134:I134"/>
    <mergeCell ref="A63:J63"/>
    <mergeCell ref="A97:J97"/>
    <mergeCell ref="M32:V32"/>
    <mergeCell ref="M33:N35"/>
    <mergeCell ref="O33:V35"/>
    <mergeCell ref="M36:N36"/>
    <mergeCell ref="O36:U36"/>
    <mergeCell ref="M37:N39"/>
    <mergeCell ref="O37:U39"/>
    <mergeCell ref="V37:V39"/>
    <mergeCell ref="M40:N42"/>
    <mergeCell ref="O40:U42"/>
    <mergeCell ref="V40:V42"/>
    <mergeCell ref="O23:U25"/>
    <mergeCell ref="M66:N68"/>
    <mergeCell ref="O66:U68"/>
    <mergeCell ref="V66:V68"/>
    <mergeCell ref="M57:N59"/>
    <mergeCell ref="O57:U59"/>
    <mergeCell ref="V57:V59"/>
    <mergeCell ref="M60:N62"/>
    <mergeCell ref="O60:U62"/>
    <mergeCell ref="V60:V62"/>
    <mergeCell ref="M63:N65"/>
    <mergeCell ref="O63:U65"/>
    <mergeCell ref="V63:V65"/>
    <mergeCell ref="M52:V52"/>
    <mergeCell ref="M53:N55"/>
    <mergeCell ref="O53:V55"/>
    <mergeCell ref="M56:N56"/>
    <mergeCell ref="O56:U56"/>
    <mergeCell ref="M43:N45"/>
    <mergeCell ref="O43:U45"/>
    <mergeCell ref="V43:V45"/>
    <mergeCell ref="M46:N48"/>
    <mergeCell ref="O46:U48"/>
    <mergeCell ref="V46:V48"/>
  </mergeCells>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dimension ref="A1:Y53"/>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3" customWidth="1"/>
    <col min="4" max="4" width="9.21875" customWidth="1"/>
    <col min="5" max="6" width="10.21875" customWidth="1"/>
    <col min="7" max="7" width="18.44140625" customWidth="1"/>
    <col min="9" max="10" width="9.21875" customWidth="1"/>
  </cols>
  <sheetData>
    <row r="1" spans="1:25" ht="34.5" customHeight="1" thickBot="1" x14ac:dyDescent="0.35">
      <c r="A1" s="292" t="s">
        <v>1580</v>
      </c>
      <c r="B1" s="473" t="e" vm="1">
        <v>#VALUE!</v>
      </c>
      <c r="C1" s="8" t="s">
        <v>223</v>
      </c>
      <c r="D1" s="27"/>
      <c r="E1" s="16"/>
      <c r="F1" s="16"/>
      <c r="G1" s="16"/>
      <c r="H1" s="16"/>
      <c r="I1" s="16"/>
      <c r="J1" s="16"/>
      <c r="K1" s="16"/>
      <c r="L1" s="16"/>
      <c r="M1" s="16"/>
      <c r="N1" s="19"/>
    </row>
    <row r="2" spans="1:25" ht="15" customHeight="1" x14ac:dyDescent="0.3">
      <c r="A2" s="18"/>
      <c r="B2" s="25"/>
      <c r="C2" s="25"/>
      <c r="D2" s="21"/>
      <c r="E2" s="21"/>
      <c r="F2" s="21"/>
      <c r="G2" s="21"/>
      <c r="H2" s="21"/>
      <c r="I2" s="21"/>
      <c r="J2" s="21"/>
      <c r="K2" s="21"/>
      <c r="L2" s="21"/>
      <c r="M2" s="21"/>
      <c r="N2" s="20"/>
    </row>
    <row r="3" spans="1:25" ht="15" customHeight="1" x14ac:dyDescent="0.3">
      <c r="A3" s="18"/>
      <c r="B3" s="25"/>
      <c r="C3" s="25"/>
      <c r="D3" s="21"/>
      <c r="E3" s="21"/>
      <c r="F3" s="21"/>
      <c r="G3" s="21"/>
      <c r="H3" s="21"/>
      <c r="I3" s="21"/>
      <c r="J3" s="21"/>
      <c r="K3" s="21"/>
      <c r="L3" s="21"/>
      <c r="M3" s="21"/>
      <c r="N3" s="20"/>
      <c r="P3" s="486" t="s">
        <v>3448</v>
      </c>
      <c r="Q3" s="486"/>
      <c r="R3" s="486"/>
      <c r="S3" s="486"/>
      <c r="T3" s="486"/>
      <c r="U3" s="486"/>
      <c r="V3" s="486"/>
      <c r="W3" s="486"/>
      <c r="X3" s="486"/>
      <c r="Y3" s="486"/>
    </row>
    <row r="4" spans="1:25" ht="15" customHeight="1" x14ac:dyDescent="0.3">
      <c r="A4" s="18"/>
      <c r="B4" s="21"/>
      <c r="C4" s="21"/>
      <c r="D4" s="26"/>
      <c r="E4" s="21"/>
      <c r="F4" s="21"/>
      <c r="G4" s="21"/>
      <c r="H4" s="21"/>
      <c r="I4" s="21"/>
      <c r="J4" s="21"/>
      <c r="K4" s="21"/>
      <c r="L4" s="21"/>
      <c r="M4" s="21"/>
      <c r="N4" s="20"/>
      <c r="P4" s="487" t="s">
        <v>333</v>
      </c>
      <c r="Q4" s="487"/>
      <c r="R4" s="487" t="s">
        <v>489</v>
      </c>
      <c r="S4" s="487"/>
      <c r="T4" s="487"/>
      <c r="U4" s="487"/>
      <c r="V4" s="487"/>
      <c r="W4" s="487"/>
      <c r="X4" s="487"/>
      <c r="Y4" s="487"/>
    </row>
    <row r="5" spans="1:25" ht="15" customHeight="1" x14ac:dyDescent="0.3">
      <c r="A5" s="18"/>
      <c r="B5" s="492" t="s">
        <v>236</v>
      </c>
      <c r="C5" s="529"/>
      <c r="D5" s="493"/>
      <c r="E5" s="21"/>
      <c r="F5" s="21"/>
      <c r="G5" s="101" t="s">
        <v>3448</v>
      </c>
      <c r="H5" s="21"/>
      <c r="I5" s="21"/>
      <c r="J5" s="21"/>
      <c r="K5" s="21"/>
      <c r="L5" s="21"/>
      <c r="M5" s="21"/>
      <c r="N5" s="20"/>
      <c r="P5" s="487"/>
      <c r="Q5" s="487"/>
      <c r="R5" s="487"/>
      <c r="S5" s="487"/>
      <c r="T5" s="487"/>
      <c r="U5" s="487"/>
      <c r="V5" s="487"/>
      <c r="W5" s="487"/>
      <c r="X5" s="487"/>
      <c r="Y5" s="487"/>
    </row>
    <row r="6" spans="1:25" x14ac:dyDescent="0.3">
      <c r="A6" s="18"/>
      <c r="B6" s="102" t="s">
        <v>2</v>
      </c>
      <c r="C6" s="103" t="s">
        <v>226</v>
      </c>
      <c r="D6" s="103" t="s">
        <v>227</v>
      </c>
      <c r="E6" s="21"/>
      <c r="F6" s="21"/>
      <c r="G6" s="103" t="s">
        <v>2</v>
      </c>
      <c r="H6" s="21"/>
      <c r="I6" s="21"/>
      <c r="J6" s="21"/>
      <c r="K6" s="21"/>
      <c r="L6" s="21"/>
      <c r="M6" s="21"/>
      <c r="N6" s="20"/>
      <c r="P6" s="487"/>
      <c r="Q6" s="487"/>
      <c r="R6" s="487"/>
      <c r="S6" s="487"/>
      <c r="T6" s="487"/>
      <c r="U6" s="487"/>
      <c r="V6" s="487"/>
      <c r="W6" s="487"/>
      <c r="X6" s="487"/>
      <c r="Y6" s="487"/>
    </row>
    <row r="7" spans="1:25" x14ac:dyDescent="0.3">
      <c r="A7" s="18"/>
      <c r="B7" s="42" t="s">
        <v>225</v>
      </c>
      <c r="C7" s="42" t="s">
        <v>228</v>
      </c>
      <c r="D7" s="42">
        <v>2018</v>
      </c>
      <c r="E7" s="21"/>
      <c r="F7" s="21"/>
      <c r="G7" s="30" t="str" cm="1">
        <f t="array" ref="G7">_xll.U.CONCAT(B7:D7)</f>
        <v>EDH2018</v>
      </c>
      <c r="H7" s="21"/>
      <c r="I7" s="21"/>
      <c r="J7" s="21"/>
      <c r="K7" s="21"/>
      <c r="L7" s="21"/>
      <c r="M7" s="21"/>
      <c r="N7" s="20"/>
      <c r="P7" s="483" t="s">
        <v>323</v>
      </c>
      <c r="Q7" s="483"/>
      <c r="R7" s="483" t="s">
        <v>1</v>
      </c>
      <c r="S7" s="483"/>
      <c r="T7" s="483"/>
      <c r="U7" s="483"/>
      <c r="V7" s="483"/>
      <c r="W7" s="483"/>
      <c r="X7" s="483"/>
      <c r="Y7" s="85" t="s">
        <v>324</v>
      </c>
    </row>
    <row r="8" spans="1:25" x14ac:dyDescent="0.3">
      <c r="A8" s="18"/>
      <c r="B8" s="21"/>
      <c r="C8" s="21"/>
      <c r="D8" s="21"/>
      <c r="E8" s="21"/>
      <c r="F8" s="21"/>
      <c r="G8" s="21"/>
      <c r="H8" s="21"/>
      <c r="I8" s="21"/>
      <c r="J8" s="21"/>
      <c r="K8" s="21"/>
      <c r="L8" s="21"/>
      <c r="M8" s="21"/>
      <c r="N8" s="20"/>
      <c r="P8" s="487" t="s">
        <v>490</v>
      </c>
      <c r="Q8" s="487"/>
      <c r="R8" s="487" t="s">
        <v>494</v>
      </c>
      <c r="S8" s="487"/>
      <c r="T8" s="487"/>
      <c r="U8" s="487"/>
      <c r="V8" s="487"/>
      <c r="W8" s="487"/>
      <c r="X8" s="487"/>
      <c r="Y8" s="509" t="s">
        <v>325</v>
      </c>
    </row>
    <row r="9" spans="1:25" x14ac:dyDescent="0.3">
      <c r="A9" s="18"/>
      <c r="B9" s="21"/>
      <c r="C9" s="21"/>
      <c r="D9" s="21"/>
      <c r="E9" s="21"/>
      <c r="F9" s="21"/>
      <c r="G9" s="21"/>
      <c r="H9" s="21"/>
      <c r="I9" s="21"/>
      <c r="J9" s="21"/>
      <c r="K9" s="21"/>
      <c r="L9" s="21"/>
      <c r="M9" s="21"/>
      <c r="N9" s="20"/>
      <c r="P9" s="487"/>
      <c r="Q9" s="487"/>
      <c r="R9" s="487"/>
      <c r="S9" s="487"/>
      <c r="T9" s="487"/>
      <c r="U9" s="487"/>
      <c r="V9" s="487"/>
      <c r="W9" s="487"/>
      <c r="X9" s="487"/>
      <c r="Y9" s="509"/>
    </row>
    <row r="10" spans="1:25" x14ac:dyDescent="0.3">
      <c r="A10" s="18"/>
      <c r="B10" s="102" t="s">
        <v>230</v>
      </c>
      <c r="C10" s="103" t="s">
        <v>232</v>
      </c>
      <c r="D10" s="103" t="s">
        <v>233</v>
      </c>
      <c r="E10" s="21"/>
      <c r="F10" s="21"/>
      <c r="G10" s="103" t="s">
        <v>229</v>
      </c>
      <c r="H10" s="21"/>
      <c r="I10" s="21"/>
      <c r="J10" s="21"/>
      <c r="K10" s="21"/>
      <c r="L10" s="21"/>
      <c r="M10" s="21"/>
      <c r="N10" s="20"/>
      <c r="P10" s="487"/>
      <c r="Q10" s="487"/>
      <c r="R10" s="487"/>
      <c r="S10" s="487"/>
      <c r="T10" s="487"/>
      <c r="U10" s="487"/>
      <c r="V10" s="487"/>
      <c r="W10" s="487"/>
      <c r="X10" s="487"/>
      <c r="Y10" s="509"/>
    </row>
    <row r="11" spans="1:25" x14ac:dyDescent="0.3">
      <c r="A11" s="18"/>
      <c r="B11" s="42" t="s">
        <v>231</v>
      </c>
      <c r="C11" s="42">
        <v>2014</v>
      </c>
      <c r="D11" s="42" t="s">
        <v>234</v>
      </c>
      <c r="E11" s="21"/>
      <c r="F11" s="21"/>
      <c r="G11" s="30" t="str" cm="1">
        <f t="array" ref="G11">_xll.U.CONCAT(B11:D11,",")</f>
        <v>ABC Corp,2014,DE</v>
      </c>
      <c r="H11" s="21"/>
      <c r="I11" s="21"/>
      <c r="J11" s="21"/>
      <c r="K11" s="21"/>
      <c r="L11" s="21"/>
      <c r="M11" s="21"/>
      <c r="N11" s="20"/>
      <c r="P11" s="484" t="s">
        <v>491</v>
      </c>
      <c r="Q11" s="484"/>
      <c r="R11" s="484" t="s">
        <v>495</v>
      </c>
      <c r="S11" s="484"/>
      <c r="T11" s="484"/>
      <c r="U11" s="484"/>
      <c r="V11" s="484"/>
      <c r="W11" s="484"/>
      <c r="X11" s="484"/>
      <c r="Y11" s="485" t="s">
        <v>326</v>
      </c>
    </row>
    <row r="12" spans="1:25" x14ac:dyDescent="0.3">
      <c r="A12" s="18"/>
      <c r="B12" s="21"/>
      <c r="C12" s="21"/>
      <c r="D12" s="21"/>
      <c r="E12" s="21"/>
      <c r="F12" s="21"/>
      <c r="G12" s="21"/>
      <c r="H12" s="21"/>
      <c r="I12" s="21"/>
      <c r="J12" s="21"/>
      <c r="K12" s="21"/>
      <c r="L12" s="21"/>
      <c r="M12" s="21"/>
      <c r="N12" s="20"/>
      <c r="P12" s="484"/>
      <c r="Q12" s="484"/>
      <c r="R12" s="484"/>
      <c r="S12" s="484"/>
      <c r="T12" s="484"/>
      <c r="U12" s="484"/>
      <c r="V12" s="484"/>
      <c r="W12" s="484"/>
      <c r="X12" s="484"/>
      <c r="Y12" s="485"/>
    </row>
    <row r="13" spans="1:25" x14ac:dyDescent="0.3">
      <c r="A13" s="18"/>
      <c r="B13" s="21"/>
      <c r="C13" s="21"/>
      <c r="D13" s="21"/>
      <c r="E13" s="21"/>
      <c r="F13" s="21"/>
      <c r="G13" s="21"/>
      <c r="H13" s="21"/>
      <c r="I13" s="21"/>
      <c r="J13" s="21"/>
      <c r="K13" s="21"/>
      <c r="L13" s="21"/>
      <c r="M13" s="21"/>
      <c r="N13" s="20"/>
      <c r="P13" s="484"/>
      <c r="Q13" s="484"/>
      <c r="R13" s="484"/>
      <c r="S13" s="484"/>
      <c r="T13" s="484"/>
      <c r="U13" s="484"/>
      <c r="V13" s="484"/>
      <c r="W13" s="484"/>
      <c r="X13" s="484"/>
      <c r="Y13" s="485"/>
    </row>
    <row r="14" spans="1:25" x14ac:dyDescent="0.3">
      <c r="A14" s="18"/>
      <c r="B14" s="102" t="s">
        <v>230</v>
      </c>
      <c r="C14" s="103" t="s">
        <v>232</v>
      </c>
      <c r="D14" s="103" t="s">
        <v>233</v>
      </c>
      <c r="E14" s="21"/>
      <c r="F14" s="21"/>
      <c r="G14" s="103" t="s">
        <v>229</v>
      </c>
      <c r="H14" s="21"/>
      <c r="I14" s="21"/>
      <c r="J14" s="21"/>
      <c r="K14" s="21"/>
      <c r="L14" s="21"/>
      <c r="M14" s="21"/>
      <c r="N14" s="20"/>
      <c r="P14" s="484" t="s">
        <v>492</v>
      </c>
      <c r="Q14" s="484"/>
      <c r="R14" s="484" t="s">
        <v>496</v>
      </c>
      <c r="S14" s="484"/>
      <c r="T14" s="484"/>
      <c r="U14" s="484"/>
      <c r="V14" s="484"/>
      <c r="W14" s="484"/>
      <c r="X14" s="484"/>
      <c r="Y14" s="485" t="s">
        <v>326</v>
      </c>
    </row>
    <row r="15" spans="1:25" x14ac:dyDescent="0.3">
      <c r="A15" s="18"/>
      <c r="B15" s="42" t="s">
        <v>235</v>
      </c>
      <c r="C15" s="42">
        <v>2014</v>
      </c>
      <c r="D15" s="42" t="s">
        <v>234</v>
      </c>
      <c r="E15" s="21"/>
      <c r="F15" s="21"/>
      <c r="G15" s="30" t="str" cm="1">
        <f t="array" ref="G15">_xll.U.CONCAT(B15:D15,",")</f>
        <v>ABC, Inc,2014,DE</v>
      </c>
      <c r="H15" s="21"/>
      <c r="I15" s="21"/>
      <c r="J15" s="21"/>
      <c r="K15" s="21"/>
      <c r="L15" s="21"/>
      <c r="M15" s="21"/>
      <c r="N15" s="20"/>
      <c r="P15" s="484"/>
      <c r="Q15" s="484"/>
      <c r="R15" s="484"/>
      <c r="S15" s="484"/>
      <c r="T15" s="484"/>
      <c r="U15" s="484"/>
      <c r="V15" s="484"/>
      <c r="W15" s="484"/>
      <c r="X15" s="484"/>
      <c r="Y15" s="485"/>
    </row>
    <row r="16" spans="1:25" x14ac:dyDescent="0.3">
      <c r="A16" s="18"/>
      <c r="B16" s="21"/>
      <c r="C16" s="21"/>
      <c r="D16" s="21"/>
      <c r="E16" s="21"/>
      <c r="F16" s="21"/>
      <c r="G16" s="21"/>
      <c r="H16" s="21"/>
      <c r="I16" s="21"/>
      <c r="J16" s="21"/>
      <c r="K16" s="21"/>
      <c r="L16" s="21"/>
      <c r="M16" s="21"/>
      <c r="N16" s="20"/>
      <c r="P16" s="484"/>
      <c r="Q16" s="484"/>
      <c r="R16" s="484"/>
      <c r="S16" s="484"/>
      <c r="T16" s="484"/>
      <c r="U16" s="484"/>
      <c r="V16" s="484"/>
      <c r="W16" s="484"/>
      <c r="X16" s="484"/>
      <c r="Y16" s="485"/>
    </row>
    <row r="17" spans="1:25" x14ac:dyDescent="0.3">
      <c r="A17" s="18"/>
      <c r="B17" s="21"/>
      <c r="C17" s="21"/>
      <c r="D17" s="21"/>
      <c r="E17" s="21"/>
      <c r="F17" s="21"/>
      <c r="G17" s="30" t="str" cm="1">
        <f t="array" ref="G17">_xll.U.CONCAT(B15:D15,",",,TRUE)</f>
        <v>ABC, Inc,2014,DE</v>
      </c>
      <c r="H17" s="21"/>
      <c r="I17" s="21"/>
      <c r="J17" s="21"/>
      <c r="K17" s="21"/>
      <c r="L17" s="21"/>
      <c r="M17" s="21"/>
      <c r="N17" s="20"/>
      <c r="P17" s="484" t="s">
        <v>595</v>
      </c>
      <c r="Q17" s="484"/>
      <c r="R17" s="484" t="s">
        <v>596</v>
      </c>
      <c r="S17" s="484"/>
      <c r="T17" s="484"/>
      <c r="U17" s="484"/>
      <c r="V17" s="484"/>
      <c r="W17" s="484"/>
      <c r="X17" s="484"/>
      <c r="Y17" s="485" t="s">
        <v>326</v>
      </c>
    </row>
    <row r="18" spans="1:25" x14ac:dyDescent="0.3">
      <c r="A18" s="18"/>
      <c r="B18" s="21"/>
      <c r="C18" s="21"/>
      <c r="D18" s="21"/>
      <c r="E18" s="21"/>
      <c r="F18" s="21"/>
      <c r="G18" s="21"/>
      <c r="H18" s="21"/>
      <c r="I18" s="21"/>
      <c r="J18" s="21"/>
      <c r="K18" s="21"/>
      <c r="L18" s="21"/>
      <c r="M18" s="21"/>
      <c r="N18" s="20"/>
      <c r="P18" s="484"/>
      <c r="Q18" s="484"/>
      <c r="R18" s="484"/>
      <c r="S18" s="484"/>
      <c r="T18" s="484"/>
      <c r="U18" s="484"/>
      <c r="V18" s="484"/>
      <c r="W18" s="484"/>
      <c r="X18" s="484"/>
      <c r="Y18" s="485"/>
    </row>
    <row r="19" spans="1:25" x14ac:dyDescent="0.3">
      <c r="A19" s="18"/>
      <c r="B19" s="21"/>
      <c r="C19" s="21"/>
      <c r="D19" s="21"/>
      <c r="E19" s="21"/>
      <c r="F19" s="21"/>
      <c r="G19" s="21"/>
      <c r="H19" s="21"/>
      <c r="I19" s="21"/>
      <c r="J19" s="21"/>
      <c r="K19" s="21"/>
      <c r="L19" s="21"/>
      <c r="M19" s="21"/>
      <c r="N19" s="20"/>
      <c r="P19" s="484"/>
      <c r="Q19" s="484"/>
      <c r="R19" s="484"/>
      <c r="S19" s="484"/>
      <c r="T19" s="484"/>
      <c r="U19" s="484"/>
      <c r="V19" s="484"/>
      <c r="W19" s="484"/>
      <c r="X19" s="484"/>
      <c r="Y19" s="485"/>
    </row>
    <row r="20" spans="1:25" x14ac:dyDescent="0.3">
      <c r="A20" s="18"/>
      <c r="B20" s="21"/>
      <c r="C20" s="21"/>
      <c r="D20" s="21"/>
      <c r="E20" s="21"/>
      <c r="F20" s="21"/>
      <c r="G20" s="21"/>
      <c r="H20" s="21"/>
      <c r="I20" s="21"/>
      <c r="J20" s="21"/>
      <c r="K20" s="21"/>
      <c r="L20" s="21"/>
      <c r="M20" s="21"/>
      <c r="N20" s="20"/>
      <c r="P20" s="484" t="s">
        <v>493</v>
      </c>
      <c r="Q20" s="484"/>
      <c r="R20" s="484" t="s">
        <v>497</v>
      </c>
      <c r="S20" s="484"/>
      <c r="T20" s="484"/>
      <c r="U20" s="484"/>
      <c r="V20" s="484"/>
      <c r="W20" s="484"/>
      <c r="X20" s="484"/>
      <c r="Y20" s="485" t="s">
        <v>326</v>
      </c>
    </row>
    <row r="21" spans="1:25" x14ac:dyDescent="0.3">
      <c r="A21" s="18"/>
      <c r="B21" s="21"/>
      <c r="C21" s="21"/>
      <c r="D21" s="21"/>
      <c r="E21" s="21"/>
      <c r="F21" s="21"/>
      <c r="G21" s="21"/>
      <c r="H21" s="21"/>
      <c r="I21" s="21"/>
      <c r="J21" s="21"/>
      <c r="K21" s="21"/>
      <c r="L21" s="21"/>
      <c r="M21" s="21"/>
      <c r="N21" s="20"/>
      <c r="P21" s="484"/>
      <c r="Q21" s="484"/>
      <c r="R21" s="484"/>
      <c r="S21" s="484"/>
      <c r="T21" s="484"/>
      <c r="U21" s="484"/>
      <c r="V21" s="484"/>
      <c r="W21" s="484"/>
      <c r="X21" s="484"/>
      <c r="Y21" s="485"/>
    </row>
    <row r="22" spans="1:25" x14ac:dyDescent="0.3">
      <c r="A22" s="18"/>
      <c r="B22" s="21"/>
      <c r="C22" s="21"/>
      <c r="D22" s="21"/>
      <c r="E22" s="21"/>
      <c r="F22" s="21"/>
      <c r="G22" s="21"/>
      <c r="H22" s="21"/>
      <c r="I22" s="21"/>
      <c r="J22" s="21"/>
      <c r="K22" s="21"/>
      <c r="L22" s="21"/>
      <c r="M22" s="21"/>
      <c r="N22" s="20"/>
      <c r="P22" s="484"/>
      <c r="Q22" s="484"/>
      <c r="R22" s="484"/>
      <c r="S22" s="484"/>
      <c r="T22" s="484"/>
      <c r="U22" s="484"/>
      <c r="V22" s="484"/>
      <c r="W22" s="484"/>
      <c r="X22" s="484"/>
      <c r="Y22" s="485"/>
    </row>
    <row r="23" spans="1:25" x14ac:dyDescent="0.3">
      <c r="A23" s="18"/>
      <c r="B23" s="21"/>
      <c r="C23" s="21"/>
      <c r="D23" s="21"/>
      <c r="E23" s="21"/>
      <c r="F23" s="21"/>
      <c r="G23" s="21"/>
      <c r="H23" s="21"/>
      <c r="I23" s="21"/>
      <c r="J23" s="21"/>
      <c r="K23" s="21"/>
      <c r="L23" s="21"/>
      <c r="M23" s="21"/>
      <c r="N23" s="20"/>
      <c r="P23" s="126" t="s">
        <v>328</v>
      </c>
    </row>
    <row r="24" spans="1:25" x14ac:dyDescent="0.3">
      <c r="A24" s="18"/>
      <c r="B24" s="21"/>
      <c r="C24" s="21"/>
      <c r="D24" s="21"/>
      <c r="E24" s="21"/>
      <c r="F24" s="21"/>
      <c r="G24" s="21"/>
      <c r="H24" s="21"/>
      <c r="I24" s="21"/>
      <c r="J24" s="21"/>
      <c r="K24" s="21"/>
      <c r="L24" s="21"/>
      <c r="M24" s="21"/>
      <c r="N24" s="20"/>
    </row>
    <row r="25" spans="1:25" x14ac:dyDescent="0.3">
      <c r="A25" s="18"/>
      <c r="B25" s="102" t="s">
        <v>230</v>
      </c>
      <c r="C25" s="103" t="s">
        <v>232</v>
      </c>
      <c r="D25" s="103" t="s">
        <v>233</v>
      </c>
      <c r="E25" s="21"/>
      <c r="F25" s="21"/>
      <c r="G25" s="103" t="s">
        <v>229</v>
      </c>
      <c r="H25" s="21"/>
      <c r="I25" s="21"/>
      <c r="J25" s="21"/>
      <c r="K25" s="21"/>
      <c r="L25" s="21"/>
      <c r="M25" s="21"/>
      <c r="N25" s="20"/>
    </row>
    <row r="26" spans="1:25" x14ac:dyDescent="0.3">
      <c r="A26" s="18"/>
      <c r="B26" s="42" t="s">
        <v>231</v>
      </c>
      <c r="C26" s="42"/>
      <c r="D26" s="42" t="s">
        <v>234</v>
      </c>
      <c r="E26" s="21"/>
      <c r="F26" s="21"/>
      <c r="G26" s="30" t="str" cm="1">
        <f t="array" ref="G26">_xll.U.CONCAT(B26:D26,",")</f>
        <v>ABC Corp,,DE</v>
      </c>
      <c r="H26" s="21"/>
      <c r="I26" s="21"/>
      <c r="J26" s="21"/>
      <c r="K26" s="21"/>
      <c r="L26" s="21"/>
      <c r="M26" s="21"/>
      <c r="N26" s="20"/>
    </row>
    <row r="27" spans="1:25" x14ac:dyDescent="0.3">
      <c r="A27" s="18"/>
      <c r="B27" s="21"/>
      <c r="C27" s="21"/>
      <c r="D27" s="21"/>
      <c r="E27" s="21"/>
      <c r="F27" s="21"/>
      <c r="G27" s="21"/>
      <c r="H27" s="21"/>
      <c r="I27" s="21"/>
      <c r="J27" s="21"/>
      <c r="K27" s="21"/>
      <c r="L27" s="21"/>
      <c r="M27" s="21"/>
      <c r="N27" s="20"/>
    </row>
    <row r="28" spans="1:25" x14ac:dyDescent="0.3">
      <c r="A28" s="18"/>
      <c r="B28" s="21"/>
      <c r="C28" s="21"/>
      <c r="D28" s="21"/>
      <c r="E28" s="21"/>
      <c r="F28" s="21"/>
      <c r="G28" s="30" t="str" cm="1">
        <f t="array" ref="G28">_xll.U.CONCAT(B26:D26,",",TRUE)</f>
        <v>ABC Corp,DE</v>
      </c>
      <c r="H28" s="21"/>
      <c r="I28" s="21"/>
      <c r="J28" s="21"/>
      <c r="K28" s="21"/>
      <c r="L28" s="21"/>
      <c r="M28" s="21"/>
      <c r="N28" s="20"/>
    </row>
    <row r="29" spans="1:25" x14ac:dyDescent="0.3">
      <c r="A29" s="18"/>
      <c r="B29" s="21"/>
      <c r="C29" s="21"/>
      <c r="D29" s="21"/>
      <c r="E29" s="21"/>
      <c r="F29" s="21"/>
      <c r="G29" s="21"/>
      <c r="H29" s="21"/>
      <c r="I29" s="21"/>
      <c r="J29" s="21"/>
      <c r="K29" s="21"/>
      <c r="L29" s="21"/>
      <c r="M29" s="21"/>
      <c r="N29" s="20"/>
    </row>
    <row r="30" spans="1:25" x14ac:dyDescent="0.3">
      <c r="A30" s="18"/>
      <c r="B30" s="21"/>
      <c r="C30" s="21"/>
      <c r="D30" s="21"/>
      <c r="E30" s="21"/>
      <c r="F30" s="21"/>
      <c r="G30" s="21"/>
      <c r="H30" s="21"/>
      <c r="I30" s="21"/>
      <c r="J30" s="21"/>
      <c r="K30" s="21"/>
      <c r="L30" s="21"/>
      <c r="M30" s="21"/>
      <c r="N30" s="20"/>
    </row>
    <row r="31" spans="1:25" x14ac:dyDescent="0.3">
      <c r="A31" s="18"/>
      <c r="B31" s="102" t="s">
        <v>230</v>
      </c>
      <c r="C31" s="42" t="s">
        <v>231</v>
      </c>
      <c r="D31" s="21"/>
      <c r="E31" s="21"/>
      <c r="F31" s="21"/>
      <c r="G31" s="30" t="str" cm="1">
        <f t="array" ref="G31">_xll.U.CONCAT(C31:C33,",")</f>
        <v>ABC Corp,2014,DE</v>
      </c>
      <c r="H31" s="21"/>
      <c r="I31" s="21"/>
      <c r="J31" s="21"/>
      <c r="K31" s="21"/>
      <c r="L31" s="21"/>
      <c r="M31" s="21"/>
      <c r="N31" s="20"/>
    </row>
    <row r="32" spans="1:25" x14ac:dyDescent="0.3">
      <c r="A32" s="18"/>
      <c r="B32" s="102" t="s">
        <v>232</v>
      </c>
      <c r="C32" s="42">
        <v>2014</v>
      </c>
      <c r="D32" s="21"/>
      <c r="E32" s="21"/>
      <c r="F32" s="21"/>
      <c r="G32" s="21"/>
      <c r="H32" s="21"/>
      <c r="I32" s="21"/>
      <c r="J32" s="21"/>
      <c r="K32" s="21"/>
      <c r="L32" s="21"/>
      <c r="M32" s="21"/>
      <c r="N32" s="20"/>
    </row>
    <row r="33" spans="1:14" x14ac:dyDescent="0.3">
      <c r="A33" s="18"/>
      <c r="B33" s="102" t="s">
        <v>233</v>
      </c>
      <c r="C33" s="42" t="s">
        <v>234</v>
      </c>
      <c r="D33" s="21"/>
      <c r="E33" s="21"/>
      <c r="F33" s="21"/>
      <c r="G33" s="21"/>
      <c r="H33" s="21"/>
      <c r="I33" s="21"/>
      <c r="J33" s="21"/>
      <c r="K33" s="21"/>
      <c r="L33" s="21"/>
      <c r="M33" s="21"/>
      <c r="N33" s="20"/>
    </row>
    <row r="34" spans="1:14" x14ac:dyDescent="0.3">
      <c r="A34" s="18"/>
      <c r="B34" s="21"/>
      <c r="C34" s="21"/>
      <c r="D34" s="21"/>
      <c r="E34" s="21"/>
      <c r="F34" s="21"/>
      <c r="G34" s="21"/>
      <c r="H34" s="21"/>
      <c r="I34" s="21"/>
      <c r="J34" s="21"/>
      <c r="K34" s="21"/>
      <c r="L34" s="21"/>
      <c r="M34" s="21"/>
      <c r="N34" s="20"/>
    </row>
    <row r="35" spans="1:14" x14ac:dyDescent="0.3">
      <c r="A35" s="18"/>
      <c r="B35" s="21"/>
      <c r="C35" s="21"/>
      <c r="D35" s="21"/>
      <c r="E35" s="21"/>
      <c r="F35" s="21"/>
      <c r="G35" s="21"/>
      <c r="H35" s="21"/>
      <c r="I35" s="21"/>
      <c r="J35" s="21"/>
      <c r="K35" s="21"/>
      <c r="L35" s="21"/>
      <c r="M35" s="21"/>
      <c r="N35" s="20"/>
    </row>
    <row r="36" spans="1:14" x14ac:dyDescent="0.3">
      <c r="A36" s="18"/>
      <c r="B36" s="21"/>
      <c r="C36" s="21"/>
      <c r="D36" s="21"/>
      <c r="E36" s="21"/>
      <c r="F36" s="21"/>
      <c r="G36" s="21"/>
      <c r="H36" s="21"/>
      <c r="I36" s="21"/>
      <c r="J36" s="21"/>
      <c r="K36" s="21"/>
      <c r="L36" s="21"/>
      <c r="M36" s="21"/>
      <c r="N36" s="20"/>
    </row>
    <row r="37" spans="1:14" x14ac:dyDescent="0.3">
      <c r="A37" s="18"/>
      <c r="B37" s="21"/>
      <c r="C37" s="21"/>
      <c r="D37" s="21"/>
      <c r="E37" s="21"/>
      <c r="F37" s="21"/>
      <c r="G37" s="21"/>
      <c r="H37" s="21"/>
      <c r="I37" s="21"/>
      <c r="J37" s="21"/>
      <c r="K37" s="21"/>
      <c r="L37" s="21"/>
      <c r="M37" s="21"/>
      <c r="N37" s="20"/>
    </row>
    <row r="38" spans="1:14" x14ac:dyDescent="0.3">
      <c r="A38" s="18"/>
      <c r="B38" s="42" t="s">
        <v>235</v>
      </c>
      <c r="C38" s="42">
        <v>2014</v>
      </c>
      <c r="D38" s="42" t="s">
        <v>234</v>
      </c>
      <c r="E38" s="21"/>
      <c r="F38" s="21"/>
      <c r="G38" s="30" t="str">
        <f t="array" ref="G38:G40">_xll.U.CONCAT(B38:D40,",",,TRUE)</f>
        <v>ABC, Inc,2014,DE</v>
      </c>
      <c r="H38" s="21"/>
      <c r="I38" s="21"/>
      <c r="J38" s="21"/>
      <c r="K38" s="21"/>
      <c r="L38" s="21"/>
      <c r="M38" s="21"/>
      <c r="N38" s="20"/>
    </row>
    <row r="39" spans="1:14" x14ac:dyDescent="0.3">
      <c r="A39" s="18"/>
      <c r="B39" s="42" t="s">
        <v>597</v>
      </c>
      <c r="C39" s="42">
        <v>2015</v>
      </c>
      <c r="D39" s="42" t="s">
        <v>599</v>
      </c>
      <c r="E39" s="21"/>
      <c r="F39" s="21"/>
      <c r="G39" s="30" t="str">
        <v>XYZ, Inc,2015,IL</v>
      </c>
      <c r="H39" s="21"/>
      <c r="I39" s="21"/>
      <c r="J39" s="21"/>
      <c r="K39" s="21"/>
      <c r="L39" s="21"/>
      <c r="M39" s="21"/>
      <c r="N39" s="20"/>
    </row>
    <row r="40" spans="1:14" x14ac:dyDescent="0.3">
      <c r="A40" s="18"/>
      <c r="B40" s="42" t="s">
        <v>598</v>
      </c>
      <c r="C40" s="42">
        <v>2016</v>
      </c>
      <c r="D40" s="42" t="s">
        <v>600</v>
      </c>
      <c r="E40" s="21"/>
      <c r="F40" s="21"/>
      <c r="G40" s="30" t="str">
        <v>LMN, Inc,2016,NY</v>
      </c>
      <c r="H40" s="21"/>
      <c r="I40" s="21"/>
      <c r="J40" s="21"/>
      <c r="K40" s="21"/>
      <c r="L40" s="21"/>
      <c r="M40" s="21"/>
      <c r="N40" s="20"/>
    </row>
    <row r="41" spans="1:14" x14ac:dyDescent="0.3">
      <c r="A41" s="18"/>
      <c r="B41" s="21"/>
      <c r="C41" s="21"/>
      <c r="D41" s="21"/>
      <c r="E41" s="21"/>
      <c r="F41" s="21"/>
      <c r="G41" s="21"/>
      <c r="H41" s="21"/>
      <c r="I41" s="21"/>
      <c r="J41" s="21"/>
      <c r="K41" s="21"/>
      <c r="L41" s="21"/>
      <c r="M41" s="21"/>
      <c r="N41" s="20"/>
    </row>
    <row r="42" spans="1:14" x14ac:dyDescent="0.3">
      <c r="A42" s="18"/>
      <c r="B42" s="21"/>
      <c r="C42" s="21"/>
      <c r="D42" s="21"/>
      <c r="E42" s="21"/>
      <c r="F42" s="21"/>
      <c r="G42" s="21"/>
      <c r="H42" s="21"/>
      <c r="I42" s="21"/>
      <c r="J42" s="21"/>
      <c r="K42" s="21"/>
      <c r="L42" s="21"/>
      <c r="M42" s="21"/>
      <c r="N42" s="20"/>
    </row>
    <row r="43" spans="1:14" x14ac:dyDescent="0.3">
      <c r="A43" s="18"/>
      <c r="B43" s="21"/>
      <c r="C43" s="21"/>
      <c r="D43" s="21"/>
      <c r="E43" s="21"/>
      <c r="F43" s="21"/>
      <c r="G43" s="21"/>
      <c r="H43" s="21"/>
      <c r="I43" s="21"/>
      <c r="J43" s="21"/>
      <c r="K43" s="21"/>
      <c r="L43" s="21"/>
      <c r="M43" s="21"/>
      <c r="N43" s="20"/>
    </row>
    <row r="44" spans="1:14" x14ac:dyDescent="0.3">
      <c r="A44" s="18"/>
      <c r="B44" s="21"/>
      <c r="C44" s="21"/>
      <c r="D44" s="21"/>
      <c r="E44" s="21"/>
      <c r="F44" s="21"/>
      <c r="G44" s="21"/>
      <c r="H44" s="21"/>
      <c r="I44" s="21"/>
      <c r="J44" s="21"/>
      <c r="K44" s="21"/>
      <c r="L44" s="21"/>
      <c r="M44" s="21"/>
      <c r="N44" s="20"/>
    </row>
    <row r="45" spans="1:14" x14ac:dyDescent="0.3">
      <c r="A45" s="18"/>
      <c r="B45" s="42" t="s">
        <v>2275</v>
      </c>
      <c r="C45" s="42" t="s">
        <v>2276</v>
      </c>
      <c r="D45" s="21"/>
      <c r="E45" s="21"/>
      <c r="F45" s="21"/>
      <c r="G45" s="571" t="str" cm="1">
        <f t="array" ref="G45">_xll.U.CONCAT(B45:C45,"newline")</f>
        <v>Dear John_x000D_
I hope you are well</v>
      </c>
      <c r="H45" s="21"/>
      <c r="I45" s="21"/>
      <c r="J45" s="21"/>
      <c r="K45" s="21"/>
      <c r="L45" s="21"/>
      <c r="M45" s="21"/>
      <c r="N45" s="20"/>
    </row>
    <row r="46" spans="1:14" x14ac:dyDescent="0.3">
      <c r="A46" s="18"/>
      <c r="B46" s="21"/>
      <c r="C46" s="21"/>
      <c r="D46" s="21"/>
      <c r="E46" s="21"/>
      <c r="F46" s="21"/>
      <c r="G46" s="572"/>
      <c r="H46" s="21"/>
      <c r="I46" s="21"/>
      <c r="J46" s="21"/>
      <c r="K46" s="21"/>
      <c r="L46" s="21"/>
      <c r="M46" s="21"/>
      <c r="N46" s="20"/>
    </row>
    <row r="47" spans="1:14" x14ac:dyDescent="0.3">
      <c r="A47" s="18"/>
      <c r="B47" s="21"/>
      <c r="C47" s="21"/>
      <c r="D47" s="21"/>
      <c r="E47" s="21"/>
      <c r="F47" s="21"/>
      <c r="G47" s="21"/>
      <c r="H47" s="21"/>
      <c r="I47" s="21"/>
      <c r="J47" s="21"/>
      <c r="K47" s="21"/>
      <c r="L47" s="21"/>
      <c r="M47" s="21"/>
      <c r="N47" s="20"/>
    </row>
    <row r="48" spans="1:14" x14ac:dyDescent="0.3">
      <c r="A48" s="18"/>
      <c r="B48" s="21"/>
      <c r="C48" s="21"/>
      <c r="D48" s="21"/>
      <c r="E48" s="21"/>
      <c r="F48" s="21"/>
      <c r="G48" s="21"/>
      <c r="H48" s="21"/>
      <c r="I48" s="21"/>
      <c r="J48" s="21"/>
      <c r="K48" s="21"/>
      <c r="L48" s="21"/>
      <c r="M48" s="21"/>
      <c r="N48" s="20"/>
    </row>
    <row r="49" spans="1:14" x14ac:dyDescent="0.3">
      <c r="A49" s="18"/>
      <c r="B49" s="21"/>
      <c r="C49" s="21"/>
      <c r="D49" s="21"/>
      <c r="E49" s="21"/>
      <c r="F49" s="21"/>
      <c r="G49" s="30" t="str" cm="1">
        <f t="array" ref="G49">_xll.U.CONCAT(B45:C45,"\newline")</f>
        <v>Dear JohnnewlineI hope you are well</v>
      </c>
      <c r="H49" s="21"/>
      <c r="I49" s="21"/>
      <c r="J49" s="21"/>
      <c r="K49" s="21"/>
      <c r="L49" s="21"/>
      <c r="M49" s="21"/>
      <c r="N49" s="20"/>
    </row>
    <row r="50" spans="1:14" x14ac:dyDescent="0.3">
      <c r="A50" s="18"/>
      <c r="B50" s="21"/>
      <c r="C50" s="21"/>
      <c r="D50" s="21"/>
      <c r="E50" s="21"/>
      <c r="F50" s="21"/>
      <c r="G50" s="21"/>
      <c r="H50" s="21"/>
      <c r="I50" s="21"/>
      <c r="J50" s="21"/>
      <c r="K50" s="21"/>
      <c r="L50" s="21"/>
      <c r="M50" s="21"/>
      <c r="N50" s="20"/>
    </row>
    <row r="51" spans="1:14" x14ac:dyDescent="0.3">
      <c r="A51" s="18"/>
      <c r="B51" s="21"/>
      <c r="C51" s="21"/>
      <c r="D51" s="21"/>
      <c r="E51" s="21"/>
      <c r="F51" s="21"/>
      <c r="G51" s="21"/>
      <c r="H51" s="21"/>
      <c r="I51" s="21"/>
      <c r="J51" s="21"/>
      <c r="K51" s="21"/>
      <c r="L51" s="21"/>
      <c r="M51" s="21"/>
      <c r="N51" s="20"/>
    </row>
    <row r="52" spans="1:14" x14ac:dyDescent="0.3">
      <c r="A52" s="18"/>
      <c r="B52" s="21"/>
      <c r="C52" s="21"/>
      <c r="D52" s="21"/>
      <c r="E52" s="21"/>
      <c r="F52" s="21"/>
      <c r="G52" s="21"/>
      <c r="H52" s="21"/>
      <c r="I52" s="21"/>
      <c r="J52" s="21"/>
      <c r="K52" s="21"/>
      <c r="L52" s="21"/>
      <c r="M52" s="21"/>
      <c r="N52" s="20"/>
    </row>
    <row r="53" spans="1:14" ht="15" thickBot="1" x14ac:dyDescent="0.35">
      <c r="A53" s="22"/>
      <c r="B53" s="23"/>
      <c r="C53" s="23"/>
      <c r="D53" s="23"/>
      <c r="E53" s="23"/>
      <c r="F53" s="23"/>
      <c r="G53" s="23"/>
      <c r="H53" s="23"/>
      <c r="I53" s="23"/>
      <c r="J53" s="23"/>
      <c r="K53" s="23"/>
      <c r="L53" s="23"/>
      <c r="M53" s="23"/>
      <c r="N53" s="24"/>
    </row>
  </sheetData>
  <mergeCells count="22">
    <mergeCell ref="B5:D5"/>
    <mergeCell ref="P3:Y3"/>
    <mergeCell ref="P4:Q6"/>
    <mergeCell ref="R4:Y6"/>
    <mergeCell ref="P7:Q7"/>
    <mergeCell ref="R7:X7"/>
    <mergeCell ref="P8:Q10"/>
    <mergeCell ref="R8:X10"/>
    <mergeCell ref="Y8:Y10"/>
    <mergeCell ref="P11:Q13"/>
    <mergeCell ref="R11:X13"/>
    <mergeCell ref="Y11:Y13"/>
    <mergeCell ref="G45:G46"/>
    <mergeCell ref="Y20:Y22"/>
    <mergeCell ref="R20:X22"/>
    <mergeCell ref="P20:Q22"/>
    <mergeCell ref="P14:Q16"/>
    <mergeCell ref="R14:X16"/>
    <mergeCell ref="Y14:Y16"/>
    <mergeCell ref="P17:Q19"/>
    <mergeCell ref="R17:X19"/>
    <mergeCell ref="Y17:Y19"/>
  </mergeCells>
  <pageMargins left="0.7" right="0.7" top="0.75" bottom="0.75" header="0.3" footer="0.3"/>
  <pageSetup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dimension ref="A1:Y123"/>
  <sheetViews>
    <sheetView workbookViewId="0">
      <pane ySplit="1" topLeftCell="A31" activePane="bottomLeft" state="frozen"/>
      <selection activeCell="C33" sqref="C33"/>
      <selection pane="bottomLeft" activeCell="R126" sqref="R126"/>
    </sheetView>
  </sheetViews>
  <sheetFormatPr defaultColWidth="9.21875" defaultRowHeight="14.4" x14ac:dyDescent="0.3"/>
  <cols>
    <col min="2" max="2" width="28.21875" customWidth="1"/>
    <col min="3" max="3" width="23" customWidth="1"/>
    <col min="4" max="4" width="11.21875" bestFit="1" customWidth="1"/>
    <col min="5" max="6" width="10.21875" customWidth="1"/>
    <col min="7" max="7" width="18.44140625" customWidth="1"/>
    <col min="9" max="10" width="9.21875" customWidth="1"/>
    <col min="14" max="14" width="12.5546875" customWidth="1"/>
    <col min="18" max="24" width="17.5546875" customWidth="1"/>
  </cols>
  <sheetData>
    <row r="1" spans="1:25" ht="34.5" customHeight="1" thickBot="1" x14ac:dyDescent="0.35">
      <c r="A1" s="292" t="s">
        <v>1580</v>
      </c>
      <c r="B1" s="473" t="e" vm="1">
        <v>#VALUE!</v>
      </c>
      <c r="C1" s="8" t="s">
        <v>224</v>
      </c>
      <c r="D1" s="27"/>
      <c r="E1" s="16"/>
      <c r="F1" s="16"/>
      <c r="G1" s="16"/>
      <c r="H1" s="16"/>
      <c r="I1" s="16"/>
      <c r="J1" s="16"/>
      <c r="K1" s="16"/>
      <c r="L1" s="16"/>
      <c r="M1" s="16"/>
      <c r="N1" s="19"/>
    </row>
    <row r="2" spans="1:25" ht="15" customHeight="1" x14ac:dyDescent="0.3">
      <c r="A2" s="18"/>
      <c r="B2" s="25"/>
      <c r="C2" s="25"/>
      <c r="D2" s="21"/>
      <c r="E2" s="21"/>
      <c r="F2" s="21"/>
      <c r="G2" s="21"/>
      <c r="H2" s="21"/>
      <c r="I2" s="21"/>
      <c r="J2" s="21"/>
      <c r="K2" s="21"/>
      <c r="L2" s="21"/>
      <c r="M2" s="21"/>
      <c r="N2" s="20"/>
    </row>
    <row r="3" spans="1:25" ht="15" customHeight="1" x14ac:dyDescent="0.3">
      <c r="A3" s="18"/>
      <c r="B3" s="25"/>
      <c r="C3" s="25"/>
      <c r="D3" s="21"/>
      <c r="E3" s="21"/>
      <c r="F3" s="21"/>
      <c r="G3" s="21"/>
      <c r="H3" s="21"/>
      <c r="I3" s="21"/>
      <c r="J3" s="21"/>
      <c r="K3" s="21"/>
      <c r="L3" s="21"/>
      <c r="M3" s="21"/>
      <c r="N3" s="20"/>
      <c r="P3" s="486" t="s">
        <v>3449</v>
      </c>
      <c r="Q3" s="486"/>
      <c r="R3" s="486"/>
      <c r="S3" s="486"/>
      <c r="T3" s="486"/>
      <c r="U3" s="486"/>
      <c r="V3" s="486"/>
      <c r="W3" s="486"/>
      <c r="X3" s="486"/>
      <c r="Y3" s="486"/>
    </row>
    <row r="4" spans="1:25" ht="15" customHeight="1" x14ac:dyDescent="0.3">
      <c r="A4" s="18"/>
      <c r="B4" s="21"/>
      <c r="C4" s="21"/>
      <c r="D4" s="26"/>
      <c r="E4" s="21"/>
      <c r="F4" s="21"/>
      <c r="G4" s="21"/>
      <c r="H4" s="21"/>
      <c r="I4" s="21"/>
      <c r="J4" s="21"/>
      <c r="K4" s="21"/>
      <c r="L4" s="21"/>
      <c r="M4" s="21"/>
      <c r="N4" s="20"/>
      <c r="P4" s="487" t="s">
        <v>333</v>
      </c>
      <c r="Q4" s="487"/>
      <c r="R4" s="487" t="s">
        <v>498</v>
      </c>
      <c r="S4" s="487"/>
      <c r="T4" s="487"/>
      <c r="U4" s="487"/>
      <c r="V4" s="487"/>
      <c r="W4" s="487"/>
      <c r="X4" s="487"/>
      <c r="Y4" s="487"/>
    </row>
    <row r="5" spans="1:25" ht="15" customHeight="1" x14ac:dyDescent="0.3">
      <c r="A5" s="18"/>
      <c r="B5" s="2" t="s">
        <v>237</v>
      </c>
      <c r="C5" s="21"/>
      <c r="D5" s="492" t="s">
        <v>3449</v>
      </c>
      <c r="E5" s="529"/>
      <c r="F5" s="493"/>
      <c r="G5" s="21"/>
      <c r="H5" s="21"/>
      <c r="I5" s="21"/>
      <c r="J5" s="21"/>
      <c r="K5" s="21"/>
      <c r="L5" s="21"/>
      <c r="M5" s="21"/>
      <c r="N5" s="20"/>
      <c r="P5" s="487"/>
      <c r="Q5" s="487"/>
      <c r="R5" s="487"/>
      <c r="S5" s="487"/>
      <c r="T5" s="487"/>
      <c r="U5" s="487"/>
      <c r="V5" s="487"/>
      <c r="W5" s="487"/>
      <c r="X5" s="487"/>
      <c r="Y5" s="487"/>
    </row>
    <row r="6" spans="1:25" x14ac:dyDescent="0.3">
      <c r="A6" s="18"/>
      <c r="B6" s="42" t="s">
        <v>3</v>
      </c>
      <c r="C6" s="21"/>
      <c r="D6" s="30" t="str">
        <f t="array" ref="D6:F6">_xll.U.SPLIT(B6)</f>
        <v>A</v>
      </c>
      <c r="E6" s="30" t="str">
        <v>B</v>
      </c>
      <c r="F6" s="30" t="str">
        <v>C</v>
      </c>
      <c r="G6" s="21"/>
      <c r="H6" s="21"/>
      <c r="I6" s="21"/>
      <c r="J6" s="21"/>
      <c r="K6" s="21"/>
      <c r="L6" s="21"/>
      <c r="M6" s="21"/>
      <c r="N6" s="20"/>
      <c r="P6" s="487"/>
      <c r="Q6" s="487"/>
      <c r="R6" s="487"/>
      <c r="S6" s="487"/>
      <c r="T6" s="487"/>
      <c r="U6" s="487"/>
      <c r="V6" s="487"/>
      <c r="W6" s="487"/>
      <c r="X6" s="487"/>
      <c r="Y6" s="487"/>
    </row>
    <row r="7" spans="1:25" x14ac:dyDescent="0.3">
      <c r="A7" s="18"/>
      <c r="B7" s="21"/>
      <c r="C7" s="21"/>
      <c r="D7" s="21"/>
      <c r="E7" s="21"/>
      <c r="F7" s="21"/>
      <c r="G7" s="21"/>
      <c r="H7" s="21"/>
      <c r="I7" s="21"/>
      <c r="J7" s="21"/>
      <c r="K7" s="21"/>
      <c r="L7" s="21"/>
      <c r="M7" s="21"/>
      <c r="N7" s="20"/>
      <c r="P7" s="483" t="s">
        <v>323</v>
      </c>
      <c r="Q7" s="483"/>
      <c r="R7" s="483" t="s">
        <v>1</v>
      </c>
      <c r="S7" s="483"/>
      <c r="T7" s="483"/>
      <c r="U7" s="483"/>
      <c r="V7" s="483"/>
      <c r="W7" s="483"/>
      <c r="X7" s="483"/>
      <c r="Y7" s="85" t="s">
        <v>324</v>
      </c>
    </row>
    <row r="8" spans="1:25" x14ac:dyDescent="0.3">
      <c r="A8" s="18"/>
      <c r="B8" s="21"/>
      <c r="C8" s="21"/>
      <c r="D8" s="21"/>
      <c r="E8" s="21"/>
      <c r="F8" s="21"/>
      <c r="G8" s="21"/>
      <c r="H8" s="21"/>
      <c r="I8" s="21"/>
      <c r="J8" s="21"/>
      <c r="K8" s="21"/>
      <c r="L8" s="21"/>
      <c r="M8" s="21"/>
      <c r="N8" s="20"/>
      <c r="P8" s="487" t="s">
        <v>499</v>
      </c>
      <c r="Q8" s="487"/>
      <c r="R8" s="487" t="s">
        <v>603</v>
      </c>
      <c r="S8" s="487"/>
      <c r="T8" s="487"/>
      <c r="U8" s="487"/>
      <c r="V8" s="487"/>
      <c r="W8" s="487"/>
      <c r="X8" s="487"/>
      <c r="Y8" s="509" t="s">
        <v>325</v>
      </c>
    </row>
    <row r="9" spans="1:25" x14ac:dyDescent="0.3">
      <c r="A9" s="18"/>
      <c r="B9" s="21"/>
      <c r="C9" s="21"/>
      <c r="D9" s="21"/>
      <c r="E9" s="21"/>
      <c r="F9" s="21"/>
      <c r="G9" s="21"/>
      <c r="H9" s="21"/>
      <c r="I9" s="21"/>
      <c r="J9" s="21"/>
      <c r="K9" s="21"/>
      <c r="L9" s="21"/>
      <c r="M9" s="21"/>
      <c r="N9" s="20"/>
      <c r="P9" s="487"/>
      <c r="Q9" s="487"/>
      <c r="R9" s="487"/>
      <c r="S9" s="487"/>
      <c r="T9" s="487"/>
      <c r="U9" s="487"/>
      <c r="V9" s="487"/>
      <c r="W9" s="487"/>
      <c r="X9" s="487"/>
      <c r="Y9" s="509"/>
    </row>
    <row r="10" spans="1:25" x14ac:dyDescent="0.3">
      <c r="A10" s="18"/>
      <c r="B10" s="42" t="s">
        <v>238</v>
      </c>
      <c r="C10" s="21"/>
      <c r="D10" s="30" t="str">
        <f t="array" ref="D10:F10">_xll.U.SPLIT(B10,",")</f>
        <v>ABC Corp</v>
      </c>
      <c r="E10" s="30" t="str">
        <v>2014</v>
      </c>
      <c r="F10" s="30" t="str">
        <v>DE</v>
      </c>
      <c r="G10" s="21"/>
      <c r="H10" s="21"/>
      <c r="I10" s="21"/>
      <c r="J10" s="21"/>
      <c r="K10" s="21"/>
      <c r="L10" s="21"/>
      <c r="M10" s="21"/>
      <c r="N10" s="20"/>
      <c r="P10" s="487"/>
      <c r="Q10" s="487"/>
      <c r="R10" s="487"/>
      <c r="S10" s="487"/>
      <c r="T10" s="487"/>
      <c r="U10" s="487"/>
      <c r="V10" s="487"/>
      <c r="W10" s="487"/>
      <c r="X10" s="487"/>
      <c r="Y10" s="509"/>
    </row>
    <row r="11" spans="1:25" x14ac:dyDescent="0.3">
      <c r="A11" s="18"/>
      <c r="B11" s="21"/>
      <c r="C11" s="21"/>
      <c r="D11" s="21"/>
      <c r="E11" s="21"/>
      <c r="F11" s="21"/>
      <c r="G11" s="21"/>
      <c r="H11" s="21"/>
      <c r="I11" s="21"/>
      <c r="J11" s="21"/>
      <c r="K11" s="21"/>
      <c r="L11" s="21"/>
      <c r="M11" s="21"/>
      <c r="N11" s="20"/>
      <c r="P11" s="484" t="s">
        <v>500</v>
      </c>
      <c r="Q11" s="484"/>
      <c r="R11" s="484" t="s">
        <v>2547</v>
      </c>
      <c r="S11" s="484"/>
      <c r="T11" s="484"/>
      <c r="U11" s="484"/>
      <c r="V11" s="484"/>
      <c r="W11" s="484"/>
      <c r="X11" s="484"/>
      <c r="Y11" s="485" t="s">
        <v>326</v>
      </c>
    </row>
    <row r="12" spans="1:25" x14ac:dyDescent="0.3">
      <c r="A12" s="18"/>
      <c r="B12" s="21"/>
      <c r="C12" s="21"/>
      <c r="D12" s="21"/>
      <c r="E12" s="21"/>
      <c r="F12" s="21"/>
      <c r="G12" s="21"/>
      <c r="H12" s="21"/>
      <c r="I12" s="21"/>
      <c r="J12" s="21"/>
      <c r="K12" s="21"/>
      <c r="L12" s="21"/>
      <c r="M12" s="21"/>
      <c r="N12" s="20"/>
      <c r="P12" s="484"/>
      <c r="Q12" s="484"/>
      <c r="R12" s="484"/>
      <c r="S12" s="484"/>
      <c r="T12" s="484"/>
      <c r="U12" s="484"/>
      <c r="V12" s="484"/>
      <c r="W12" s="484"/>
      <c r="X12" s="484"/>
      <c r="Y12" s="485"/>
    </row>
    <row r="13" spans="1:25" x14ac:dyDescent="0.3">
      <c r="A13" s="18"/>
      <c r="B13" s="21"/>
      <c r="C13" s="21"/>
      <c r="D13" s="21"/>
      <c r="E13" s="21"/>
      <c r="F13" s="21"/>
      <c r="G13" s="21"/>
      <c r="H13" s="21"/>
      <c r="I13" s="21"/>
      <c r="J13" s="21"/>
      <c r="K13" s="21"/>
      <c r="L13" s="21"/>
      <c r="M13" s="21"/>
      <c r="N13" s="20"/>
      <c r="P13" s="484"/>
      <c r="Q13" s="484"/>
      <c r="R13" s="484"/>
      <c r="S13" s="484"/>
      <c r="T13" s="484"/>
      <c r="U13" s="484"/>
      <c r="V13" s="484"/>
      <c r="W13" s="484"/>
      <c r="X13" s="484"/>
      <c r="Y13" s="485"/>
    </row>
    <row r="14" spans="1:25" x14ac:dyDescent="0.3">
      <c r="A14" s="18"/>
      <c r="B14" s="42" t="s">
        <v>239</v>
      </c>
      <c r="C14" s="21"/>
      <c r="D14" s="30" t="str">
        <f t="array" ref="D14:G14">_xll.U.SPLIT(B14,",")</f>
        <v>ABC\</v>
      </c>
      <c r="E14" s="30" t="str">
        <v xml:space="preserve"> Inc</v>
      </c>
      <c r="F14" s="30" t="str">
        <v>2014</v>
      </c>
      <c r="G14" s="30" t="str">
        <v>DE</v>
      </c>
      <c r="H14" s="21"/>
      <c r="I14" s="21"/>
      <c r="J14" s="21"/>
      <c r="K14" s="21"/>
      <c r="L14" s="21"/>
      <c r="M14" s="21"/>
      <c r="N14" s="20"/>
      <c r="P14" s="484" t="s">
        <v>501</v>
      </c>
      <c r="Q14" s="484"/>
      <c r="R14" s="484" t="s">
        <v>2553</v>
      </c>
      <c r="S14" s="484"/>
      <c r="T14" s="484"/>
      <c r="U14" s="484"/>
      <c r="V14" s="484"/>
      <c r="W14" s="484"/>
      <c r="X14" s="484"/>
      <c r="Y14" s="485" t="s">
        <v>326</v>
      </c>
    </row>
    <row r="15" spans="1:25" x14ac:dyDescent="0.3">
      <c r="A15" s="18"/>
      <c r="B15" s="21"/>
      <c r="C15" s="21"/>
      <c r="D15" s="21"/>
      <c r="E15" s="21"/>
      <c r="F15" s="21"/>
      <c r="G15" s="21"/>
      <c r="H15" s="21"/>
      <c r="I15" s="21"/>
      <c r="J15" s="21"/>
      <c r="K15" s="21"/>
      <c r="L15" s="21"/>
      <c r="M15" s="21"/>
      <c r="N15" s="20"/>
      <c r="P15" s="484"/>
      <c r="Q15" s="484"/>
      <c r="R15" s="484"/>
      <c r="S15" s="484"/>
      <c r="T15" s="484"/>
      <c r="U15" s="484"/>
      <c r="V15" s="484"/>
      <c r="W15" s="484"/>
      <c r="X15" s="484"/>
      <c r="Y15" s="485"/>
    </row>
    <row r="16" spans="1:25" x14ac:dyDescent="0.3">
      <c r="A16" s="18"/>
      <c r="B16" s="21"/>
      <c r="C16" s="21"/>
      <c r="D16" s="30" t="str">
        <f t="array" ref="D16:F16">_xll.U.SPLIT(B14,",","\")</f>
        <v>ABC, Inc</v>
      </c>
      <c r="E16" s="30" t="str">
        <v>2014</v>
      </c>
      <c r="F16" s="30" t="str">
        <v>DE</v>
      </c>
      <c r="G16" s="21"/>
      <c r="H16" s="21"/>
      <c r="I16" s="21"/>
      <c r="J16" s="21"/>
      <c r="K16" s="21"/>
      <c r="L16" s="21"/>
      <c r="M16" s="21"/>
      <c r="N16" s="20"/>
      <c r="P16" s="484"/>
      <c r="Q16" s="484"/>
      <c r="R16" s="484"/>
      <c r="S16" s="484"/>
      <c r="T16" s="484"/>
      <c r="U16" s="484"/>
      <c r="V16" s="484"/>
      <c r="W16" s="484"/>
      <c r="X16" s="484"/>
      <c r="Y16" s="485"/>
    </row>
    <row r="17" spans="1:25" ht="15" customHeight="1" x14ac:dyDescent="0.3">
      <c r="A17" s="18"/>
      <c r="B17" s="21"/>
      <c r="C17" s="21"/>
      <c r="D17" s="21"/>
      <c r="E17" s="21"/>
      <c r="F17" s="21"/>
      <c r="G17" s="21"/>
      <c r="H17" s="21"/>
      <c r="I17" s="21"/>
      <c r="J17" s="21"/>
      <c r="K17" s="21"/>
      <c r="L17" s="21"/>
      <c r="M17" s="21"/>
      <c r="N17" s="20"/>
      <c r="P17" s="484" t="s">
        <v>2652</v>
      </c>
      <c r="Q17" s="484"/>
      <c r="R17" s="484" t="s">
        <v>3797</v>
      </c>
      <c r="S17" s="484"/>
      <c r="T17" s="484"/>
      <c r="U17" s="484"/>
      <c r="V17" s="484"/>
      <c r="W17" s="484"/>
      <c r="X17" s="484"/>
      <c r="Y17" s="485" t="s">
        <v>326</v>
      </c>
    </row>
    <row r="18" spans="1:25" x14ac:dyDescent="0.3">
      <c r="A18" s="18"/>
      <c r="B18" s="21"/>
      <c r="C18" s="21"/>
      <c r="D18" s="21"/>
      <c r="E18" s="21"/>
      <c r="F18" s="21"/>
      <c r="G18" s="21"/>
      <c r="H18" s="21"/>
      <c r="I18" s="21"/>
      <c r="J18" s="21"/>
      <c r="K18" s="21"/>
      <c r="L18" s="21"/>
      <c r="M18" s="21"/>
      <c r="N18" s="20"/>
      <c r="P18" s="484"/>
      <c r="Q18" s="484"/>
      <c r="R18" s="484"/>
      <c r="S18" s="484"/>
      <c r="T18" s="484"/>
      <c r="U18" s="484"/>
      <c r="V18" s="484"/>
      <c r="W18" s="484"/>
      <c r="X18" s="484"/>
      <c r="Y18" s="485"/>
    </row>
    <row r="19" spans="1:25" x14ac:dyDescent="0.3">
      <c r="A19" s="18"/>
      <c r="B19" s="21"/>
      <c r="C19" s="21"/>
      <c r="D19" s="21"/>
      <c r="E19" s="21"/>
      <c r="F19" s="21"/>
      <c r="G19" s="21"/>
      <c r="H19" s="21"/>
      <c r="I19" s="21"/>
      <c r="J19" s="21"/>
      <c r="K19" s="21"/>
      <c r="L19" s="21"/>
      <c r="M19" s="21"/>
      <c r="N19" s="20"/>
      <c r="P19" s="484"/>
      <c r="Q19" s="484"/>
      <c r="R19" s="484"/>
      <c r="S19" s="484"/>
      <c r="T19" s="484"/>
      <c r="U19" s="484"/>
      <c r="V19" s="484"/>
      <c r="W19" s="484"/>
      <c r="X19" s="484"/>
      <c r="Y19" s="485"/>
    </row>
    <row r="20" spans="1:25" x14ac:dyDescent="0.3">
      <c r="A20" s="18"/>
      <c r="B20" s="21"/>
      <c r="C20" s="21"/>
      <c r="D20" s="21"/>
      <c r="E20" s="21"/>
      <c r="F20" s="21"/>
      <c r="G20" s="21"/>
      <c r="H20" s="21"/>
      <c r="I20" s="21"/>
      <c r="J20" s="21"/>
      <c r="K20" s="21"/>
      <c r="L20" s="21"/>
      <c r="M20" s="21"/>
      <c r="N20" s="20"/>
      <c r="P20" s="126" t="s">
        <v>328</v>
      </c>
    </row>
    <row r="21" spans="1:25" x14ac:dyDescent="0.3">
      <c r="A21" s="18"/>
      <c r="B21" s="21"/>
      <c r="C21" s="21"/>
      <c r="D21" s="21"/>
      <c r="E21" s="21"/>
      <c r="F21" s="21"/>
      <c r="G21" s="21"/>
      <c r="H21" s="21"/>
      <c r="I21" s="21"/>
      <c r="J21" s="21"/>
      <c r="K21" s="21"/>
      <c r="L21" s="21"/>
      <c r="M21" s="21"/>
      <c r="N21" s="20"/>
    </row>
    <row r="22" spans="1:25" x14ac:dyDescent="0.3">
      <c r="A22" s="18"/>
      <c r="B22" s="21"/>
      <c r="C22" s="21"/>
      <c r="D22" s="21"/>
      <c r="E22" s="21"/>
      <c r="F22" s="21"/>
      <c r="G22" s="21"/>
      <c r="H22" s="21"/>
      <c r="I22" s="21"/>
      <c r="J22" s="21"/>
      <c r="K22" s="21"/>
      <c r="L22" s="21"/>
      <c r="M22" s="21"/>
      <c r="N22" s="20"/>
    </row>
    <row r="23" spans="1:25" x14ac:dyDescent="0.3">
      <c r="A23" s="18"/>
      <c r="B23" s="21"/>
      <c r="C23" s="21"/>
      <c r="D23" s="21"/>
      <c r="E23" s="21"/>
      <c r="F23" s="21"/>
      <c r="G23" s="21"/>
      <c r="H23" s="21"/>
      <c r="I23" s="21"/>
      <c r="J23" s="21"/>
      <c r="K23" s="21"/>
      <c r="L23" s="21"/>
      <c r="M23" s="21"/>
      <c r="N23" s="20"/>
    </row>
    <row r="24" spans="1:25" x14ac:dyDescent="0.3">
      <c r="A24" s="18"/>
      <c r="B24" s="42" t="s">
        <v>2653</v>
      </c>
      <c r="C24" s="21"/>
      <c r="D24" s="30" t="str">
        <f t="array" ref="D24:H24">_xll.U.SPLIT(B24,",")</f>
        <v>"Delta"</v>
      </c>
      <c r="E24" s="30" t="str">
        <v>4</v>
      </c>
      <c r="F24" s="30" t="str">
        <v>"ABC</v>
      </c>
      <c r="G24" s="30" t="str">
        <v xml:space="preserve"> Inc"</v>
      </c>
      <c r="H24" s="30" t="str">
        <v xml:space="preserve"> 5</v>
      </c>
      <c r="I24" s="21"/>
      <c r="J24" s="21"/>
      <c r="K24" s="21"/>
      <c r="L24" s="21"/>
      <c r="M24" s="21"/>
      <c r="N24" s="20"/>
    </row>
    <row r="25" spans="1:25" x14ac:dyDescent="0.3">
      <c r="A25" s="18"/>
      <c r="B25" s="21"/>
      <c r="C25" s="21"/>
      <c r="D25" s="21"/>
      <c r="E25" s="21"/>
      <c r="F25" s="21"/>
      <c r="G25" s="21"/>
      <c r="H25" s="21"/>
      <c r="I25" s="21"/>
      <c r="J25" s="21"/>
      <c r="K25" s="21"/>
      <c r="L25" s="21"/>
      <c r="M25" s="21"/>
      <c r="N25" s="20"/>
    </row>
    <row r="26" spans="1:25" x14ac:dyDescent="0.3">
      <c r="A26" s="18"/>
      <c r="B26" s="42" t="s">
        <v>2654</v>
      </c>
      <c r="C26" s="21"/>
      <c r="D26" s="30" t="str">
        <f t="array" ref="D26:G26">_xll.U.SPLIT(B24,",",,B26)</f>
        <v>"Delta"</v>
      </c>
      <c r="E26" s="30" t="str">
        <v>4</v>
      </c>
      <c r="F26" s="30" t="str">
        <v>"ABC, Inc"</v>
      </c>
      <c r="G26" s="30" t="str">
        <v xml:space="preserve"> 5</v>
      </c>
      <c r="H26" s="21"/>
      <c r="I26" s="21"/>
      <c r="J26" s="21"/>
      <c r="K26" s="21"/>
      <c r="L26" s="21"/>
      <c r="M26" s="21"/>
      <c r="N26" s="20"/>
    </row>
    <row r="27" spans="1:25" x14ac:dyDescent="0.3">
      <c r="A27" s="18"/>
      <c r="B27" s="21"/>
      <c r="C27" s="21"/>
      <c r="D27" s="21"/>
      <c r="E27" s="21"/>
      <c r="F27" s="21"/>
      <c r="G27" s="21"/>
      <c r="H27" s="21"/>
      <c r="I27" s="21"/>
      <c r="J27" s="21"/>
      <c r="K27" s="21"/>
      <c r="L27" s="21"/>
      <c r="M27" s="21"/>
      <c r="N27" s="20"/>
    </row>
    <row r="28" spans="1:25" x14ac:dyDescent="0.3">
      <c r="A28" s="18"/>
      <c r="B28" s="21"/>
      <c r="C28" s="21"/>
      <c r="D28" s="21"/>
      <c r="E28" s="21"/>
      <c r="F28" s="21"/>
      <c r="G28" s="21"/>
      <c r="H28" s="21"/>
      <c r="I28" s="21"/>
      <c r="J28" s="21"/>
      <c r="K28" s="21"/>
      <c r="L28" s="21"/>
      <c r="M28" s="21"/>
      <c r="N28" s="20"/>
    </row>
    <row r="29" spans="1:25" x14ac:dyDescent="0.3">
      <c r="A29" s="18"/>
      <c r="B29" s="21"/>
      <c r="C29" s="21"/>
      <c r="D29" s="21"/>
      <c r="E29" s="21"/>
      <c r="F29" s="21"/>
      <c r="G29" s="21"/>
      <c r="H29" s="21"/>
      <c r="I29" s="21"/>
      <c r="J29" s="21"/>
      <c r="K29" s="21"/>
      <c r="L29" s="21"/>
      <c r="M29" s="21"/>
      <c r="N29" s="20"/>
    </row>
    <row r="30" spans="1:25" x14ac:dyDescent="0.3">
      <c r="A30" s="18"/>
      <c r="B30" s="21"/>
      <c r="C30" s="21"/>
      <c r="D30" s="30" t="str">
        <f t="array" ref="D30:G30">_xll.U.SPLIT(B24,",",,_xll.U.HAPPEND(B26,TRUE))</f>
        <v>"Delta"</v>
      </c>
      <c r="E30" s="30" t="str">
        <v>4</v>
      </c>
      <c r="F30" s="30" t="str">
        <v>ABC, Inc</v>
      </c>
      <c r="G30" s="30" t="str">
        <v xml:space="preserve"> 5</v>
      </c>
      <c r="H30" s="21"/>
      <c r="I30" s="21"/>
      <c r="J30" s="21"/>
      <c r="K30" s="21"/>
      <c r="L30" s="21"/>
      <c r="M30" s="21"/>
      <c r="N30" s="20"/>
    </row>
    <row r="31" spans="1:25" x14ac:dyDescent="0.3">
      <c r="A31" s="18"/>
      <c r="B31" s="21"/>
      <c r="C31" s="21"/>
      <c r="D31" s="21"/>
      <c r="E31" s="21"/>
      <c r="F31" s="21"/>
      <c r="G31" s="21"/>
      <c r="H31" s="21"/>
      <c r="I31" s="21"/>
      <c r="J31" s="21"/>
      <c r="K31" s="21"/>
      <c r="L31" s="21"/>
      <c r="M31" s="21"/>
      <c r="N31" s="20"/>
    </row>
    <row r="32" spans="1:25" x14ac:dyDescent="0.3">
      <c r="A32" s="18"/>
      <c r="B32" s="21"/>
      <c r="C32" s="21"/>
      <c r="D32" s="21"/>
      <c r="E32" s="21"/>
      <c r="F32" s="21"/>
      <c r="G32" s="21"/>
      <c r="H32" s="21"/>
      <c r="I32" s="21"/>
      <c r="J32" s="21"/>
      <c r="K32" s="21"/>
      <c r="L32" s="21"/>
      <c r="M32" s="21"/>
      <c r="N32" s="20"/>
    </row>
    <row r="33" spans="1:14" x14ac:dyDescent="0.3">
      <c r="A33" s="18"/>
      <c r="B33" s="21"/>
      <c r="C33" s="21"/>
      <c r="D33" s="30" t="str">
        <f t="array" ref="D33:G33">_xll.U.SPLIT(B24,",",,_xll.U.HAPPEND(B26,TRUE,TRUE))</f>
        <v>Delta</v>
      </c>
      <c r="E33" s="30" t="str">
        <v>4</v>
      </c>
      <c r="F33" s="30" t="str">
        <v>ABC, Inc</v>
      </c>
      <c r="G33" s="30" t="str">
        <v xml:space="preserve"> 5</v>
      </c>
      <c r="H33" s="21"/>
      <c r="I33" s="21"/>
      <c r="J33" s="21"/>
      <c r="K33" s="21"/>
      <c r="L33" s="21"/>
      <c r="M33" s="21"/>
      <c r="N33" s="20"/>
    </row>
    <row r="34" spans="1:14" x14ac:dyDescent="0.3">
      <c r="A34" s="18"/>
      <c r="B34" s="21"/>
      <c r="C34" s="21"/>
      <c r="D34" s="21"/>
      <c r="E34" s="21"/>
      <c r="F34" s="21"/>
      <c r="G34" s="21"/>
      <c r="H34" s="21"/>
      <c r="I34" s="21"/>
      <c r="J34" s="21"/>
      <c r="K34" s="21"/>
      <c r="L34" s="21"/>
      <c r="M34" s="21"/>
      <c r="N34" s="20"/>
    </row>
    <row r="35" spans="1:14" x14ac:dyDescent="0.3">
      <c r="A35" s="18"/>
      <c r="B35" s="21"/>
      <c r="C35" s="21"/>
      <c r="D35" s="21"/>
      <c r="E35" s="21"/>
      <c r="F35" s="21"/>
      <c r="G35" s="21"/>
      <c r="H35" s="21"/>
      <c r="I35" s="21"/>
      <c r="J35" s="21"/>
      <c r="K35" s="21"/>
      <c r="L35" s="21"/>
      <c r="M35" s="21"/>
      <c r="N35" s="20"/>
    </row>
    <row r="36" spans="1:14" x14ac:dyDescent="0.3">
      <c r="A36" s="18"/>
      <c r="B36" s="21"/>
      <c r="C36" s="21"/>
      <c r="D36" s="21"/>
      <c r="E36" s="21"/>
      <c r="F36" s="21"/>
      <c r="G36" s="21"/>
      <c r="H36" s="21"/>
      <c r="I36" s="21"/>
      <c r="J36" s="21"/>
      <c r="K36" s="21"/>
      <c r="L36" s="21"/>
      <c r="M36" s="21"/>
      <c r="N36" s="20"/>
    </row>
    <row r="37" spans="1:14" x14ac:dyDescent="0.3">
      <c r="A37" s="18"/>
      <c r="B37" s="21"/>
      <c r="C37" s="21"/>
      <c r="D37" s="21"/>
      <c r="E37" s="21"/>
      <c r="F37" s="21"/>
      <c r="G37" s="21"/>
      <c r="H37" s="21"/>
      <c r="I37" s="21"/>
      <c r="J37" s="21"/>
      <c r="K37" s="21"/>
      <c r="L37" s="21"/>
      <c r="M37" s="21"/>
      <c r="N37" s="20"/>
    </row>
    <row r="38" spans="1:14" x14ac:dyDescent="0.3">
      <c r="A38" s="18"/>
      <c r="B38" s="42" t="s">
        <v>2655</v>
      </c>
      <c r="C38" s="21"/>
      <c r="D38" s="30" t="str">
        <f t="array" ref="D38:G38">_xll.U.SPLIT(B38,",",,"()")</f>
        <v>(Delta)</v>
      </c>
      <c r="E38" s="30" t="str">
        <v>4</v>
      </c>
      <c r="F38" s="30" t="str">
        <v>(ABC, Inc)</v>
      </c>
      <c r="G38" s="30" t="str">
        <v xml:space="preserve"> 5</v>
      </c>
      <c r="H38" s="21"/>
      <c r="I38" s="21"/>
      <c r="J38" s="21"/>
      <c r="K38" s="21"/>
      <c r="L38" s="21"/>
      <c r="M38" s="21"/>
      <c r="N38" s="20"/>
    </row>
    <row r="39" spans="1:14" x14ac:dyDescent="0.3">
      <c r="A39" s="18"/>
      <c r="B39" s="21"/>
      <c r="C39" s="21"/>
      <c r="D39" s="21"/>
      <c r="E39" s="21"/>
      <c r="F39" s="21"/>
      <c r="G39" s="21"/>
      <c r="H39" s="21"/>
      <c r="I39" s="21"/>
      <c r="J39" s="21"/>
      <c r="K39" s="21"/>
      <c r="L39" s="21"/>
      <c r="M39" s="21"/>
      <c r="N39" s="20"/>
    </row>
    <row r="40" spans="1:14" x14ac:dyDescent="0.3">
      <c r="A40" s="18"/>
      <c r="B40" s="21"/>
      <c r="C40" s="21"/>
      <c r="D40" s="21"/>
      <c r="E40" s="21"/>
      <c r="F40" s="21"/>
      <c r="G40" s="21"/>
      <c r="H40" s="21"/>
      <c r="I40" s="21"/>
      <c r="J40" s="21"/>
      <c r="K40" s="21"/>
      <c r="L40" s="21"/>
      <c r="M40" s="21"/>
      <c r="N40" s="20"/>
    </row>
    <row r="41" spans="1:14" x14ac:dyDescent="0.3">
      <c r="A41" s="18"/>
      <c r="B41" s="21"/>
      <c r="C41" s="21"/>
      <c r="D41" s="21"/>
      <c r="E41" s="21"/>
      <c r="F41" s="21"/>
      <c r="G41" s="21"/>
      <c r="H41" s="21"/>
      <c r="I41" s="21"/>
      <c r="J41" s="21"/>
      <c r="K41" s="21"/>
      <c r="L41" s="21"/>
      <c r="M41" s="21"/>
      <c r="N41" s="20"/>
    </row>
    <row r="42" spans="1:14" x14ac:dyDescent="0.3">
      <c r="A42" s="18"/>
      <c r="B42" s="21"/>
      <c r="C42" s="21"/>
      <c r="D42" s="21"/>
      <c r="E42" s="21"/>
      <c r="F42" s="21"/>
      <c r="G42" s="21"/>
      <c r="H42" s="21"/>
      <c r="I42" s="21"/>
      <c r="J42" s="21"/>
      <c r="K42" s="21"/>
      <c r="L42" s="21"/>
      <c r="M42" s="21"/>
      <c r="N42" s="20"/>
    </row>
    <row r="43" spans="1:14" x14ac:dyDescent="0.3">
      <c r="A43" s="18"/>
      <c r="B43" s="42" t="s">
        <v>240</v>
      </c>
      <c r="C43" s="21"/>
      <c r="D43" s="30" t="str">
        <f t="array" ref="D43:G43">_xll.U.SPLIT(B43,{",","=&gt;"})</f>
        <v>Name</v>
      </c>
      <c r="E43" s="30" t="str">
        <v>Bob</v>
      </c>
      <c r="F43" s="30" t="str">
        <v>Age</v>
      </c>
      <c r="G43" s="30" t="str">
        <v>14</v>
      </c>
      <c r="H43" s="21"/>
      <c r="I43" s="21"/>
      <c r="J43" s="21"/>
      <c r="K43" s="21"/>
      <c r="L43" s="21"/>
      <c r="M43" s="21"/>
      <c r="N43" s="20"/>
    </row>
    <row r="44" spans="1:14" x14ac:dyDescent="0.3">
      <c r="A44" s="18"/>
      <c r="B44" s="21"/>
      <c r="C44" s="21"/>
      <c r="D44" s="21"/>
      <c r="E44" s="21"/>
      <c r="F44" s="21"/>
      <c r="G44" s="21"/>
      <c r="H44" s="21"/>
      <c r="I44" s="21"/>
      <c r="J44" s="21"/>
      <c r="K44" s="21"/>
      <c r="L44" s="21"/>
      <c r="M44" s="21"/>
      <c r="N44" s="20"/>
    </row>
    <row r="45" spans="1:14" x14ac:dyDescent="0.3">
      <c r="A45" s="18"/>
      <c r="B45" s="21"/>
      <c r="C45" s="21"/>
      <c r="D45" s="21"/>
      <c r="E45" s="21"/>
      <c r="F45" s="21"/>
      <c r="G45" s="21"/>
      <c r="H45" s="21"/>
      <c r="I45" s="21"/>
      <c r="J45" s="21"/>
      <c r="K45" s="21"/>
      <c r="L45" s="21"/>
      <c r="M45" s="21"/>
      <c r="N45" s="20"/>
    </row>
    <row r="46" spans="1:14" x14ac:dyDescent="0.3">
      <c r="A46" s="18"/>
      <c r="B46" s="21"/>
      <c r="C46" s="21"/>
      <c r="D46" s="30" t="str">
        <f t="array" ref="D46:E46">_xll.U.HFILTER(_xll.U.SPLIT(B43, {",","Name=&gt;","Age=&gt;"}))</f>
        <v>Bob</v>
      </c>
      <c r="E46" s="30" t="str">
        <v>14</v>
      </c>
      <c r="F46" s="21"/>
      <c r="G46" s="21"/>
      <c r="H46" s="21"/>
      <c r="I46" s="21"/>
      <c r="J46" s="21"/>
      <c r="K46" s="21"/>
      <c r="L46" s="21"/>
      <c r="M46" s="21"/>
      <c r="N46" s="20"/>
    </row>
    <row r="47" spans="1:14" x14ac:dyDescent="0.3">
      <c r="A47" s="18"/>
      <c r="B47" s="21"/>
      <c r="C47" s="21"/>
      <c r="D47" s="21"/>
      <c r="E47" s="21"/>
      <c r="F47" s="21"/>
      <c r="G47" s="21"/>
      <c r="H47" s="21"/>
      <c r="I47" s="21"/>
      <c r="J47" s="21"/>
      <c r="K47" s="21"/>
      <c r="L47" s="21"/>
      <c r="M47" s="21"/>
      <c r="N47" s="20"/>
    </row>
    <row r="48" spans="1:14" x14ac:dyDescent="0.3">
      <c r="A48" s="18"/>
      <c r="B48" s="21"/>
      <c r="C48" s="21"/>
      <c r="D48" s="21"/>
      <c r="E48" s="21"/>
      <c r="F48" s="21"/>
      <c r="G48" s="21"/>
      <c r="H48" s="21"/>
      <c r="I48" s="21"/>
      <c r="J48" s="21"/>
      <c r="K48" s="21"/>
      <c r="L48" s="21"/>
      <c r="M48" s="21"/>
      <c r="N48" s="20"/>
    </row>
    <row r="49" spans="1:14" x14ac:dyDescent="0.3">
      <c r="A49" s="18"/>
      <c r="B49" s="21"/>
      <c r="C49" s="21"/>
      <c r="D49" s="21"/>
      <c r="E49" s="21"/>
      <c r="F49" s="21"/>
      <c r="G49" s="21"/>
      <c r="H49" s="21"/>
      <c r="I49" s="21"/>
      <c r="J49" s="21"/>
      <c r="K49" s="21"/>
      <c r="L49" s="21"/>
      <c r="M49" s="21"/>
      <c r="N49" s="20"/>
    </row>
    <row r="50" spans="1:14" x14ac:dyDescent="0.3">
      <c r="A50" s="18"/>
      <c r="B50" s="21"/>
      <c r="C50" s="21"/>
      <c r="D50" s="21"/>
      <c r="E50" s="21"/>
      <c r="F50" s="21"/>
      <c r="G50" s="21"/>
      <c r="H50" s="21"/>
      <c r="I50" s="21"/>
      <c r="J50" s="21"/>
      <c r="K50" s="21"/>
      <c r="L50" s="21"/>
      <c r="M50" s="21"/>
      <c r="N50" s="20"/>
    </row>
    <row r="51" spans="1:14" x14ac:dyDescent="0.3">
      <c r="A51" s="18"/>
      <c r="B51" s="21"/>
      <c r="C51" s="21"/>
      <c r="D51" s="21"/>
      <c r="E51" s="21"/>
      <c r="F51" s="21"/>
      <c r="G51" s="21"/>
      <c r="H51" s="21"/>
      <c r="I51" s="21"/>
      <c r="J51" s="21"/>
      <c r="K51" s="21"/>
      <c r="L51" s="21"/>
      <c r="M51" s="21"/>
      <c r="N51" s="20"/>
    </row>
    <row r="52" spans="1:14" x14ac:dyDescent="0.3">
      <c r="A52" s="18"/>
      <c r="B52" s="42" t="s">
        <v>238</v>
      </c>
      <c r="C52" s="21"/>
      <c r="D52" s="30" t="str">
        <f t="array" ref="D52:F54">_xll.U.SPLIT(B52:B54,",")</f>
        <v>ABC Corp</v>
      </c>
      <c r="E52" s="30" t="str">
        <v>2014</v>
      </c>
      <c r="F52" s="30" t="str">
        <v>DE</v>
      </c>
      <c r="G52" s="21"/>
      <c r="H52" s="21"/>
      <c r="I52" s="21"/>
      <c r="J52" s="21"/>
      <c r="K52" s="21"/>
      <c r="L52" s="21"/>
      <c r="M52" s="21"/>
      <c r="N52" s="20"/>
    </row>
    <row r="53" spans="1:14" x14ac:dyDescent="0.3">
      <c r="A53" s="18"/>
      <c r="B53" s="42" t="s">
        <v>601</v>
      </c>
      <c r="C53" s="21"/>
      <c r="D53" s="30" t="str">
        <v>XYZ Corp</v>
      </c>
      <c r="E53" s="30" t="str">
        <v>2015</v>
      </c>
      <c r="F53" s="30" t="str">
        <v>IL</v>
      </c>
      <c r="G53" s="21"/>
      <c r="H53" s="21"/>
      <c r="I53" s="21"/>
      <c r="J53" s="21"/>
      <c r="K53" s="21"/>
      <c r="L53" s="21"/>
      <c r="M53" s="21"/>
      <c r="N53" s="20"/>
    </row>
    <row r="54" spans="1:14" x14ac:dyDescent="0.3">
      <c r="A54" s="18"/>
      <c r="B54" s="42" t="s">
        <v>602</v>
      </c>
      <c r="C54" s="21"/>
      <c r="D54" s="30" t="str">
        <v>LMN Corp</v>
      </c>
      <c r="E54" s="30" t="str">
        <v>2016</v>
      </c>
      <c r="F54" s="30" t="str">
        <v>NY</v>
      </c>
      <c r="G54" s="21"/>
      <c r="H54" s="21"/>
      <c r="I54" s="21"/>
      <c r="J54" s="21"/>
      <c r="K54" s="21"/>
      <c r="L54" s="21"/>
      <c r="M54" s="21"/>
      <c r="N54" s="20"/>
    </row>
    <row r="55" spans="1:14" x14ac:dyDescent="0.3">
      <c r="A55" s="18"/>
      <c r="B55" s="21"/>
      <c r="C55" s="21"/>
      <c r="D55" s="21"/>
      <c r="E55" s="21"/>
      <c r="F55" s="21"/>
      <c r="G55" s="21"/>
      <c r="H55" s="21"/>
      <c r="I55" s="21"/>
      <c r="J55" s="21"/>
      <c r="K55" s="21"/>
      <c r="L55" s="21"/>
      <c r="M55" s="21"/>
      <c r="N55" s="20"/>
    </row>
    <row r="56" spans="1:14" x14ac:dyDescent="0.3">
      <c r="A56" s="18"/>
      <c r="B56" s="21"/>
      <c r="C56" s="21"/>
      <c r="D56" s="21"/>
      <c r="E56" s="21"/>
      <c r="F56" s="21"/>
      <c r="G56" s="21"/>
      <c r="H56" s="21"/>
      <c r="I56" s="21"/>
      <c r="J56" s="21"/>
      <c r="K56" s="21"/>
      <c r="L56" s="21"/>
      <c r="M56" s="21"/>
      <c r="N56" s="20"/>
    </row>
    <row r="57" spans="1:14" x14ac:dyDescent="0.3">
      <c r="A57" s="18"/>
      <c r="B57" s="21"/>
      <c r="C57" s="21"/>
      <c r="D57" s="21"/>
      <c r="E57" s="21"/>
      <c r="F57" s="21"/>
      <c r="G57" s="21"/>
      <c r="H57" s="21"/>
      <c r="I57" s="21"/>
      <c r="J57" s="21"/>
      <c r="K57" s="21"/>
      <c r="L57" s="21"/>
      <c r="M57" s="21"/>
      <c r="N57" s="20"/>
    </row>
    <row r="58" spans="1:14" x14ac:dyDescent="0.3">
      <c r="A58" s="18"/>
      <c r="B58" s="21"/>
      <c r="C58" s="21"/>
      <c r="D58" s="21"/>
      <c r="E58" s="21"/>
      <c r="F58" s="21"/>
      <c r="G58" s="21"/>
      <c r="H58" s="21"/>
      <c r="I58" s="21"/>
      <c r="J58" s="21"/>
      <c r="K58" s="21"/>
      <c r="L58" s="21"/>
      <c r="M58" s="21"/>
      <c r="N58" s="20"/>
    </row>
    <row r="59" spans="1:14" x14ac:dyDescent="0.3">
      <c r="A59" s="18"/>
      <c r="B59" s="42" t="s">
        <v>2546</v>
      </c>
      <c r="C59" s="21"/>
      <c r="D59" s="30" t="str">
        <f t="array" ref="D59:G59">_xll.U.SPLIT(B59,"skip(;,2)")</f>
        <v>a;b;c</v>
      </c>
      <c r="E59" s="30" t="str">
        <v>d</v>
      </c>
      <c r="F59" s="30" t="str">
        <v>e</v>
      </c>
      <c r="G59" s="30" t="str">
        <v>f</v>
      </c>
      <c r="H59" s="21"/>
      <c r="I59" s="21"/>
      <c r="J59" s="21"/>
      <c r="K59" s="21"/>
      <c r="L59" s="21"/>
      <c r="M59" s="21"/>
      <c r="N59" s="20"/>
    </row>
    <row r="60" spans="1:14" x14ac:dyDescent="0.3">
      <c r="A60" s="18"/>
      <c r="B60" s="21"/>
      <c r="C60" s="21"/>
      <c r="D60" s="30" t="str">
        <f t="array" ref="D60:G60">_xll.U.SPLIT(B59,"skip(;,-2)")</f>
        <v>a</v>
      </c>
      <c r="E60" s="30" t="str">
        <v>b</v>
      </c>
      <c r="F60" s="30" t="str">
        <v>c</v>
      </c>
      <c r="G60" s="30" t="str">
        <v>d;e;f</v>
      </c>
      <c r="H60" s="21"/>
      <c r="I60" s="21"/>
      <c r="J60" s="21"/>
      <c r="K60" s="21"/>
      <c r="L60" s="21"/>
      <c r="M60" s="21"/>
      <c r="N60" s="20"/>
    </row>
    <row r="61" spans="1:14" x14ac:dyDescent="0.3">
      <c r="A61" s="18"/>
      <c r="B61" s="21"/>
      <c r="C61" s="21"/>
      <c r="D61" s="21"/>
      <c r="E61" s="21"/>
      <c r="F61" s="21"/>
      <c r="G61" s="21"/>
      <c r="H61" s="21"/>
      <c r="I61" s="21"/>
      <c r="J61" s="21"/>
      <c r="K61" s="21"/>
      <c r="L61" s="21"/>
      <c r="M61" s="21"/>
      <c r="N61" s="20"/>
    </row>
    <row r="62" spans="1:14" x14ac:dyDescent="0.3">
      <c r="A62" s="18"/>
      <c r="B62" s="42" t="s">
        <v>3734</v>
      </c>
      <c r="C62" s="21"/>
      <c r="D62" s="30" t="str">
        <f t="array" ref="D62:G62">_xll.U.SPLIT(B62,"skip(\,,2,2)")</f>
        <v>a,b,c</v>
      </c>
      <c r="E62" s="30" t="str">
        <v>d</v>
      </c>
      <c r="F62" s="30" t="str">
        <v>e,f</v>
      </c>
      <c r="G62" s="30" t="e">
        <v>#N/A</v>
      </c>
      <c r="H62" s="21"/>
      <c r="I62" s="21"/>
      <c r="J62" s="21"/>
      <c r="K62" s="21"/>
      <c r="L62" s="21"/>
      <c r="M62" s="21"/>
      <c r="N62" s="20"/>
    </row>
    <row r="63" spans="1:14" x14ac:dyDescent="0.3">
      <c r="A63" s="18"/>
      <c r="B63" s="21"/>
      <c r="C63" s="21"/>
      <c r="D63" s="30" t="str">
        <f t="array" ref="D63:G63">_xll.U.SPLIT(B62,"skip(\,,-2,2)")</f>
        <v>a,b</v>
      </c>
      <c r="E63" s="30" t="str">
        <v>c</v>
      </c>
      <c r="F63" s="30" t="str">
        <v>d,e,f</v>
      </c>
      <c r="G63" s="30" t="e">
        <v>#N/A</v>
      </c>
      <c r="H63" s="21"/>
      <c r="I63" s="21"/>
      <c r="J63" s="21"/>
      <c r="K63" s="21"/>
      <c r="L63" s="21"/>
      <c r="M63" s="21"/>
      <c r="N63" s="20"/>
    </row>
    <row r="64" spans="1:14" x14ac:dyDescent="0.3">
      <c r="A64" s="18"/>
      <c r="B64" s="21"/>
      <c r="C64" s="21"/>
      <c r="D64" s="21"/>
      <c r="E64" s="21"/>
      <c r="F64" s="21"/>
      <c r="G64" s="21"/>
      <c r="H64" s="21"/>
      <c r="I64" s="21"/>
      <c r="J64" s="21"/>
      <c r="K64" s="21"/>
      <c r="L64" s="21"/>
      <c r="M64" s="21"/>
      <c r="N64" s="20"/>
    </row>
    <row r="65" spans="1:14" x14ac:dyDescent="0.3">
      <c r="A65" s="18"/>
      <c r="B65" s="21"/>
      <c r="C65" s="21"/>
      <c r="D65" s="21"/>
      <c r="E65" s="21"/>
      <c r="F65" s="21"/>
      <c r="G65" s="21"/>
      <c r="H65" s="21"/>
      <c r="I65" s="21"/>
      <c r="J65" s="21"/>
      <c r="K65" s="21"/>
      <c r="L65" s="21"/>
      <c r="M65" s="21"/>
      <c r="N65" s="20"/>
    </row>
    <row r="66" spans="1:14" x14ac:dyDescent="0.3">
      <c r="A66" s="18"/>
      <c r="B66" s="21"/>
      <c r="C66" s="21"/>
      <c r="D66" s="21"/>
      <c r="E66" s="21"/>
      <c r="F66" s="21"/>
      <c r="G66" s="21"/>
      <c r="H66" s="21"/>
      <c r="I66" s="21"/>
      <c r="J66" s="21"/>
      <c r="K66" s="21"/>
      <c r="L66" s="21"/>
      <c r="M66" s="21"/>
      <c r="N66" s="20"/>
    </row>
    <row r="67" spans="1:14" x14ac:dyDescent="0.3">
      <c r="A67" s="18"/>
      <c r="B67" s="42" t="s">
        <v>1651</v>
      </c>
      <c r="C67" s="21"/>
      <c r="D67" s="30" t="str">
        <f t="array" ref="D67:G67">_xll.U.SPLIT(B67,{"skip(x,1)","skip(xx,1)"})</f>
        <v>a-x</v>
      </c>
      <c r="E67" s="30" t="str">
        <v>-b-</v>
      </c>
      <c r="F67" s="30" t="str">
        <v>-c-</v>
      </c>
      <c r="G67" s="30" t="str">
        <v>-d</v>
      </c>
      <c r="H67" s="21"/>
      <c r="I67" s="21"/>
      <c r="J67" s="21"/>
      <c r="K67" s="21"/>
      <c r="L67" s="21"/>
      <c r="M67" s="21"/>
      <c r="N67" s="20"/>
    </row>
    <row r="68" spans="1:14" x14ac:dyDescent="0.3">
      <c r="A68" s="18"/>
      <c r="B68" s="21"/>
      <c r="C68" s="21"/>
      <c r="D68" s="21"/>
      <c r="E68" s="21"/>
      <c r="F68" s="21"/>
      <c r="G68" s="21"/>
      <c r="H68" s="21"/>
      <c r="I68" s="21"/>
      <c r="J68" s="21"/>
      <c r="K68" s="21"/>
      <c r="L68" s="21"/>
      <c r="M68" s="21"/>
      <c r="N68" s="20"/>
    </row>
    <row r="69" spans="1:14" x14ac:dyDescent="0.3">
      <c r="A69" s="18"/>
      <c r="B69" s="21"/>
      <c r="C69" s="21"/>
      <c r="D69" s="21"/>
      <c r="E69" s="21"/>
      <c r="F69" s="21"/>
      <c r="G69" s="21"/>
      <c r="H69" s="21"/>
      <c r="I69" s="21"/>
      <c r="J69" s="21"/>
      <c r="K69" s="21"/>
      <c r="L69" s="21"/>
      <c r="M69" s="21"/>
      <c r="N69" s="20"/>
    </row>
    <row r="70" spans="1:14" x14ac:dyDescent="0.3">
      <c r="A70" s="18"/>
      <c r="B70" s="21"/>
      <c r="C70" s="21"/>
      <c r="D70" s="21"/>
      <c r="E70" s="21"/>
      <c r="F70" s="21"/>
      <c r="G70" s="21"/>
      <c r="H70" s="21"/>
      <c r="I70" s="21"/>
      <c r="J70" s="21"/>
      <c r="K70" s="21"/>
      <c r="L70" s="21"/>
      <c r="M70" s="21"/>
      <c r="N70" s="20"/>
    </row>
    <row r="71" spans="1:14" x14ac:dyDescent="0.3">
      <c r="A71" s="18"/>
      <c r="B71" s="21"/>
      <c r="C71" s="21"/>
      <c r="D71" s="21"/>
      <c r="E71" s="21"/>
      <c r="F71" s="21"/>
      <c r="G71" s="21"/>
      <c r="H71" s="21"/>
      <c r="I71" s="21"/>
      <c r="J71" s="21"/>
      <c r="K71" s="21"/>
      <c r="L71" s="21"/>
      <c r="M71" s="21"/>
      <c r="N71" s="20"/>
    </row>
    <row r="72" spans="1:14" x14ac:dyDescent="0.3">
      <c r="A72" s="18"/>
      <c r="B72" s="21"/>
      <c r="C72" s="21"/>
      <c r="D72" s="21"/>
      <c r="E72" s="21"/>
      <c r="F72" s="21"/>
      <c r="G72" s="21"/>
      <c r="H72" s="21"/>
      <c r="I72" s="21"/>
      <c r="J72" s="21"/>
      <c r="K72" s="21"/>
      <c r="L72" s="21"/>
      <c r="M72" s="21"/>
      <c r="N72" s="20"/>
    </row>
    <row r="73" spans="1:14" x14ac:dyDescent="0.3">
      <c r="A73" s="18"/>
      <c r="B73" s="21"/>
      <c r="C73" s="21"/>
      <c r="D73" s="21"/>
      <c r="E73" s="21"/>
      <c r="F73" s="21"/>
      <c r="G73" s="21"/>
      <c r="H73" s="21"/>
      <c r="I73" s="21"/>
      <c r="J73" s="21"/>
      <c r="K73" s="21"/>
      <c r="L73" s="21"/>
      <c r="M73" s="21"/>
      <c r="N73" s="20"/>
    </row>
    <row r="74" spans="1:14" x14ac:dyDescent="0.3">
      <c r="A74" s="18"/>
      <c r="B74" s="42" t="s">
        <v>2253</v>
      </c>
      <c r="C74" s="21"/>
      <c r="D74" s="30" t="str">
        <f t="array" ref="D74:G74">_xll.U.SPLIT(B74,"x")</f>
        <v>aa</v>
      </c>
      <c r="E74" s="30" t="str">
        <v>bb</v>
      </c>
      <c r="F74" s="30" t="str">
        <v>cc</v>
      </c>
      <c r="G74" s="30" t="str">
        <v>dd</v>
      </c>
      <c r="H74" s="21"/>
      <c r="I74" s="21"/>
      <c r="J74" s="21"/>
      <c r="K74" s="21"/>
      <c r="L74" s="21"/>
      <c r="M74" s="21"/>
      <c r="N74" s="20"/>
    </row>
    <row r="75" spans="1:14" x14ac:dyDescent="0.3">
      <c r="A75" s="18"/>
      <c r="B75" s="21"/>
      <c r="C75" s="21"/>
      <c r="D75" s="21"/>
      <c r="E75" s="21"/>
      <c r="F75" s="21"/>
      <c r="G75" s="21"/>
      <c r="H75" s="21"/>
      <c r="I75" s="21"/>
      <c r="J75" s="21"/>
      <c r="K75" s="21"/>
      <c r="L75" s="21"/>
      <c r="M75" s="21"/>
      <c r="N75" s="20"/>
    </row>
    <row r="76" spans="1:14" x14ac:dyDescent="0.3">
      <c r="A76" s="18"/>
      <c r="B76" s="21"/>
      <c r="C76" s="21"/>
      <c r="D76" s="30" t="str">
        <f t="array" ref="D76:G76">_xll.U.SPLIT(B74,"match_case(X)")</f>
        <v>aa</v>
      </c>
      <c r="E76" s="30" t="str">
        <v>bb</v>
      </c>
      <c r="F76" s="30" t="str">
        <v>ccxdd</v>
      </c>
      <c r="G76" s="30" t="e">
        <v>#N/A</v>
      </c>
      <c r="H76" s="21"/>
      <c r="I76" s="21"/>
      <c r="J76" s="21"/>
      <c r="K76" s="21"/>
      <c r="L76" s="21"/>
      <c r="M76" s="21"/>
      <c r="N76" s="20"/>
    </row>
    <row r="77" spans="1:14" x14ac:dyDescent="0.3">
      <c r="A77" s="18"/>
      <c r="B77" s="21"/>
      <c r="C77" s="21"/>
      <c r="D77" s="21"/>
      <c r="E77" s="21"/>
      <c r="F77" s="21"/>
      <c r="G77" s="21"/>
      <c r="H77" s="21"/>
      <c r="I77" s="21"/>
      <c r="J77" s="21"/>
      <c r="K77" s="21"/>
      <c r="L77" s="21"/>
      <c r="M77" s="21"/>
      <c r="N77" s="20"/>
    </row>
    <row r="78" spans="1:14" x14ac:dyDescent="0.3">
      <c r="A78" s="18"/>
      <c r="B78" s="21"/>
      <c r="C78" s="21"/>
      <c r="D78" s="21"/>
      <c r="E78" s="21"/>
      <c r="F78" s="21"/>
      <c r="G78" s="21"/>
      <c r="H78" s="21"/>
      <c r="I78" s="21"/>
      <c r="J78" s="21"/>
      <c r="K78" s="21"/>
      <c r="L78" s="21"/>
      <c r="M78" s="21"/>
      <c r="N78" s="20"/>
    </row>
    <row r="79" spans="1:14" x14ac:dyDescent="0.3">
      <c r="A79" s="18"/>
      <c r="B79" s="21"/>
      <c r="C79" s="21"/>
      <c r="D79" s="21"/>
      <c r="E79" s="21"/>
      <c r="F79" s="21"/>
      <c r="G79" s="21"/>
      <c r="H79" s="21"/>
      <c r="I79" s="21"/>
      <c r="J79" s="21"/>
      <c r="K79" s="21"/>
      <c r="L79" s="21"/>
      <c r="M79" s="21"/>
      <c r="N79" s="20"/>
    </row>
    <row r="80" spans="1:14" x14ac:dyDescent="0.3">
      <c r="A80" s="18"/>
      <c r="B80" s="21"/>
      <c r="C80" s="21"/>
      <c r="D80" s="21"/>
      <c r="E80" s="21"/>
      <c r="F80" s="21"/>
      <c r="G80" s="21"/>
      <c r="H80" s="21"/>
      <c r="I80" s="21"/>
      <c r="J80" s="21"/>
      <c r="K80" s="21"/>
      <c r="L80" s="21"/>
      <c r="M80" s="21"/>
      <c r="N80" s="20"/>
    </row>
    <row r="81" spans="1:14" x14ac:dyDescent="0.3">
      <c r="A81" s="18"/>
      <c r="B81" s="42">
        <v>123456789</v>
      </c>
      <c r="C81" s="21"/>
      <c r="D81" s="30" t="str">
        <f t="array" ref="D81:G81">_xll.U.SPLIT(B81,"len(4)")</f>
        <v>1234</v>
      </c>
      <c r="E81" s="30" t="str">
        <v>5678</v>
      </c>
      <c r="F81" s="30" t="str">
        <v>9</v>
      </c>
      <c r="G81" s="30" t="e">
        <v>#N/A</v>
      </c>
      <c r="H81" s="21"/>
      <c r="I81" s="21"/>
      <c r="J81" s="21"/>
      <c r="K81" s="21"/>
      <c r="L81" s="21"/>
      <c r="M81" s="21"/>
      <c r="N81" s="20"/>
    </row>
    <row r="82" spans="1:14" x14ac:dyDescent="0.3">
      <c r="A82" s="18"/>
      <c r="B82" s="21"/>
      <c r="C82" s="21"/>
      <c r="D82" s="21"/>
      <c r="E82" s="21"/>
      <c r="F82" s="21"/>
      <c r="G82" s="21"/>
      <c r="H82" s="21"/>
      <c r="I82" s="21"/>
      <c r="J82" s="21"/>
      <c r="K82" s="21"/>
      <c r="L82" s="21"/>
      <c r="M82" s="21"/>
      <c r="N82" s="20"/>
    </row>
    <row r="83" spans="1:14" x14ac:dyDescent="0.3">
      <c r="A83" s="18"/>
      <c r="B83" s="21"/>
      <c r="C83" s="21"/>
      <c r="D83" s="30" t="str">
        <f t="array" ref="D83:G83">_xll.U.SPLIT(B81,"len(-4)")</f>
        <v>1</v>
      </c>
      <c r="E83" s="30" t="str">
        <v>2345</v>
      </c>
      <c r="F83" s="30" t="str">
        <v>6789</v>
      </c>
      <c r="G83" s="30" t="e">
        <v>#N/A</v>
      </c>
      <c r="H83" s="21"/>
      <c r="I83" s="21"/>
      <c r="J83" s="21"/>
      <c r="K83" s="21"/>
      <c r="L83" s="21"/>
      <c r="M83" s="21"/>
      <c r="N83" s="20"/>
    </row>
    <row r="84" spans="1:14" x14ac:dyDescent="0.3">
      <c r="A84" s="18"/>
      <c r="B84" s="21"/>
      <c r="C84" s="21"/>
      <c r="D84" s="21"/>
      <c r="E84" s="21"/>
      <c r="F84" s="21"/>
      <c r="G84" s="21"/>
      <c r="H84" s="21"/>
      <c r="I84" s="21"/>
      <c r="J84" s="21"/>
      <c r="K84" s="21"/>
      <c r="L84" s="21"/>
      <c r="M84" s="21"/>
      <c r="N84" s="20"/>
    </row>
    <row r="85" spans="1:14" x14ac:dyDescent="0.3">
      <c r="A85" s="18"/>
      <c r="B85" s="21"/>
      <c r="C85" s="21"/>
      <c r="D85" s="21"/>
      <c r="E85" s="21"/>
      <c r="F85" s="21"/>
      <c r="G85" s="21"/>
      <c r="H85" s="21"/>
      <c r="I85" s="21"/>
      <c r="J85" s="21"/>
      <c r="K85" s="21"/>
      <c r="L85" s="21"/>
      <c r="M85" s="21"/>
      <c r="N85" s="20"/>
    </row>
    <row r="86" spans="1:14" x14ac:dyDescent="0.3">
      <c r="A86" s="18"/>
      <c r="B86" s="21"/>
      <c r="C86" s="21"/>
      <c r="D86" s="21"/>
      <c r="E86" s="21"/>
      <c r="F86" s="21"/>
      <c r="G86" s="21"/>
      <c r="H86" s="21"/>
      <c r="I86" s="21"/>
      <c r="J86" s="21"/>
      <c r="K86" s="21"/>
      <c r="L86" s="21"/>
      <c r="M86" s="21"/>
      <c r="N86" s="20"/>
    </row>
    <row r="87" spans="1:14" x14ac:dyDescent="0.3">
      <c r="A87" s="18"/>
      <c r="B87" s="21"/>
      <c r="C87" s="21"/>
      <c r="D87" s="30" t="str">
        <f t="array" ref="D87:G87">_xll.U.SPLIT(B81,"len(2,2)")</f>
        <v>12</v>
      </c>
      <c r="E87" s="30" t="str">
        <v>34</v>
      </c>
      <c r="F87" s="30" t="str">
        <v>56789</v>
      </c>
      <c r="G87" s="30" t="e">
        <v>#N/A</v>
      </c>
      <c r="H87" s="21"/>
      <c r="I87" s="21"/>
      <c r="J87" s="21"/>
      <c r="K87" s="21"/>
      <c r="L87" s="21"/>
      <c r="M87" s="21"/>
      <c r="N87" s="20"/>
    </row>
    <row r="88" spans="1:14" x14ac:dyDescent="0.3">
      <c r="A88" s="18"/>
      <c r="B88" s="21"/>
      <c r="C88" s="21"/>
      <c r="D88" s="21"/>
      <c r="E88" s="21"/>
      <c r="F88" s="21"/>
      <c r="G88" s="21"/>
      <c r="H88" s="21"/>
      <c r="I88" s="21"/>
      <c r="J88" s="21"/>
      <c r="K88" s="21"/>
      <c r="L88" s="21"/>
      <c r="M88" s="21"/>
      <c r="N88" s="20"/>
    </row>
    <row r="89" spans="1:14" x14ac:dyDescent="0.3">
      <c r="A89" s="18"/>
      <c r="B89" s="21"/>
      <c r="C89" s="21"/>
      <c r="D89" s="21"/>
      <c r="E89" s="21"/>
      <c r="F89" s="21"/>
      <c r="G89" s="21"/>
      <c r="H89" s="21"/>
      <c r="I89" s="21"/>
      <c r="J89" s="21"/>
      <c r="K89" s="21"/>
      <c r="L89" s="21"/>
      <c r="M89" s="21"/>
      <c r="N89" s="20"/>
    </row>
    <row r="90" spans="1:14" x14ac:dyDescent="0.3">
      <c r="A90" s="18"/>
      <c r="B90" s="21"/>
      <c r="C90" s="21"/>
      <c r="D90" s="21"/>
      <c r="E90" s="21"/>
      <c r="F90" s="21"/>
      <c r="G90" s="21"/>
      <c r="H90" s="21"/>
      <c r="I90" s="21"/>
      <c r="J90" s="21"/>
      <c r="K90" s="21"/>
      <c r="L90" s="21"/>
      <c r="M90" s="21"/>
      <c r="N90" s="20"/>
    </row>
    <row r="91" spans="1:14" x14ac:dyDescent="0.3">
      <c r="A91" s="18"/>
      <c r="B91" s="21"/>
      <c r="C91" s="21"/>
      <c r="D91" s="21"/>
      <c r="E91" s="21"/>
      <c r="F91" s="21"/>
      <c r="G91" s="21"/>
      <c r="H91" s="21"/>
      <c r="I91" s="21"/>
      <c r="J91" s="21"/>
      <c r="K91" s="21"/>
      <c r="L91" s="21"/>
      <c r="M91" s="21"/>
      <c r="N91" s="20"/>
    </row>
    <row r="92" spans="1:14" x14ac:dyDescent="0.3">
      <c r="A92" s="18"/>
      <c r="B92" s="21"/>
      <c r="C92" s="21"/>
      <c r="D92" s="21"/>
      <c r="E92" s="21"/>
      <c r="F92" s="21"/>
      <c r="G92" s="21"/>
      <c r="H92" s="21"/>
      <c r="I92" s="21"/>
      <c r="J92" s="21"/>
      <c r="K92" s="21"/>
      <c r="L92" s="21"/>
      <c r="M92" s="21"/>
      <c r="N92" s="20"/>
    </row>
    <row r="93" spans="1:14" x14ac:dyDescent="0.3">
      <c r="A93" s="18"/>
      <c r="B93" s="21"/>
      <c r="C93" s="21"/>
      <c r="D93" s="21"/>
      <c r="E93" s="21"/>
      <c r="F93" s="21"/>
      <c r="G93" s="21"/>
      <c r="H93" s="21"/>
      <c r="I93" s="21"/>
      <c r="J93" s="21"/>
      <c r="K93" s="21"/>
      <c r="L93" s="21"/>
      <c r="M93" s="21"/>
      <c r="N93" s="20"/>
    </row>
    <row r="94" spans="1:14" x14ac:dyDescent="0.3">
      <c r="A94" s="18"/>
      <c r="B94" s="21"/>
      <c r="C94" s="21"/>
      <c r="D94" s="21"/>
      <c r="E94" s="21"/>
      <c r="F94" s="21"/>
      <c r="G94" s="21"/>
      <c r="H94" s="21"/>
      <c r="I94" s="21"/>
      <c r="J94" s="21"/>
      <c r="K94" s="21"/>
      <c r="L94" s="21"/>
      <c r="M94" s="21"/>
      <c r="N94" s="20"/>
    </row>
    <row r="95" spans="1:14" x14ac:dyDescent="0.3">
      <c r="A95" s="18"/>
      <c r="B95" s="42" t="s">
        <v>2254</v>
      </c>
      <c r="C95" s="42" t="s">
        <v>2255</v>
      </c>
      <c r="D95" s="21"/>
      <c r="E95" s="30" t="str">
        <f t="array" ref="E95:K95">_xll.U.SPLIT(B95:C95,{"match_case(x)","len(3)"})</f>
        <v>123</v>
      </c>
      <c r="F95" s="30" t="str">
        <v>123</v>
      </c>
      <c r="G95" s="30" t="str">
        <v>X12</v>
      </c>
      <c r="H95" s="30" t="str">
        <v>3</v>
      </c>
      <c r="I95" s="30" t="str">
        <v>123</v>
      </c>
      <c r="J95" s="30" t="str">
        <v>123</v>
      </c>
      <c r="K95" s="30" t="e">
        <v>#N/A</v>
      </c>
      <c r="L95" s="21"/>
      <c r="M95" s="21"/>
      <c r="N95" s="20"/>
    </row>
    <row r="96" spans="1:14" x14ac:dyDescent="0.3">
      <c r="A96" s="18"/>
      <c r="B96" s="21"/>
      <c r="C96" s="21"/>
      <c r="D96" s="21"/>
      <c r="E96" s="21"/>
      <c r="F96" s="21"/>
      <c r="G96" s="21"/>
      <c r="H96" s="21"/>
      <c r="I96" s="21"/>
      <c r="J96" s="21"/>
      <c r="K96" s="21"/>
      <c r="L96" s="21"/>
      <c r="M96" s="21"/>
      <c r="N96" s="20"/>
    </row>
    <row r="97" spans="1:14" x14ac:dyDescent="0.3">
      <c r="A97" s="18"/>
      <c r="B97" s="21"/>
      <c r="C97" s="21"/>
      <c r="D97" s="21"/>
      <c r="E97" s="21"/>
      <c r="F97" s="21"/>
      <c r="G97" s="21"/>
      <c r="H97" s="21"/>
      <c r="I97" s="21"/>
      <c r="J97" s="21"/>
      <c r="K97" s="21"/>
      <c r="L97" s="21"/>
      <c r="M97" s="21"/>
      <c r="N97" s="20"/>
    </row>
    <row r="98" spans="1:14" x14ac:dyDescent="0.3">
      <c r="A98" s="18"/>
      <c r="B98" s="21"/>
      <c r="C98" s="21"/>
      <c r="D98" s="21"/>
      <c r="E98" s="21"/>
      <c r="F98" s="21"/>
      <c r="G98" s="21"/>
      <c r="H98" s="21"/>
      <c r="I98" s="21"/>
      <c r="J98" s="21"/>
      <c r="K98" s="21"/>
      <c r="L98" s="21"/>
      <c r="M98" s="21"/>
      <c r="N98" s="20"/>
    </row>
    <row r="99" spans="1:14" x14ac:dyDescent="0.3">
      <c r="A99" s="18"/>
      <c r="B99" s="21"/>
      <c r="C99" s="21"/>
      <c r="D99" s="21"/>
      <c r="E99" s="21"/>
      <c r="F99" s="21"/>
      <c r="G99" s="21"/>
      <c r="H99" s="21"/>
      <c r="I99" s="21"/>
      <c r="J99" s="21"/>
      <c r="K99" s="21"/>
      <c r="L99" s="21"/>
      <c r="M99" s="21"/>
      <c r="N99" s="20"/>
    </row>
    <row r="100" spans="1:14" x14ac:dyDescent="0.3">
      <c r="A100" s="18"/>
      <c r="B100" s="21"/>
      <c r="C100" s="21"/>
      <c r="D100" s="21"/>
      <c r="E100" s="21"/>
      <c r="F100" s="21"/>
      <c r="G100" s="21"/>
      <c r="H100" s="21"/>
      <c r="I100" s="21"/>
      <c r="J100" s="21"/>
      <c r="K100" s="21"/>
      <c r="L100" s="21"/>
      <c r="M100" s="21"/>
      <c r="N100" s="20"/>
    </row>
    <row r="101" spans="1:14" x14ac:dyDescent="0.3">
      <c r="A101" s="18"/>
      <c r="B101" s="21"/>
      <c r="C101" s="21"/>
      <c r="D101" s="21"/>
      <c r="E101" s="21"/>
      <c r="F101" s="21"/>
      <c r="G101" s="21"/>
      <c r="H101" s="21"/>
      <c r="I101" s="21"/>
      <c r="J101" s="21"/>
      <c r="K101" s="21"/>
      <c r="L101" s="21"/>
      <c r="M101" s="21"/>
      <c r="N101" s="20"/>
    </row>
    <row r="102" spans="1:14" x14ac:dyDescent="0.3">
      <c r="A102" s="18"/>
      <c r="B102" s="42" t="s">
        <v>2258</v>
      </c>
      <c r="C102" s="42" t="s">
        <v>2259</v>
      </c>
      <c r="D102" s="21"/>
      <c r="E102" s="42" t="s">
        <v>2260</v>
      </c>
      <c r="F102" s="21"/>
      <c r="G102" s="30" t="str">
        <f t="array" ref="G102:K105">_xll.U.RESHAPE(_xll.U.SPLIT(B102:C102,E102:E106))</f>
        <v>1</v>
      </c>
      <c r="H102" s="30" t="str">
        <v>A</v>
      </c>
      <c r="I102" s="30" t="str">
        <v>Smith</v>
      </c>
      <c r="J102" s="30" t="str">
        <v>Dr</v>
      </c>
      <c r="K102" s="30" t="str">
        <v>F</v>
      </c>
      <c r="L102" s="21"/>
      <c r="M102" s="21"/>
      <c r="N102" s="20"/>
    </row>
    <row r="103" spans="1:14" x14ac:dyDescent="0.3">
      <c r="A103" s="18"/>
      <c r="B103" s="21"/>
      <c r="C103" s="21"/>
      <c r="D103" s="21"/>
      <c r="E103" s="42" t="s">
        <v>2256</v>
      </c>
      <c r="F103" s="21"/>
      <c r="G103" s="30" t="str">
        <v>2</v>
      </c>
      <c r="H103" s="30" t="str">
        <v>D</v>
      </c>
      <c r="I103" s="30" t="str">
        <v>Jones</v>
      </c>
      <c r="J103" s="30" t="str">
        <v>MD</v>
      </c>
      <c r="K103" s="30" t="str">
        <v>M</v>
      </c>
      <c r="L103" s="21"/>
      <c r="M103" s="21"/>
      <c r="N103" s="20"/>
    </row>
    <row r="104" spans="1:14" x14ac:dyDescent="0.3">
      <c r="A104" s="18"/>
      <c r="B104" s="21"/>
      <c r="C104" s="21"/>
      <c r="D104" s="21"/>
      <c r="E104" s="42" t="s">
        <v>2257</v>
      </c>
      <c r="F104" s="21"/>
      <c r="G104" s="30" t="str">
        <v>3</v>
      </c>
      <c r="H104" s="30" t="str">
        <v>T</v>
      </c>
      <c r="I104" s="30" t="str">
        <v>Adams</v>
      </c>
      <c r="J104" s="30" t="str">
        <v>Mr</v>
      </c>
      <c r="K104" s="30" t="str">
        <v>M</v>
      </c>
      <c r="L104" s="21"/>
      <c r="M104" s="21"/>
      <c r="N104" s="20"/>
    </row>
    <row r="105" spans="1:14" x14ac:dyDescent="0.3">
      <c r="A105" s="18"/>
      <c r="B105" s="21"/>
      <c r="C105" s="21"/>
      <c r="D105" s="21"/>
      <c r="E105" s="42" t="str">
        <f>" "</f>
        <v xml:space="preserve"> </v>
      </c>
      <c r="F105" s="21"/>
      <c r="G105" s="30" t="str">
        <v>4</v>
      </c>
      <c r="H105" s="30" t="str">
        <v>S</v>
      </c>
      <c r="I105" s="30" t="str">
        <v>Wilson</v>
      </c>
      <c r="J105" s="30" t="str">
        <v>Ms</v>
      </c>
      <c r="K105" s="30" t="str">
        <v>F</v>
      </c>
      <c r="L105" s="21"/>
      <c r="M105" s="21"/>
      <c r="N105" s="20"/>
    </row>
    <row r="106" spans="1:14" x14ac:dyDescent="0.3">
      <c r="A106" s="18"/>
      <c r="B106" s="21"/>
      <c r="C106" s="21"/>
      <c r="D106" s="21"/>
      <c r="E106" s="42" t="s">
        <v>2261</v>
      </c>
      <c r="F106" s="21"/>
      <c r="G106" s="21"/>
      <c r="H106" s="21"/>
      <c r="I106" s="21"/>
      <c r="J106" s="21"/>
      <c r="K106" s="21"/>
      <c r="L106" s="21"/>
      <c r="M106" s="21"/>
      <c r="N106" s="20"/>
    </row>
    <row r="107" spans="1:14" x14ac:dyDescent="0.3">
      <c r="A107" s="18"/>
      <c r="B107" s="21"/>
      <c r="C107" s="21"/>
      <c r="D107" s="21"/>
      <c r="E107" s="21"/>
      <c r="F107" s="21"/>
      <c r="G107" s="21"/>
      <c r="H107" s="21"/>
      <c r="I107" s="21"/>
      <c r="J107" s="21"/>
      <c r="K107" s="21"/>
      <c r="L107" s="21"/>
      <c r="M107" s="21"/>
      <c r="N107" s="20"/>
    </row>
    <row r="108" spans="1:14" x14ac:dyDescent="0.3">
      <c r="A108" s="18"/>
      <c r="B108" s="21"/>
      <c r="C108" s="21"/>
      <c r="D108" s="21"/>
      <c r="E108" s="21"/>
      <c r="F108" s="21"/>
      <c r="G108" s="21"/>
      <c r="H108" s="21"/>
      <c r="I108" s="21"/>
      <c r="J108" s="21"/>
      <c r="K108" s="21"/>
      <c r="L108" s="21"/>
      <c r="M108" s="21"/>
      <c r="N108" s="20"/>
    </row>
    <row r="109" spans="1:14" x14ac:dyDescent="0.3">
      <c r="A109" s="18"/>
      <c r="B109" s="21"/>
      <c r="C109" s="21"/>
      <c r="D109" s="21"/>
      <c r="E109" s="21"/>
      <c r="F109" s="21"/>
      <c r="G109" s="21"/>
      <c r="H109" s="21"/>
      <c r="I109" s="21"/>
      <c r="J109" s="21"/>
      <c r="K109" s="21"/>
      <c r="L109" s="21"/>
      <c r="M109" s="21"/>
      <c r="N109" s="20"/>
    </row>
    <row r="110" spans="1:14" x14ac:dyDescent="0.3">
      <c r="A110" s="18"/>
      <c r="B110" s="21"/>
      <c r="C110" s="21"/>
      <c r="D110" s="21"/>
      <c r="E110" s="21"/>
      <c r="F110" s="21"/>
      <c r="G110" s="21"/>
      <c r="H110" s="21"/>
      <c r="I110" s="21"/>
      <c r="J110" s="21"/>
      <c r="K110" s="21"/>
      <c r="L110" s="21"/>
      <c r="M110" s="21"/>
      <c r="N110" s="20"/>
    </row>
    <row r="111" spans="1:14" x14ac:dyDescent="0.3">
      <c r="A111" s="18"/>
      <c r="B111" s="21"/>
      <c r="C111" s="21"/>
      <c r="D111" s="21"/>
      <c r="E111" s="21"/>
      <c r="F111" s="21"/>
      <c r="G111" s="21"/>
      <c r="H111" s="21"/>
      <c r="I111" s="21"/>
      <c r="J111" s="21"/>
      <c r="K111" s="21"/>
      <c r="L111" s="21"/>
      <c r="M111" s="21"/>
      <c r="N111" s="20"/>
    </row>
    <row r="112" spans="1:14" x14ac:dyDescent="0.3">
      <c r="A112" s="18"/>
      <c r="B112" s="21"/>
      <c r="C112" s="21"/>
      <c r="D112" s="21"/>
      <c r="E112" s="21"/>
      <c r="F112" s="21"/>
      <c r="G112" s="21"/>
      <c r="H112" s="21"/>
      <c r="I112" s="21"/>
      <c r="J112" s="21"/>
      <c r="K112" s="21"/>
      <c r="L112" s="21"/>
      <c r="M112" s="21"/>
      <c r="N112" s="20"/>
    </row>
    <row r="113" spans="1:14" x14ac:dyDescent="0.3">
      <c r="A113" s="18"/>
      <c r="B113" s="21"/>
      <c r="C113" s="21"/>
      <c r="D113" s="21"/>
      <c r="E113" s="21"/>
      <c r="F113" s="21"/>
      <c r="G113" s="21"/>
      <c r="H113" s="21"/>
      <c r="I113" s="21"/>
      <c r="J113" s="21"/>
      <c r="K113" s="21"/>
      <c r="L113" s="21"/>
      <c r="M113" s="21"/>
      <c r="N113" s="20"/>
    </row>
    <row r="114" spans="1:14" x14ac:dyDescent="0.3">
      <c r="A114" s="18"/>
      <c r="B114" s="21"/>
      <c r="C114" s="21"/>
      <c r="D114" s="21"/>
      <c r="E114" s="21"/>
      <c r="F114" s="21"/>
      <c r="G114" s="21"/>
      <c r="H114" s="21"/>
      <c r="I114" s="21"/>
      <c r="J114" s="21"/>
      <c r="K114" s="21"/>
      <c r="L114" s="21"/>
      <c r="M114" s="21"/>
      <c r="N114" s="20"/>
    </row>
    <row r="115" spans="1:14" x14ac:dyDescent="0.3">
      <c r="A115" s="18"/>
      <c r="B115" s="21"/>
      <c r="C115" s="21"/>
      <c r="D115" s="21"/>
      <c r="E115" s="21"/>
      <c r="F115" s="21"/>
      <c r="G115" s="21"/>
      <c r="H115" s="21"/>
      <c r="I115" s="21"/>
      <c r="J115" s="21"/>
      <c r="K115" s="21"/>
      <c r="L115" s="21"/>
      <c r="M115" s="21"/>
      <c r="N115" s="20"/>
    </row>
    <row r="116" spans="1:14" x14ac:dyDescent="0.3">
      <c r="A116" s="18"/>
      <c r="B116" s="21"/>
      <c r="C116" s="21"/>
      <c r="D116" s="21"/>
      <c r="E116" s="21"/>
      <c r="F116" s="21"/>
      <c r="G116" s="21"/>
      <c r="H116" s="21"/>
      <c r="I116" s="21"/>
      <c r="J116" s="21"/>
      <c r="K116" s="21"/>
      <c r="L116" s="21"/>
      <c r="M116" s="21"/>
      <c r="N116" s="20"/>
    </row>
    <row r="117" spans="1:14" ht="43.2" x14ac:dyDescent="0.3">
      <c r="A117" s="18"/>
      <c r="B117" s="269" t="s">
        <v>2346</v>
      </c>
      <c r="C117" s="21"/>
      <c r="D117" s="21"/>
      <c r="E117" s="21"/>
      <c r="F117" s="21"/>
      <c r="G117" s="21"/>
      <c r="H117" s="21"/>
      <c r="I117" s="21"/>
      <c r="J117" s="21"/>
      <c r="K117" s="21"/>
      <c r="L117" s="21"/>
      <c r="M117" s="21"/>
      <c r="N117" s="20"/>
    </row>
    <row r="118" spans="1:14" x14ac:dyDescent="0.3">
      <c r="A118" s="18"/>
      <c r="B118" s="21"/>
      <c r="C118" s="21"/>
      <c r="D118" s="21"/>
      <c r="E118" s="21"/>
      <c r="F118" s="21"/>
      <c r="G118" s="30" t="str">
        <f t="array" ref="G118:I118">_xll.U.SPLIT(B117,"newline")</f>
        <v>1</v>
      </c>
      <c r="H118" s="30" t="str">
        <v>2</v>
      </c>
      <c r="I118" s="30" t="str">
        <v>3</v>
      </c>
      <c r="J118" s="21"/>
      <c r="K118" s="21"/>
      <c r="L118" s="21"/>
      <c r="M118" s="21"/>
      <c r="N118" s="20"/>
    </row>
    <row r="119" spans="1:14" x14ac:dyDescent="0.3">
      <c r="A119" s="18"/>
      <c r="B119" s="21"/>
      <c r="C119" s="21"/>
      <c r="D119" s="21"/>
      <c r="E119" s="21"/>
      <c r="F119" s="21"/>
      <c r="G119" s="21"/>
      <c r="H119" s="21"/>
      <c r="I119" s="21"/>
      <c r="J119" s="21"/>
      <c r="K119" s="21"/>
      <c r="L119" s="21"/>
      <c r="M119" s="21"/>
      <c r="N119" s="20"/>
    </row>
    <row r="120" spans="1:14" x14ac:dyDescent="0.3">
      <c r="A120" s="18"/>
      <c r="B120" s="21"/>
      <c r="C120" s="21"/>
      <c r="D120" s="21"/>
      <c r="E120" s="21"/>
      <c r="F120" s="21"/>
      <c r="G120" s="21"/>
      <c r="H120" s="21"/>
      <c r="I120" s="21"/>
      <c r="J120" s="21"/>
      <c r="K120" s="21"/>
      <c r="L120" s="21"/>
      <c r="M120" s="21"/>
      <c r="N120" s="20"/>
    </row>
    <row r="121" spans="1:14" x14ac:dyDescent="0.3">
      <c r="A121" s="18"/>
      <c r="B121" s="21"/>
      <c r="C121" s="21"/>
      <c r="D121" s="21"/>
      <c r="E121" s="21"/>
      <c r="F121" s="21"/>
      <c r="G121" s="21"/>
      <c r="H121" s="21"/>
      <c r="I121" s="21"/>
      <c r="J121" s="21"/>
      <c r="K121" s="21"/>
      <c r="L121" s="21"/>
      <c r="M121" s="21"/>
      <c r="N121" s="20"/>
    </row>
    <row r="122" spans="1:14" x14ac:dyDescent="0.3">
      <c r="A122" s="18"/>
      <c r="B122" s="21"/>
      <c r="C122" s="21"/>
      <c r="D122" s="21"/>
      <c r="E122" s="21"/>
      <c r="F122" s="21"/>
      <c r="G122" s="21"/>
      <c r="H122" s="21"/>
      <c r="I122" s="21"/>
      <c r="J122" s="21"/>
      <c r="K122" s="21"/>
      <c r="L122" s="21"/>
      <c r="M122" s="21"/>
      <c r="N122" s="20"/>
    </row>
    <row r="123" spans="1:14" ht="15" thickBot="1" x14ac:dyDescent="0.35">
      <c r="A123" s="22"/>
      <c r="B123" s="23"/>
      <c r="C123" s="23"/>
      <c r="D123" s="23"/>
      <c r="E123" s="23"/>
      <c r="F123" s="23"/>
      <c r="G123" s="23"/>
      <c r="H123" s="23"/>
      <c r="I123" s="23"/>
      <c r="J123" s="23"/>
      <c r="K123" s="23"/>
      <c r="L123" s="23"/>
      <c r="M123" s="23"/>
      <c r="N123" s="24"/>
    </row>
  </sheetData>
  <mergeCells count="18">
    <mergeCell ref="D5:F5"/>
    <mergeCell ref="P3:Y3"/>
    <mergeCell ref="P4:Q6"/>
    <mergeCell ref="R4:Y6"/>
    <mergeCell ref="P7:Q7"/>
    <mergeCell ref="R7:X7"/>
    <mergeCell ref="P17:Q19"/>
    <mergeCell ref="R17:X19"/>
    <mergeCell ref="Y17:Y19"/>
    <mergeCell ref="P8:Q10"/>
    <mergeCell ref="R8:X10"/>
    <mergeCell ref="Y8:Y10"/>
    <mergeCell ref="P11:Q13"/>
    <mergeCell ref="R11:X13"/>
    <mergeCell ref="Y11:Y13"/>
    <mergeCell ref="P14:Q16"/>
    <mergeCell ref="R14:X16"/>
    <mergeCell ref="Y14:Y16"/>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183"/>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41.21875" customWidth="1"/>
    <col min="4" max="4" width="17.44140625" bestFit="1" customWidth="1"/>
    <col min="5" max="5" width="17.77734375" customWidth="1"/>
    <col min="6" max="6" width="16.77734375" customWidth="1"/>
    <col min="10" max="11" width="11.77734375" customWidth="1"/>
    <col min="17" max="17" width="9.44140625" customWidth="1"/>
    <col min="18" max="18" width="11.44140625" customWidth="1"/>
    <col min="19" max="25" width="14.88671875" customWidth="1"/>
    <col min="26" max="26" width="9.44140625" customWidth="1"/>
  </cols>
  <sheetData>
    <row r="1" spans="1:26" ht="34.5" customHeight="1" thickBot="1" x14ac:dyDescent="0.35">
      <c r="A1" s="292" t="s">
        <v>1580</v>
      </c>
      <c r="B1" s="473" t="e" vm="1">
        <v>#VALUE!</v>
      </c>
      <c r="C1" s="8" t="s">
        <v>25</v>
      </c>
      <c r="D1" s="27" t="s">
        <v>61</v>
      </c>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43</v>
      </c>
      <c r="B3" s="491"/>
      <c r="C3" s="491"/>
      <c r="D3" s="491"/>
      <c r="E3" s="491"/>
      <c r="F3" s="491"/>
      <c r="G3" s="491"/>
      <c r="H3" s="491"/>
      <c r="I3" s="491"/>
      <c r="J3" s="491"/>
      <c r="K3" s="491"/>
      <c r="L3" s="491"/>
      <c r="M3" s="491"/>
      <c r="N3" s="21"/>
      <c r="O3" s="20"/>
      <c r="Q3" s="486" t="s">
        <v>3361</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408</v>
      </c>
      <c r="T4" s="487"/>
      <c r="U4" s="487"/>
      <c r="V4" s="487"/>
      <c r="W4" s="487"/>
      <c r="X4" s="487"/>
      <c r="Y4" s="487"/>
      <c r="Z4" s="487"/>
    </row>
    <row r="5" spans="1:26" ht="15" customHeight="1" x14ac:dyDescent="0.3">
      <c r="A5" s="18"/>
      <c r="B5" s="21"/>
      <c r="C5" s="21"/>
      <c r="D5" s="26"/>
      <c r="E5" s="21"/>
      <c r="F5" s="21"/>
      <c r="G5" s="21"/>
      <c r="H5" s="21"/>
      <c r="I5" s="21"/>
      <c r="J5" s="21"/>
      <c r="K5" s="21"/>
      <c r="L5" s="21"/>
      <c r="M5" s="21"/>
      <c r="N5" s="21"/>
      <c r="O5" s="20"/>
      <c r="Q5" s="487"/>
      <c r="R5" s="487"/>
      <c r="S5" s="487"/>
      <c r="T5" s="487"/>
      <c r="U5" s="487"/>
      <c r="V5" s="487"/>
      <c r="W5" s="487"/>
      <c r="X5" s="487"/>
      <c r="Y5" s="487"/>
      <c r="Z5" s="487"/>
    </row>
    <row r="6" spans="1:26" ht="15" customHeight="1" x14ac:dyDescent="0.3">
      <c r="A6" s="18"/>
      <c r="B6" s="21"/>
      <c r="C6" s="21"/>
      <c r="D6" s="26"/>
      <c r="E6" s="21"/>
      <c r="F6" s="21"/>
      <c r="G6" s="21"/>
      <c r="H6" s="21"/>
      <c r="I6" s="21"/>
      <c r="J6" s="21"/>
      <c r="K6" s="21"/>
      <c r="L6" s="21"/>
      <c r="M6" s="21"/>
      <c r="N6" s="21"/>
      <c r="O6" s="20"/>
      <c r="Q6" s="487"/>
      <c r="R6" s="487"/>
      <c r="S6" s="487"/>
      <c r="T6" s="487"/>
      <c r="U6" s="487"/>
      <c r="V6" s="487"/>
      <c r="W6" s="487"/>
      <c r="X6" s="487"/>
      <c r="Y6" s="487"/>
      <c r="Z6" s="487"/>
    </row>
    <row r="7" spans="1:26" x14ac:dyDescent="0.3">
      <c r="A7" s="18"/>
      <c r="B7" s="492" t="s">
        <v>3361</v>
      </c>
      <c r="C7" s="493"/>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ht="15" customHeight="1" x14ac:dyDescent="0.3">
      <c r="A8" s="18"/>
      <c r="B8" s="5" t="s">
        <v>11</v>
      </c>
      <c r="C8" s="42" t="s">
        <v>5</v>
      </c>
      <c r="D8" s="21"/>
      <c r="E8" s="21"/>
      <c r="F8" s="21"/>
      <c r="G8" s="21"/>
      <c r="H8" s="21"/>
      <c r="I8" s="21"/>
      <c r="J8" s="21"/>
      <c r="K8" s="21"/>
      <c r="L8" s="21"/>
      <c r="M8" s="21"/>
      <c r="N8" s="21"/>
      <c r="O8" s="20"/>
      <c r="Q8" s="487" t="s">
        <v>1901</v>
      </c>
      <c r="R8" s="487"/>
      <c r="S8" s="487" t="s">
        <v>400</v>
      </c>
      <c r="T8" s="487"/>
      <c r="U8" s="487"/>
      <c r="V8" s="487"/>
      <c r="W8" s="487"/>
      <c r="X8" s="487"/>
      <c r="Y8" s="487"/>
      <c r="Z8" s="509" t="s">
        <v>325</v>
      </c>
    </row>
    <row r="9" spans="1:26" x14ac:dyDescent="0.3">
      <c r="A9" s="18"/>
      <c r="B9" s="5" t="s">
        <v>12</v>
      </c>
      <c r="C9" s="42" t="s">
        <v>6</v>
      </c>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7" t="s">
        <v>24</v>
      </c>
      <c r="C10" s="6" t="str" cm="1">
        <f t="array" ref="C10">_xll.U.SUBSCRIBE(C8,C9)</f>
        <v>U/DESK1/PNL | 2026-04-19 14:17:39.949</v>
      </c>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1"/>
      <c r="C11" s="21"/>
      <c r="D11" s="21"/>
      <c r="E11" s="21"/>
      <c r="F11" s="21"/>
      <c r="G11" s="21"/>
      <c r="H11" s="21"/>
      <c r="I11" s="21"/>
      <c r="J11" s="21"/>
      <c r="K11" s="21"/>
      <c r="L11" s="21"/>
      <c r="M11" s="21"/>
      <c r="N11" s="21"/>
      <c r="O11" s="20"/>
      <c r="Q11" s="487" t="s">
        <v>319</v>
      </c>
      <c r="R11" s="487"/>
      <c r="S11" s="487" t="s">
        <v>3694</v>
      </c>
      <c r="T11" s="487"/>
      <c r="U11" s="487"/>
      <c r="V11" s="487"/>
      <c r="W11" s="487"/>
      <c r="X11" s="487"/>
      <c r="Y11" s="487"/>
      <c r="Z11" s="509" t="s">
        <v>325</v>
      </c>
    </row>
    <row r="12" spans="1:26" x14ac:dyDescent="0.3">
      <c r="A12" s="18"/>
      <c r="B12" s="21"/>
      <c r="C12" s="21"/>
      <c r="D12" s="21"/>
      <c r="E12" s="21"/>
      <c r="F12" s="21"/>
      <c r="G12" s="21"/>
      <c r="H12" s="21"/>
      <c r="I12" s="21"/>
      <c r="J12" s="21"/>
      <c r="K12" s="21"/>
      <c r="L12" s="21"/>
      <c r="M12" s="21"/>
      <c r="N12" s="21"/>
      <c r="O12" s="20"/>
      <c r="Q12" s="487"/>
      <c r="R12" s="487"/>
      <c r="S12" s="487"/>
      <c r="T12" s="487"/>
      <c r="U12" s="487"/>
      <c r="V12" s="487"/>
      <c r="W12" s="487"/>
      <c r="X12" s="487"/>
      <c r="Y12" s="487"/>
      <c r="Z12" s="509"/>
    </row>
    <row r="13" spans="1:26" x14ac:dyDescent="0.3">
      <c r="A13" s="18"/>
      <c r="B13" s="21"/>
      <c r="C13" s="21"/>
      <c r="D13" s="21"/>
      <c r="E13" s="21"/>
      <c r="F13" s="21"/>
      <c r="G13" s="21"/>
      <c r="H13" s="21"/>
      <c r="I13" s="21"/>
      <c r="J13" s="21"/>
      <c r="K13" s="21"/>
      <c r="L13" s="21"/>
      <c r="M13" s="21"/>
      <c r="N13" s="21"/>
      <c r="O13" s="20"/>
      <c r="Q13" s="487"/>
      <c r="R13" s="487"/>
      <c r="S13" s="487"/>
      <c r="T13" s="487"/>
      <c r="U13" s="487"/>
      <c r="V13" s="487"/>
      <c r="W13" s="487"/>
      <c r="X13" s="487"/>
      <c r="Y13" s="487"/>
      <c r="Z13" s="509"/>
    </row>
    <row r="14" spans="1:26" ht="15" customHeight="1" x14ac:dyDescent="0.3">
      <c r="A14" s="18"/>
      <c r="B14" s="492" t="s">
        <v>3362</v>
      </c>
      <c r="C14" s="493"/>
      <c r="D14" s="21"/>
      <c r="E14" s="21"/>
      <c r="F14" s="21"/>
      <c r="G14" s="21"/>
      <c r="H14" s="21"/>
      <c r="I14" s="21"/>
      <c r="J14" s="21"/>
      <c r="K14" s="21"/>
      <c r="L14" s="21"/>
      <c r="M14" s="21"/>
      <c r="N14" s="21"/>
      <c r="O14" s="20"/>
      <c r="Q14" s="496" t="s">
        <v>321</v>
      </c>
      <c r="R14" s="497"/>
      <c r="S14" s="496" t="s">
        <v>3832</v>
      </c>
      <c r="T14" s="502"/>
      <c r="U14" s="502"/>
      <c r="V14" s="502"/>
      <c r="W14" s="502"/>
      <c r="X14" s="502"/>
      <c r="Y14" s="497"/>
      <c r="Z14" s="485" t="s">
        <v>326</v>
      </c>
    </row>
    <row r="15" spans="1:26" x14ac:dyDescent="0.3">
      <c r="A15" s="18"/>
      <c r="B15" s="12" t="str">
        <f t="array" ref="B15:C17">_xll.U.GET(C10)</f>
        <v>Symbol</v>
      </c>
      <c r="C15" s="13" t="str">
        <v>Delta</v>
      </c>
      <c r="D15" s="21"/>
      <c r="E15" s="21"/>
      <c r="F15" s="21"/>
      <c r="G15" s="21"/>
      <c r="H15" s="21"/>
      <c r="I15" s="21"/>
      <c r="J15" s="21"/>
      <c r="K15" s="21"/>
      <c r="L15" s="21"/>
      <c r="M15" s="21"/>
      <c r="N15" s="21"/>
      <c r="O15" s="20"/>
      <c r="Q15" s="498"/>
      <c r="R15" s="499"/>
      <c r="S15" s="498"/>
      <c r="T15" s="503"/>
      <c r="U15" s="503"/>
      <c r="V15" s="503"/>
      <c r="W15" s="503"/>
      <c r="X15" s="503"/>
      <c r="Y15" s="499"/>
      <c r="Z15" s="485"/>
    </row>
    <row r="16" spans="1:26" x14ac:dyDescent="0.3">
      <c r="A16" s="18"/>
      <c r="B16" s="10" t="str">
        <v>ABC</v>
      </c>
      <c r="C16" s="11">
        <v>2500</v>
      </c>
      <c r="D16" s="21"/>
      <c r="E16" s="21"/>
      <c r="F16" s="21"/>
      <c r="G16" s="21"/>
      <c r="H16" s="21"/>
      <c r="I16" s="21"/>
      <c r="J16" s="21"/>
      <c r="K16" s="21"/>
      <c r="L16" s="21"/>
      <c r="M16" s="21"/>
      <c r="N16" s="21"/>
      <c r="O16" s="20"/>
      <c r="Q16" s="500"/>
      <c r="R16" s="501"/>
      <c r="S16" s="500"/>
      <c r="T16" s="504"/>
      <c r="U16" s="504"/>
      <c r="V16" s="504"/>
      <c r="W16" s="504"/>
      <c r="X16" s="504"/>
      <c r="Y16" s="501"/>
      <c r="Z16" s="485"/>
    </row>
    <row r="17" spans="1:26" ht="15" customHeight="1" x14ac:dyDescent="0.3">
      <c r="A17" s="18"/>
      <c r="B17" s="10" t="str">
        <v>XYZ</v>
      </c>
      <c r="C17" s="11">
        <v>-360</v>
      </c>
      <c r="D17" s="21"/>
      <c r="E17" s="21"/>
      <c r="F17" s="21"/>
      <c r="G17" s="21"/>
      <c r="H17" s="21"/>
      <c r="I17" s="21"/>
      <c r="J17" s="21"/>
      <c r="K17" s="21"/>
      <c r="L17" s="21"/>
      <c r="M17" s="21"/>
      <c r="N17" s="21"/>
      <c r="O17" s="20"/>
      <c r="Q17" s="496" t="s">
        <v>322</v>
      </c>
      <c r="R17" s="497"/>
      <c r="S17" s="496" t="s">
        <v>993</v>
      </c>
      <c r="T17" s="502"/>
      <c r="U17" s="502"/>
      <c r="V17" s="502"/>
      <c r="W17" s="502"/>
      <c r="X17" s="502"/>
      <c r="Y17" s="497"/>
      <c r="Z17" s="485" t="s">
        <v>326</v>
      </c>
    </row>
    <row r="18" spans="1:26" x14ac:dyDescent="0.3">
      <c r="A18" s="18"/>
      <c r="B18" s="21"/>
      <c r="C18" s="21"/>
      <c r="D18" s="21"/>
      <c r="E18" s="21"/>
      <c r="F18" s="21"/>
      <c r="G18" s="21"/>
      <c r="H18" s="21"/>
      <c r="I18" s="21"/>
      <c r="J18" s="21"/>
      <c r="K18" s="21"/>
      <c r="L18" s="21"/>
      <c r="M18" s="21"/>
      <c r="N18" s="21"/>
      <c r="O18" s="20"/>
      <c r="Q18" s="498"/>
      <c r="R18" s="499"/>
      <c r="S18" s="498"/>
      <c r="T18" s="503"/>
      <c r="U18" s="503"/>
      <c r="V18" s="503"/>
      <c r="W18" s="503"/>
      <c r="X18" s="503"/>
      <c r="Y18" s="499"/>
      <c r="Z18" s="485"/>
    </row>
    <row r="19" spans="1:26" x14ac:dyDescent="0.3">
      <c r="A19" s="18"/>
      <c r="B19" s="21"/>
      <c r="C19" s="21"/>
      <c r="D19" s="21"/>
      <c r="E19" s="21"/>
      <c r="F19" s="21"/>
      <c r="G19" s="21"/>
      <c r="H19" s="21"/>
      <c r="I19" s="21"/>
      <c r="J19" s="21"/>
      <c r="K19" s="21"/>
      <c r="L19" s="21"/>
      <c r="M19" s="21"/>
      <c r="N19" s="21"/>
      <c r="O19" s="20"/>
      <c r="Q19" s="500"/>
      <c r="R19" s="501"/>
      <c r="S19" s="500"/>
      <c r="T19" s="504"/>
      <c r="U19" s="504"/>
      <c r="V19" s="504"/>
      <c r="W19" s="504"/>
      <c r="X19" s="504"/>
      <c r="Y19" s="501"/>
      <c r="Z19" s="485"/>
    </row>
    <row r="20" spans="1:26" ht="15" customHeight="1" x14ac:dyDescent="0.3">
      <c r="A20" s="18"/>
      <c r="B20" s="21"/>
      <c r="C20" s="21"/>
      <c r="D20" s="21"/>
      <c r="E20" s="21"/>
      <c r="F20" s="21"/>
      <c r="G20" s="21"/>
      <c r="H20" s="21"/>
      <c r="I20" s="21"/>
      <c r="J20" s="21"/>
      <c r="K20" s="21"/>
      <c r="L20" s="21"/>
      <c r="M20" s="21"/>
      <c r="N20" s="21"/>
      <c r="O20" s="20"/>
      <c r="Q20" s="496" t="s">
        <v>2833</v>
      </c>
      <c r="R20" s="497"/>
      <c r="S20" s="496" t="s">
        <v>3909</v>
      </c>
      <c r="T20" s="502"/>
      <c r="U20" s="502"/>
      <c r="V20" s="502"/>
      <c r="W20" s="502"/>
      <c r="X20" s="502"/>
      <c r="Y20" s="497"/>
      <c r="Z20" s="485" t="s">
        <v>326</v>
      </c>
    </row>
    <row r="21" spans="1:26" x14ac:dyDescent="0.3">
      <c r="A21" s="18"/>
      <c r="B21" s="21"/>
      <c r="C21" s="21"/>
      <c r="D21" s="21"/>
      <c r="E21" s="21"/>
      <c r="F21" s="21"/>
      <c r="G21" s="21"/>
      <c r="H21" s="21"/>
      <c r="I21" s="21"/>
      <c r="J21" s="21"/>
      <c r="K21" s="21"/>
      <c r="L21" s="21"/>
      <c r="M21" s="21"/>
      <c r="N21" s="21"/>
      <c r="O21" s="20"/>
      <c r="Q21" s="498"/>
      <c r="R21" s="499"/>
      <c r="S21" s="498"/>
      <c r="T21" s="503"/>
      <c r="U21" s="503"/>
      <c r="V21" s="503"/>
      <c r="W21" s="503"/>
      <c r="X21" s="503"/>
      <c r="Y21" s="499"/>
      <c r="Z21" s="485"/>
    </row>
    <row r="22" spans="1:26" x14ac:dyDescent="0.3">
      <c r="A22" s="18"/>
      <c r="B22" s="21"/>
      <c r="C22" s="21"/>
      <c r="D22" s="21"/>
      <c r="E22" s="21"/>
      <c r="F22" s="21"/>
      <c r="G22" s="21"/>
      <c r="H22" s="21"/>
      <c r="I22" s="21"/>
      <c r="J22" s="21"/>
      <c r="K22" s="21"/>
      <c r="L22" s="21"/>
      <c r="M22" s="21"/>
      <c r="N22" s="21"/>
      <c r="O22" s="20"/>
      <c r="Q22" s="500"/>
      <c r="R22" s="501"/>
      <c r="S22" s="500"/>
      <c r="T22" s="504"/>
      <c r="U22" s="504"/>
      <c r="V22" s="504"/>
      <c r="W22" s="504"/>
      <c r="X22" s="504"/>
      <c r="Y22" s="501"/>
      <c r="Z22" s="485"/>
    </row>
    <row r="23" spans="1:26" x14ac:dyDescent="0.3">
      <c r="A23" s="18"/>
      <c r="B23" s="21"/>
      <c r="C23" s="21"/>
      <c r="D23" s="21"/>
      <c r="E23" s="21"/>
      <c r="F23" s="21"/>
      <c r="G23" s="21"/>
      <c r="H23" s="21"/>
      <c r="I23" s="21"/>
      <c r="J23" s="21"/>
      <c r="K23" s="21"/>
      <c r="L23" s="21"/>
      <c r="M23" s="21"/>
      <c r="N23" s="21"/>
      <c r="O23" s="20"/>
      <c r="Q23" s="126" t="s">
        <v>328</v>
      </c>
    </row>
    <row r="24" spans="1:26" x14ac:dyDescent="0.3">
      <c r="A24" s="18"/>
      <c r="B24" s="21"/>
      <c r="C24" s="21"/>
      <c r="D24" s="21"/>
      <c r="E24" s="21"/>
      <c r="F24" s="21"/>
      <c r="G24" s="21"/>
      <c r="H24" s="21"/>
      <c r="I24" s="21"/>
      <c r="J24" s="21"/>
      <c r="K24" s="21"/>
      <c r="L24" s="21"/>
      <c r="M24" s="21"/>
      <c r="N24" s="21"/>
      <c r="O24" s="20"/>
    </row>
    <row r="25" spans="1:26" x14ac:dyDescent="0.3">
      <c r="A25" s="18"/>
      <c r="B25" s="42" t="s">
        <v>3</v>
      </c>
      <c r="C25" s="10">
        <f>VLOOKUP(B25,_xll.U.GET(_xll.U.SUBSCRIBE(C8,C9)),2,FALSE)</f>
        <v>2500</v>
      </c>
      <c r="D25" s="21"/>
      <c r="E25" s="21"/>
      <c r="F25" s="21"/>
      <c r="G25" s="21"/>
      <c r="H25" s="21"/>
      <c r="I25" s="21"/>
      <c r="J25" s="21"/>
      <c r="K25" s="21"/>
      <c r="L25" s="21"/>
      <c r="M25" s="21"/>
      <c r="N25" s="21"/>
      <c r="O25" s="20"/>
    </row>
    <row r="26" spans="1:26" x14ac:dyDescent="0.3">
      <c r="A26" s="18"/>
      <c r="B26" s="21"/>
      <c r="C26" s="21"/>
      <c r="D26" s="21"/>
      <c r="E26" s="21"/>
      <c r="F26" s="21"/>
      <c r="G26" s="21"/>
      <c r="H26" s="21"/>
      <c r="I26" s="21"/>
      <c r="J26" s="21"/>
      <c r="K26" s="21"/>
      <c r="L26" s="21"/>
      <c r="M26" s="21"/>
      <c r="N26" s="21"/>
      <c r="O26" s="20"/>
      <c r="Q26" s="486" t="s">
        <v>3362</v>
      </c>
      <c r="R26" s="486"/>
      <c r="S26" s="486"/>
      <c r="T26" s="486"/>
      <c r="U26" s="486"/>
      <c r="V26" s="486"/>
      <c r="W26" s="486"/>
      <c r="X26" s="486"/>
      <c r="Y26" s="486"/>
      <c r="Z26" s="486"/>
    </row>
    <row r="27" spans="1:26" x14ac:dyDescent="0.3">
      <c r="A27" s="18"/>
      <c r="B27" s="21"/>
      <c r="C27" s="21"/>
      <c r="D27" s="21"/>
      <c r="E27" s="21"/>
      <c r="F27" s="21"/>
      <c r="G27" s="21"/>
      <c r="H27" s="21"/>
      <c r="I27" s="21"/>
      <c r="J27" s="21"/>
      <c r="K27" s="21"/>
      <c r="L27" s="21"/>
      <c r="M27" s="21"/>
      <c r="N27" s="21"/>
      <c r="O27" s="20"/>
      <c r="Q27" s="487" t="s">
        <v>333</v>
      </c>
      <c r="R27" s="487"/>
      <c r="S27" s="487" t="s">
        <v>409</v>
      </c>
      <c r="T27" s="487"/>
      <c r="U27" s="487"/>
      <c r="V27" s="487"/>
      <c r="W27" s="487"/>
      <c r="X27" s="487"/>
      <c r="Y27" s="487"/>
      <c r="Z27" s="487"/>
    </row>
    <row r="28" spans="1:26" x14ac:dyDescent="0.3">
      <c r="A28" s="18"/>
      <c r="B28" s="21"/>
      <c r="C28" s="21"/>
      <c r="D28" s="21"/>
      <c r="E28" s="21"/>
      <c r="F28" s="21"/>
      <c r="G28" s="21"/>
      <c r="H28" s="21"/>
      <c r="I28" s="21"/>
      <c r="J28" s="21"/>
      <c r="K28" s="21"/>
      <c r="L28" s="21"/>
      <c r="M28" s="21"/>
      <c r="N28" s="21"/>
      <c r="O28" s="20"/>
      <c r="Q28" s="487"/>
      <c r="R28" s="487"/>
      <c r="S28" s="487"/>
      <c r="T28" s="487"/>
      <c r="U28" s="487"/>
      <c r="V28" s="487"/>
      <c r="W28" s="487"/>
      <c r="X28" s="487"/>
      <c r="Y28" s="487"/>
      <c r="Z28" s="487"/>
    </row>
    <row r="29" spans="1:26" x14ac:dyDescent="0.3">
      <c r="A29" s="18"/>
      <c r="B29" s="21"/>
      <c r="C29" s="21"/>
      <c r="D29" s="21"/>
      <c r="E29" s="21"/>
      <c r="F29" s="21"/>
      <c r="G29" s="21"/>
      <c r="H29" s="21"/>
      <c r="I29" s="21"/>
      <c r="J29" s="21"/>
      <c r="K29" s="21"/>
      <c r="L29" s="21"/>
      <c r="M29" s="21"/>
      <c r="N29" s="21"/>
      <c r="O29" s="20"/>
      <c r="Q29" s="487"/>
      <c r="R29" s="487"/>
      <c r="S29" s="487"/>
      <c r="T29" s="487"/>
      <c r="U29" s="487"/>
      <c r="V29" s="487"/>
      <c r="W29" s="487"/>
      <c r="X29" s="487"/>
      <c r="Y29" s="487"/>
      <c r="Z29" s="487"/>
    </row>
    <row r="30" spans="1:26" x14ac:dyDescent="0.3">
      <c r="A30" s="18"/>
      <c r="B30" s="21"/>
      <c r="C30" s="21"/>
      <c r="D30" s="21"/>
      <c r="E30" s="21"/>
      <c r="F30" s="21"/>
      <c r="G30" s="21"/>
      <c r="H30" s="21"/>
      <c r="I30" s="21"/>
      <c r="J30" s="21"/>
      <c r="K30" s="21"/>
      <c r="L30" s="21"/>
      <c r="M30" s="21"/>
      <c r="N30" s="21"/>
      <c r="O30" s="20"/>
      <c r="Q30" s="483" t="s">
        <v>323</v>
      </c>
      <c r="R30" s="483"/>
      <c r="S30" s="483" t="s">
        <v>1</v>
      </c>
      <c r="T30" s="483"/>
      <c r="U30" s="483"/>
      <c r="V30" s="483"/>
      <c r="W30" s="483"/>
      <c r="X30" s="483"/>
      <c r="Y30" s="483"/>
      <c r="Z30" s="85" t="s">
        <v>324</v>
      </c>
    </row>
    <row r="31" spans="1:26" x14ac:dyDescent="0.3">
      <c r="A31" s="18"/>
      <c r="B31" s="21"/>
      <c r="C31" s="21"/>
      <c r="D31" s="21"/>
      <c r="E31" s="21"/>
      <c r="F31" s="21"/>
      <c r="G31" s="21"/>
      <c r="H31" s="21"/>
      <c r="I31" s="21"/>
      <c r="J31" s="21"/>
      <c r="K31" s="21"/>
      <c r="L31" s="21"/>
      <c r="M31" s="21"/>
      <c r="N31" s="21"/>
      <c r="O31" s="20"/>
      <c r="Q31" s="487" t="s">
        <v>1901</v>
      </c>
      <c r="R31" s="487"/>
      <c r="S31" s="487" t="s">
        <v>3364</v>
      </c>
      <c r="T31" s="487"/>
      <c r="U31" s="487"/>
      <c r="V31" s="487"/>
      <c r="W31" s="487"/>
      <c r="X31" s="487"/>
      <c r="Y31" s="487"/>
      <c r="Z31" s="509" t="s">
        <v>325</v>
      </c>
    </row>
    <row r="32" spans="1:26" x14ac:dyDescent="0.3">
      <c r="A32" s="18"/>
      <c r="B32" s="21"/>
      <c r="C32" s="21"/>
      <c r="D32" s="21"/>
      <c r="E32" s="21"/>
      <c r="F32" s="21"/>
      <c r="G32" s="21"/>
      <c r="H32" s="21"/>
      <c r="I32" s="21"/>
      <c r="J32" s="21"/>
      <c r="K32" s="21"/>
      <c r="L32" s="21"/>
      <c r="M32" s="21"/>
      <c r="N32" s="21"/>
      <c r="O32" s="20"/>
      <c r="Q32" s="487"/>
      <c r="R32" s="487"/>
      <c r="S32" s="487"/>
      <c r="T32" s="487"/>
      <c r="U32" s="487"/>
      <c r="V32" s="487"/>
      <c r="W32" s="487"/>
      <c r="X32" s="487"/>
      <c r="Y32" s="487"/>
      <c r="Z32" s="509"/>
    </row>
    <row r="33" spans="1:26" x14ac:dyDescent="0.3">
      <c r="A33" s="18"/>
      <c r="B33" s="492" t="s">
        <v>3363</v>
      </c>
      <c r="C33" s="493"/>
      <c r="D33" s="21"/>
      <c r="E33" s="21"/>
      <c r="F33" s="21"/>
      <c r="G33" s="21"/>
      <c r="H33" s="21"/>
      <c r="I33" s="21"/>
      <c r="J33" s="21"/>
      <c r="K33" s="21"/>
      <c r="L33" s="21"/>
      <c r="M33" s="21"/>
      <c r="N33" s="21"/>
      <c r="O33" s="20"/>
      <c r="Q33" s="487"/>
      <c r="R33" s="487"/>
      <c r="S33" s="487"/>
      <c r="T33" s="487"/>
      <c r="U33" s="487"/>
      <c r="V33" s="487"/>
      <c r="W33" s="487"/>
      <c r="X33" s="487"/>
      <c r="Y33" s="487"/>
      <c r="Z33" s="509"/>
    </row>
    <row r="34" spans="1:26" x14ac:dyDescent="0.3">
      <c r="A34" s="18"/>
      <c r="B34" s="12" t="str">
        <f t="array" ref="B34:C36">_xll.U.GET_LIVE(C8,C9)</f>
        <v>Symbol</v>
      </c>
      <c r="C34" s="13" t="str">
        <v>Delta</v>
      </c>
      <c r="D34" s="21"/>
      <c r="E34" s="21"/>
      <c r="F34" s="21"/>
      <c r="G34" s="21"/>
      <c r="H34" s="21"/>
      <c r="I34" s="21"/>
      <c r="J34" s="21"/>
      <c r="K34" s="21"/>
      <c r="L34" s="21"/>
      <c r="M34" s="21"/>
      <c r="N34" s="21"/>
      <c r="O34" s="20"/>
      <c r="Q34" s="487" t="s">
        <v>319</v>
      </c>
      <c r="R34" s="487"/>
      <c r="S34" s="487" t="s">
        <v>405</v>
      </c>
      <c r="T34" s="487"/>
      <c r="U34" s="487"/>
      <c r="V34" s="487"/>
      <c r="W34" s="487"/>
      <c r="X34" s="487"/>
      <c r="Y34" s="487"/>
      <c r="Z34" s="509" t="s">
        <v>404</v>
      </c>
    </row>
    <row r="35" spans="1:26" x14ac:dyDescent="0.3">
      <c r="A35" s="18"/>
      <c r="B35" s="10" t="str">
        <v>ABC</v>
      </c>
      <c r="C35" s="11">
        <v>2500</v>
      </c>
      <c r="D35" s="21"/>
      <c r="E35" s="21"/>
      <c r="F35" s="21"/>
      <c r="G35" s="21"/>
      <c r="H35" s="21"/>
      <c r="I35" s="21"/>
      <c r="J35" s="21"/>
      <c r="K35" s="21"/>
      <c r="L35" s="21"/>
      <c r="M35" s="21"/>
      <c r="N35" s="21"/>
      <c r="O35" s="20"/>
      <c r="Q35" s="487"/>
      <c r="R35" s="487"/>
      <c r="S35" s="487"/>
      <c r="T35" s="487"/>
      <c r="U35" s="487"/>
      <c r="V35" s="487"/>
      <c r="W35" s="487"/>
      <c r="X35" s="487"/>
      <c r="Y35" s="487"/>
      <c r="Z35" s="509"/>
    </row>
    <row r="36" spans="1:26" x14ac:dyDescent="0.3">
      <c r="A36" s="18"/>
      <c r="B36" s="10" t="str">
        <v>XYZ</v>
      </c>
      <c r="C36" s="11">
        <v>-360</v>
      </c>
      <c r="D36" s="21"/>
      <c r="E36" s="21"/>
      <c r="F36" s="21"/>
      <c r="G36" s="21"/>
      <c r="H36" s="21"/>
      <c r="I36" s="21"/>
      <c r="J36" s="21"/>
      <c r="K36" s="21"/>
      <c r="L36" s="21"/>
      <c r="M36" s="21"/>
      <c r="N36" s="21"/>
      <c r="O36" s="20"/>
      <c r="Q36" s="487"/>
      <c r="R36" s="487"/>
      <c r="S36" s="487"/>
      <c r="T36" s="487"/>
      <c r="U36" s="487"/>
      <c r="V36" s="487"/>
      <c r="W36" s="487"/>
      <c r="X36" s="487"/>
      <c r="Y36" s="487"/>
      <c r="Z36" s="509"/>
    </row>
    <row r="37" spans="1:26" x14ac:dyDescent="0.3">
      <c r="A37" s="18"/>
      <c r="B37" s="21"/>
      <c r="C37" s="21"/>
      <c r="D37" s="21"/>
      <c r="E37" s="21"/>
      <c r="F37" s="21"/>
      <c r="G37" s="21"/>
      <c r="H37" s="21"/>
      <c r="I37" s="21"/>
      <c r="J37" s="21"/>
      <c r="K37" s="21"/>
      <c r="L37" s="21"/>
      <c r="M37" s="21"/>
      <c r="N37" s="21"/>
      <c r="O37" s="20"/>
      <c r="Q37" s="484" t="s">
        <v>406</v>
      </c>
      <c r="R37" s="484"/>
      <c r="S37" s="484" t="s">
        <v>407</v>
      </c>
      <c r="T37" s="484"/>
      <c r="U37" s="484"/>
      <c r="V37" s="484"/>
      <c r="W37" s="484"/>
      <c r="X37" s="484"/>
      <c r="Y37" s="484"/>
      <c r="Z37" s="485" t="s">
        <v>326</v>
      </c>
    </row>
    <row r="38" spans="1:26" x14ac:dyDescent="0.3">
      <c r="A38" s="18"/>
      <c r="B38" s="21"/>
      <c r="C38" s="21"/>
      <c r="D38" s="21"/>
      <c r="E38" s="21"/>
      <c r="F38" s="21"/>
      <c r="G38" s="21"/>
      <c r="H38" s="21"/>
      <c r="I38" s="21"/>
      <c r="J38" s="21"/>
      <c r="K38" s="21"/>
      <c r="L38" s="21"/>
      <c r="M38" s="21"/>
      <c r="N38" s="21"/>
      <c r="O38" s="20"/>
      <c r="Q38" s="484"/>
      <c r="R38" s="484"/>
      <c r="S38" s="484"/>
      <c r="T38" s="484"/>
      <c r="U38" s="484"/>
      <c r="V38" s="484"/>
      <c r="W38" s="484"/>
      <c r="X38" s="484"/>
      <c r="Y38" s="484"/>
      <c r="Z38" s="485"/>
    </row>
    <row r="39" spans="1:26" x14ac:dyDescent="0.3">
      <c r="A39" s="18"/>
      <c r="B39" s="21"/>
      <c r="C39" s="21"/>
      <c r="D39" s="21"/>
      <c r="E39" s="21"/>
      <c r="F39" s="21"/>
      <c r="G39" s="21"/>
      <c r="H39" s="21"/>
      <c r="I39" s="21"/>
      <c r="J39" s="21"/>
      <c r="K39" s="21"/>
      <c r="L39" s="21"/>
      <c r="M39" s="21"/>
      <c r="N39" s="21"/>
      <c r="O39" s="20"/>
      <c r="Q39" s="484"/>
      <c r="R39" s="484"/>
      <c r="S39" s="484"/>
      <c r="T39" s="484"/>
      <c r="U39" s="484"/>
      <c r="V39" s="484"/>
      <c r="W39" s="484"/>
      <c r="X39" s="484"/>
      <c r="Y39" s="484"/>
      <c r="Z39" s="485"/>
    </row>
    <row r="40" spans="1:26" x14ac:dyDescent="0.3">
      <c r="A40" s="490" t="s">
        <v>44</v>
      </c>
      <c r="B40" s="491"/>
      <c r="C40" s="491"/>
      <c r="D40" s="491"/>
      <c r="E40" s="491"/>
      <c r="F40" s="491"/>
      <c r="G40" s="491"/>
      <c r="H40" s="491"/>
      <c r="I40" s="491"/>
      <c r="J40" s="491"/>
      <c r="K40" s="491"/>
      <c r="L40" s="491"/>
      <c r="M40" s="491"/>
      <c r="N40" s="21"/>
      <c r="O40" s="20"/>
      <c r="Q40" s="484" t="s">
        <v>321</v>
      </c>
      <c r="R40" s="484"/>
      <c r="S40" s="484" t="s">
        <v>3832</v>
      </c>
      <c r="T40" s="484"/>
      <c r="U40" s="484"/>
      <c r="V40" s="484"/>
      <c r="W40" s="484"/>
      <c r="X40" s="484"/>
      <c r="Y40" s="484"/>
      <c r="Z40" s="485" t="s">
        <v>326</v>
      </c>
    </row>
    <row r="41" spans="1:26" x14ac:dyDescent="0.3">
      <c r="A41" s="18"/>
      <c r="B41" s="21"/>
      <c r="C41" s="21"/>
      <c r="D41" s="21"/>
      <c r="E41" s="21"/>
      <c r="F41" s="21"/>
      <c r="G41" s="21"/>
      <c r="H41" s="21"/>
      <c r="I41" s="21"/>
      <c r="J41" s="21"/>
      <c r="K41" s="21"/>
      <c r="L41" s="21"/>
      <c r="M41" s="21"/>
      <c r="N41" s="21"/>
      <c r="O41" s="20"/>
      <c r="Q41" s="484"/>
      <c r="R41" s="484"/>
      <c r="S41" s="484"/>
      <c r="T41" s="484"/>
      <c r="U41" s="484"/>
      <c r="V41" s="484"/>
      <c r="W41" s="484"/>
      <c r="X41" s="484"/>
      <c r="Y41" s="484"/>
      <c r="Z41" s="485"/>
    </row>
    <row r="42" spans="1:26" x14ac:dyDescent="0.3">
      <c r="A42" s="18"/>
      <c r="B42" s="21"/>
      <c r="C42" s="21"/>
      <c r="D42" s="21"/>
      <c r="E42" s="21"/>
      <c r="F42" s="21"/>
      <c r="G42" s="21"/>
      <c r="H42" s="21"/>
      <c r="I42" s="21"/>
      <c r="J42" s="21"/>
      <c r="K42" s="21"/>
      <c r="L42" s="21"/>
      <c r="M42" s="21"/>
      <c r="N42" s="21"/>
      <c r="O42" s="20"/>
      <c r="Q42" s="484"/>
      <c r="R42" s="484"/>
      <c r="S42" s="484"/>
      <c r="T42" s="484"/>
      <c r="U42" s="484"/>
      <c r="V42" s="484"/>
      <c r="W42" s="484"/>
      <c r="X42" s="484"/>
      <c r="Y42" s="484"/>
      <c r="Z42" s="485"/>
    </row>
    <row r="43" spans="1:26" x14ac:dyDescent="0.3">
      <c r="A43" s="18"/>
      <c r="B43" s="5" t="s">
        <v>11</v>
      </c>
      <c r="C43" s="42" t="s">
        <v>5</v>
      </c>
      <c r="D43" s="21"/>
      <c r="E43" s="21"/>
      <c r="F43" s="21"/>
      <c r="G43" s="21"/>
      <c r="H43" s="21"/>
      <c r="I43" s="21"/>
      <c r="J43" s="21"/>
      <c r="K43" s="21"/>
      <c r="L43" s="21"/>
      <c r="M43" s="21"/>
      <c r="N43" s="21"/>
      <c r="O43" s="20"/>
      <c r="Q43" s="484" t="s">
        <v>322</v>
      </c>
      <c r="R43" s="484"/>
      <c r="S43" s="484" t="s">
        <v>993</v>
      </c>
      <c r="T43" s="484"/>
      <c r="U43" s="484"/>
      <c r="V43" s="484"/>
      <c r="W43" s="484"/>
      <c r="X43" s="484"/>
      <c r="Y43" s="484"/>
      <c r="Z43" s="485" t="s">
        <v>326</v>
      </c>
    </row>
    <row r="44" spans="1:26" x14ac:dyDescent="0.3">
      <c r="A44" s="18"/>
      <c r="B44" s="5" t="s">
        <v>12</v>
      </c>
      <c r="C44" s="42" t="s">
        <v>13</v>
      </c>
      <c r="D44" s="21"/>
      <c r="E44" s="21"/>
      <c r="F44" s="21"/>
      <c r="G44" s="21"/>
      <c r="H44" s="21"/>
      <c r="I44" s="21"/>
      <c r="J44" s="21"/>
      <c r="K44" s="21"/>
      <c r="L44" s="21"/>
      <c r="M44" s="21"/>
      <c r="N44" s="21"/>
      <c r="O44" s="20"/>
      <c r="Q44" s="484"/>
      <c r="R44" s="484"/>
      <c r="S44" s="484"/>
      <c r="T44" s="484"/>
      <c r="U44" s="484"/>
      <c r="V44" s="484"/>
      <c r="W44" s="484"/>
      <c r="X44" s="484"/>
      <c r="Y44" s="484"/>
      <c r="Z44" s="485"/>
    </row>
    <row r="45" spans="1:26" x14ac:dyDescent="0.3">
      <c r="A45" s="18"/>
      <c r="B45" s="21"/>
      <c r="C45" s="21"/>
      <c r="D45" s="21"/>
      <c r="E45" s="21"/>
      <c r="F45" s="21"/>
      <c r="G45" s="21"/>
      <c r="H45" s="21"/>
      <c r="I45" s="21"/>
      <c r="J45" s="21"/>
      <c r="K45" s="21"/>
      <c r="L45" s="21"/>
      <c r="M45" s="21"/>
      <c r="N45" s="21"/>
      <c r="O45" s="20"/>
      <c r="Q45" s="484"/>
      <c r="R45" s="484"/>
      <c r="S45" s="484"/>
      <c r="T45" s="484"/>
      <c r="U45" s="484"/>
      <c r="V45" s="484"/>
      <c r="W45" s="484"/>
      <c r="X45" s="484"/>
      <c r="Y45" s="484"/>
      <c r="Z45" s="485"/>
    </row>
    <row r="46" spans="1:26" x14ac:dyDescent="0.3">
      <c r="A46" s="18"/>
      <c r="B46" s="492" t="s">
        <v>3365</v>
      </c>
      <c r="C46" s="493"/>
      <c r="D46" s="21"/>
      <c r="E46" s="21"/>
      <c r="F46" s="21"/>
      <c r="G46" s="21"/>
      <c r="H46" s="21"/>
      <c r="I46" s="21"/>
      <c r="J46" s="21"/>
      <c r="K46" s="21"/>
      <c r="L46" s="21"/>
      <c r="M46" s="21"/>
      <c r="N46" s="21"/>
      <c r="O46" s="20"/>
      <c r="Q46" s="126" t="s">
        <v>328</v>
      </c>
    </row>
    <row r="47" spans="1:26" ht="15" customHeight="1" x14ac:dyDescent="0.3">
      <c r="A47" s="18"/>
      <c r="B47" s="12" t="str">
        <f t="array" ref="B47:C49">_xll.U.GET(C43,C44)</f>
        <v>Symbol</v>
      </c>
      <c r="C47" s="13" t="str">
        <v>Delta</v>
      </c>
      <c r="D47" s="21"/>
      <c r="E47" s="21"/>
      <c r="F47" s="21"/>
      <c r="G47" s="21"/>
      <c r="H47" s="21"/>
      <c r="I47" s="21"/>
      <c r="J47" s="21"/>
      <c r="K47" s="21"/>
      <c r="L47" s="21"/>
      <c r="M47" s="21"/>
      <c r="N47" s="21"/>
      <c r="O47" s="20"/>
    </row>
    <row r="48" spans="1:26" x14ac:dyDescent="0.3">
      <c r="A48" s="18"/>
      <c r="B48" s="10" t="str">
        <v>ABC</v>
      </c>
      <c r="C48" s="11">
        <v>2500</v>
      </c>
      <c r="D48" s="21"/>
      <c r="E48" s="21"/>
      <c r="F48" s="21"/>
      <c r="G48" s="21"/>
      <c r="H48" s="21"/>
      <c r="I48" s="21"/>
      <c r="J48" s="21"/>
      <c r="K48" s="21"/>
      <c r="L48" s="21"/>
      <c r="M48" s="21"/>
      <c r="N48" s="21"/>
      <c r="O48" s="20"/>
    </row>
    <row r="49" spans="1:26" x14ac:dyDescent="0.3">
      <c r="A49" s="18"/>
      <c r="B49" s="10" t="str">
        <v>XYZ</v>
      </c>
      <c r="C49" s="11">
        <v>-360</v>
      </c>
      <c r="D49" s="21"/>
      <c r="E49" s="21"/>
      <c r="F49" s="21"/>
      <c r="G49" s="21"/>
      <c r="H49" s="21"/>
      <c r="I49" s="21"/>
      <c r="J49" s="21"/>
      <c r="K49" s="21"/>
      <c r="L49" s="21"/>
      <c r="M49" s="21"/>
      <c r="N49" s="21"/>
      <c r="O49" s="20"/>
      <c r="Q49" s="486" t="s">
        <v>3363</v>
      </c>
      <c r="R49" s="486"/>
      <c r="S49" s="486"/>
      <c r="T49" s="486"/>
      <c r="U49" s="486"/>
      <c r="V49" s="486"/>
      <c r="W49" s="486"/>
      <c r="X49" s="486"/>
      <c r="Y49" s="486"/>
      <c r="Z49" s="486"/>
    </row>
    <row r="50" spans="1:26" x14ac:dyDescent="0.3">
      <c r="A50" s="18"/>
      <c r="B50" s="21"/>
      <c r="C50" s="21"/>
      <c r="D50" s="21"/>
      <c r="E50" s="21"/>
      <c r="F50" s="21"/>
      <c r="G50" s="21"/>
      <c r="H50" s="21"/>
      <c r="I50" s="21"/>
      <c r="J50" s="21"/>
      <c r="K50" s="21"/>
      <c r="L50" s="21"/>
      <c r="M50" s="21"/>
      <c r="N50" s="21"/>
      <c r="O50" s="20"/>
      <c r="Q50" s="487" t="s">
        <v>333</v>
      </c>
      <c r="R50" s="487"/>
      <c r="S50" s="487" t="s">
        <v>2545</v>
      </c>
      <c r="T50" s="487"/>
      <c r="U50" s="487"/>
      <c r="V50" s="487"/>
      <c r="W50" s="487"/>
      <c r="X50" s="487"/>
      <c r="Y50" s="487"/>
      <c r="Z50" s="487"/>
    </row>
    <row r="51" spans="1:26" ht="15" customHeight="1" x14ac:dyDescent="0.3">
      <c r="A51" s="18"/>
      <c r="B51" s="21"/>
      <c r="C51" s="21"/>
      <c r="D51" s="21"/>
      <c r="E51" s="21"/>
      <c r="F51" s="21"/>
      <c r="G51" s="21"/>
      <c r="H51" s="21"/>
      <c r="I51" s="21"/>
      <c r="J51" s="21"/>
      <c r="K51" s="21"/>
      <c r="L51" s="21"/>
      <c r="M51" s="21"/>
      <c r="N51" s="21"/>
      <c r="O51" s="20"/>
      <c r="Q51" s="487"/>
      <c r="R51" s="487"/>
      <c r="S51" s="487"/>
      <c r="T51" s="487"/>
      <c r="U51" s="487"/>
      <c r="V51" s="487"/>
      <c r="W51" s="487"/>
      <c r="X51" s="487"/>
      <c r="Y51" s="487"/>
      <c r="Z51" s="487"/>
    </row>
    <row r="52" spans="1:26" x14ac:dyDescent="0.3">
      <c r="A52" s="18"/>
      <c r="B52" s="21"/>
      <c r="C52" s="21"/>
      <c r="D52" s="21"/>
      <c r="E52" s="21"/>
      <c r="F52" s="21"/>
      <c r="G52" s="21"/>
      <c r="H52" s="21"/>
      <c r="I52" s="21"/>
      <c r="J52" s="21"/>
      <c r="K52" s="21"/>
      <c r="L52" s="21"/>
      <c r="M52" s="21"/>
      <c r="N52" s="21"/>
      <c r="O52" s="20"/>
      <c r="Q52" s="487"/>
      <c r="R52" s="487"/>
      <c r="S52" s="487"/>
      <c r="T52" s="487"/>
      <c r="U52" s="487"/>
      <c r="V52" s="487"/>
      <c r="W52" s="487"/>
      <c r="X52" s="487"/>
      <c r="Y52" s="487"/>
      <c r="Z52" s="487"/>
    </row>
    <row r="53" spans="1:26" x14ac:dyDescent="0.3">
      <c r="A53" s="18"/>
      <c r="B53" s="21"/>
      <c r="C53" s="21"/>
      <c r="D53" s="21"/>
      <c r="E53" s="21"/>
      <c r="F53" s="21"/>
      <c r="G53" s="21"/>
      <c r="H53" s="21"/>
      <c r="I53" s="21"/>
      <c r="J53" s="21"/>
      <c r="K53" s="21"/>
      <c r="L53" s="21"/>
      <c r="M53" s="21"/>
      <c r="N53" s="21"/>
      <c r="O53" s="20"/>
      <c r="Q53" s="483" t="s">
        <v>323</v>
      </c>
      <c r="R53" s="483"/>
      <c r="S53" s="483" t="s">
        <v>1</v>
      </c>
      <c r="T53" s="483"/>
      <c r="U53" s="483"/>
      <c r="V53" s="483"/>
      <c r="W53" s="483"/>
      <c r="X53" s="483"/>
      <c r="Y53" s="483"/>
      <c r="Z53" s="85" t="s">
        <v>324</v>
      </c>
    </row>
    <row r="54" spans="1:26" ht="15" customHeight="1" x14ac:dyDescent="0.3">
      <c r="A54" s="18"/>
      <c r="B54" s="5" t="s">
        <v>11</v>
      </c>
      <c r="C54" s="42" t="s">
        <v>5</v>
      </c>
      <c r="D54" s="21"/>
      <c r="E54" s="21"/>
      <c r="F54" s="21"/>
      <c r="G54" s="21"/>
      <c r="H54" s="21"/>
      <c r="I54" s="21"/>
      <c r="J54" s="21"/>
      <c r="K54" s="21"/>
      <c r="L54" s="21"/>
      <c r="M54" s="21"/>
      <c r="N54" s="21"/>
      <c r="O54" s="20"/>
      <c r="Q54" s="487" t="s">
        <v>1901</v>
      </c>
      <c r="R54" s="487"/>
      <c r="S54" s="487" t="s">
        <v>400</v>
      </c>
      <c r="T54" s="487"/>
      <c r="U54" s="487"/>
      <c r="V54" s="487"/>
      <c r="W54" s="487"/>
      <c r="X54" s="487"/>
      <c r="Y54" s="487"/>
      <c r="Z54" s="509" t="s">
        <v>325</v>
      </c>
    </row>
    <row r="55" spans="1:26" x14ac:dyDescent="0.3">
      <c r="A55" s="18"/>
      <c r="B55" s="5" t="s">
        <v>12</v>
      </c>
      <c r="C55" s="42" t="s">
        <v>13</v>
      </c>
      <c r="D55" s="21"/>
      <c r="E55" s="21"/>
      <c r="F55" s="21"/>
      <c r="G55" s="21"/>
      <c r="H55" s="21"/>
      <c r="I55" s="21"/>
      <c r="J55" s="21"/>
      <c r="K55" s="21"/>
      <c r="L55" s="21"/>
      <c r="M55" s="21"/>
      <c r="N55" s="21"/>
      <c r="O55" s="20"/>
      <c r="Q55" s="487"/>
      <c r="R55" s="487"/>
      <c r="S55" s="487"/>
      <c r="T55" s="487"/>
      <c r="U55" s="487"/>
      <c r="V55" s="487"/>
      <c r="W55" s="487"/>
      <c r="X55" s="487"/>
      <c r="Y55" s="487"/>
      <c r="Z55" s="509"/>
    </row>
    <row r="56" spans="1:26" x14ac:dyDescent="0.3">
      <c r="A56" s="18"/>
      <c r="B56" s="7" t="s">
        <v>2559</v>
      </c>
      <c r="C56" s="93" t="str" cm="1">
        <f t="array" ref="C56">_xll.U.DO(_xll.U.REFRESH(C54,C55), _xll.U.NOW(60))</f>
        <v>U/DESK1/PNL_AND_PRICES | 2026-04-19 14:17:39.759</v>
      </c>
      <c r="D56" s="21"/>
      <c r="E56" s="21"/>
      <c r="F56" s="21"/>
      <c r="G56" s="21"/>
      <c r="H56" s="21"/>
      <c r="I56" s="21"/>
      <c r="J56" s="21"/>
      <c r="K56" s="21"/>
      <c r="L56" s="21"/>
      <c r="M56" s="21"/>
      <c r="N56" s="21"/>
      <c r="O56" s="20"/>
      <c r="Q56" s="487"/>
      <c r="R56" s="487"/>
      <c r="S56" s="487"/>
      <c r="T56" s="487"/>
      <c r="U56" s="487"/>
      <c r="V56" s="487"/>
      <c r="W56" s="487"/>
      <c r="X56" s="487"/>
      <c r="Y56" s="487"/>
      <c r="Z56" s="509"/>
    </row>
    <row r="57" spans="1:26" ht="15" customHeight="1" x14ac:dyDescent="0.3">
      <c r="A57" s="18"/>
      <c r="B57" s="21"/>
      <c r="C57" s="21"/>
      <c r="D57" s="21"/>
      <c r="E57" s="21"/>
      <c r="F57" s="21"/>
      <c r="G57" s="21"/>
      <c r="H57" s="21"/>
      <c r="I57" s="21"/>
      <c r="J57" s="21"/>
      <c r="K57" s="21"/>
      <c r="L57" s="21"/>
      <c r="M57" s="21"/>
      <c r="N57" s="21"/>
      <c r="O57" s="20"/>
      <c r="Q57" s="487" t="s">
        <v>319</v>
      </c>
      <c r="R57" s="487"/>
      <c r="S57" s="487" t="s">
        <v>401</v>
      </c>
      <c r="T57" s="487"/>
      <c r="U57" s="487"/>
      <c r="V57" s="487"/>
      <c r="W57" s="487"/>
      <c r="X57" s="487"/>
      <c r="Y57" s="487"/>
      <c r="Z57" s="509" t="s">
        <v>325</v>
      </c>
    </row>
    <row r="58" spans="1:26" x14ac:dyDescent="0.3">
      <c r="A58" s="18"/>
      <c r="B58" s="21"/>
      <c r="C58" s="21"/>
      <c r="D58" s="21"/>
      <c r="E58" s="21"/>
      <c r="F58" s="21"/>
      <c r="G58" s="21"/>
      <c r="H58" s="21"/>
      <c r="I58" s="21"/>
      <c r="J58" s="21"/>
      <c r="K58" s="21"/>
      <c r="L58" s="21"/>
      <c r="M58" s="21"/>
      <c r="N58" s="21"/>
      <c r="O58" s="20"/>
      <c r="Q58" s="487"/>
      <c r="R58" s="487"/>
      <c r="S58" s="487"/>
      <c r="T58" s="487"/>
      <c r="U58" s="487"/>
      <c r="V58" s="487"/>
      <c r="W58" s="487"/>
      <c r="X58" s="487"/>
      <c r="Y58" s="487"/>
      <c r="Z58" s="509"/>
    </row>
    <row r="59" spans="1:26" x14ac:dyDescent="0.3">
      <c r="A59" s="18"/>
      <c r="B59" s="21"/>
      <c r="C59" s="21"/>
      <c r="D59" s="21"/>
      <c r="E59" s="21"/>
      <c r="F59" s="21"/>
      <c r="G59" s="21"/>
      <c r="H59" s="21"/>
      <c r="I59" s="21"/>
      <c r="J59" s="21"/>
      <c r="K59" s="21"/>
      <c r="L59" s="21"/>
      <c r="M59" s="21"/>
      <c r="N59" s="21"/>
      <c r="O59" s="20"/>
      <c r="Q59" s="487"/>
      <c r="R59" s="487"/>
      <c r="S59" s="487"/>
      <c r="T59" s="487"/>
      <c r="U59" s="487"/>
      <c r="V59" s="487"/>
      <c r="W59" s="487"/>
      <c r="X59" s="487"/>
      <c r="Y59" s="487"/>
      <c r="Z59" s="509"/>
    </row>
    <row r="60" spans="1:26" ht="15" customHeight="1" x14ac:dyDescent="0.3">
      <c r="A60" s="18"/>
      <c r="B60" s="21"/>
      <c r="C60" s="21"/>
      <c r="D60" s="21"/>
      <c r="E60" s="21"/>
      <c r="F60" s="21"/>
      <c r="G60" s="21"/>
      <c r="H60" s="21"/>
      <c r="I60" s="21"/>
      <c r="J60" s="21"/>
      <c r="K60" s="21"/>
      <c r="L60" s="21"/>
      <c r="M60" s="21"/>
      <c r="N60" s="21"/>
      <c r="O60" s="20"/>
      <c r="Q60" s="484" t="s">
        <v>406</v>
      </c>
      <c r="R60" s="484"/>
      <c r="S60" s="484" t="s">
        <v>407</v>
      </c>
      <c r="T60" s="484"/>
      <c r="U60" s="484"/>
      <c r="V60" s="484"/>
      <c r="W60" s="484"/>
      <c r="X60" s="484"/>
      <c r="Y60" s="484"/>
      <c r="Z60" s="485" t="s">
        <v>326</v>
      </c>
    </row>
    <row r="61" spans="1:26" x14ac:dyDescent="0.3">
      <c r="A61" s="18"/>
      <c r="B61" s="21"/>
      <c r="C61" s="21"/>
      <c r="D61" s="21"/>
      <c r="E61" s="21"/>
      <c r="F61" s="21"/>
      <c r="G61" s="21"/>
      <c r="H61" s="21"/>
      <c r="I61" s="21"/>
      <c r="J61" s="21"/>
      <c r="K61" s="21"/>
      <c r="L61" s="21"/>
      <c r="M61" s="21"/>
      <c r="N61" s="21"/>
      <c r="O61" s="20"/>
      <c r="Q61" s="484"/>
      <c r="R61" s="484"/>
      <c r="S61" s="484"/>
      <c r="T61" s="484"/>
      <c r="U61" s="484"/>
      <c r="V61" s="484"/>
      <c r="W61" s="484"/>
      <c r="X61" s="484"/>
      <c r="Y61" s="484"/>
      <c r="Z61" s="485"/>
    </row>
    <row r="62" spans="1:26" x14ac:dyDescent="0.3">
      <c r="A62" s="18"/>
      <c r="B62" s="21"/>
      <c r="C62" s="21"/>
      <c r="D62" s="21"/>
      <c r="E62" s="21"/>
      <c r="F62" s="21"/>
      <c r="G62" s="21"/>
      <c r="H62" s="21"/>
      <c r="I62" s="21"/>
      <c r="J62" s="21"/>
      <c r="K62" s="21"/>
      <c r="L62" s="21"/>
      <c r="M62" s="21"/>
      <c r="N62" s="21"/>
      <c r="O62" s="20"/>
      <c r="Q62" s="484"/>
      <c r="R62" s="484"/>
      <c r="S62" s="484"/>
      <c r="T62" s="484"/>
      <c r="U62" s="484"/>
      <c r="V62" s="484"/>
      <c r="W62" s="484"/>
      <c r="X62" s="484"/>
      <c r="Y62" s="484"/>
      <c r="Z62" s="485"/>
    </row>
    <row r="63" spans="1:26" x14ac:dyDescent="0.3">
      <c r="A63" s="18"/>
      <c r="B63" s="21"/>
      <c r="C63" s="21"/>
      <c r="D63" s="21"/>
      <c r="E63" s="21"/>
      <c r="F63" s="21"/>
      <c r="G63" s="21"/>
      <c r="H63" s="21"/>
      <c r="I63" s="21"/>
      <c r="J63" s="21"/>
      <c r="K63" s="21"/>
      <c r="L63" s="21"/>
      <c r="M63" s="21"/>
      <c r="N63" s="21"/>
      <c r="O63" s="20"/>
      <c r="Q63" s="496" t="s">
        <v>321</v>
      </c>
      <c r="R63" s="497"/>
      <c r="S63" s="496" t="s">
        <v>3832</v>
      </c>
      <c r="T63" s="502"/>
      <c r="U63" s="502"/>
      <c r="V63" s="502"/>
      <c r="W63" s="502"/>
      <c r="X63" s="502"/>
      <c r="Y63" s="497"/>
      <c r="Z63" s="485" t="s">
        <v>326</v>
      </c>
    </row>
    <row r="64" spans="1:26" x14ac:dyDescent="0.3">
      <c r="A64" s="18"/>
      <c r="B64" s="21"/>
      <c r="C64" s="21"/>
      <c r="D64" s="21"/>
      <c r="E64" s="21"/>
      <c r="F64" s="21"/>
      <c r="G64" s="21"/>
      <c r="H64" s="21"/>
      <c r="I64" s="21"/>
      <c r="J64" s="21"/>
      <c r="K64" s="21"/>
      <c r="L64" s="21"/>
      <c r="M64" s="21"/>
      <c r="N64" s="21"/>
      <c r="O64" s="20"/>
      <c r="Q64" s="498"/>
      <c r="R64" s="499"/>
      <c r="S64" s="498"/>
      <c r="T64" s="503"/>
      <c r="U64" s="503"/>
      <c r="V64" s="503"/>
      <c r="W64" s="503"/>
      <c r="X64" s="503"/>
      <c r="Y64" s="499"/>
      <c r="Z64" s="485"/>
    </row>
    <row r="65" spans="1:26" x14ac:dyDescent="0.3">
      <c r="A65" s="18"/>
      <c r="B65" s="21"/>
      <c r="C65" s="21"/>
      <c r="D65" s="21"/>
      <c r="E65" s="21"/>
      <c r="F65" s="21"/>
      <c r="G65" s="21"/>
      <c r="H65" s="21"/>
      <c r="I65" s="21"/>
      <c r="J65" s="21"/>
      <c r="K65" s="21"/>
      <c r="L65" s="21"/>
      <c r="M65" s="21"/>
      <c r="N65" s="21"/>
      <c r="O65" s="20"/>
      <c r="Q65" s="500"/>
      <c r="R65" s="501"/>
      <c r="S65" s="500"/>
      <c r="T65" s="504"/>
      <c r="U65" s="504"/>
      <c r="V65" s="504"/>
      <c r="W65" s="504"/>
      <c r="X65" s="504"/>
      <c r="Y65" s="501"/>
      <c r="Z65" s="485"/>
    </row>
    <row r="66" spans="1:26" x14ac:dyDescent="0.3">
      <c r="A66" s="18"/>
      <c r="B66" s="21"/>
      <c r="C66" s="21"/>
      <c r="D66" s="21"/>
      <c r="E66" s="21"/>
      <c r="F66" s="21"/>
      <c r="G66" s="21"/>
      <c r="H66" s="21"/>
      <c r="I66" s="21"/>
      <c r="J66" s="21"/>
      <c r="K66" s="21"/>
      <c r="L66" s="21"/>
      <c r="M66" s="21"/>
      <c r="N66" s="21"/>
      <c r="O66" s="20"/>
      <c r="Q66" s="496" t="s">
        <v>322</v>
      </c>
      <c r="R66" s="497"/>
      <c r="S66" s="496" t="s">
        <v>993</v>
      </c>
      <c r="T66" s="502"/>
      <c r="U66" s="502"/>
      <c r="V66" s="502"/>
      <c r="W66" s="502"/>
      <c r="X66" s="502"/>
      <c r="Y66" s="497"/>
      <c r="Z66" s="485" t="s">
        <v>326</v>
      </c>
    </row>
    <row r="67" spans="1:26" x14ac:dyDescent="0.3">
      <c r="A67" s="18"/>
      <c r="B67" s="21"/>
      <c r="C67" s="21"/>
      <c r="D67" s="21"/>
      <c r="E67" s="21"/>
      <c r="F67" s="21"/>
      <c r="G67" s="21"/>
      <c r="H67" s="21"/>
      <c r="I67" s="21"/>
      <c r="J67" s="21"/>
      <c r="K67" s="21"/>
      <c r="L67" s="21"/>
      <c r="M67" s="21"/>
      <c r="N67" s="21"/>
      <c r="O67" s="20"/>
      <c r="Q67" s="498"/>
      <c r="R67" s="499"/>
      <c r="S67" s="498"/>
      <c r="T67" s="503"/>
      <c r="U67" s="503"/>
      <c r="V67" s="503"/>
      <c r="W67" s="503"/>
      <c r="X67" s="503"/>
      <c r="Y67" s="499"/>
      <c r="Z67" s="485"/>
    </row>
    <row r="68" spans="1:26" x14ac:dyDescent="0.3">
      <c r="A68" s="18"/>
      <c r="B68" s="21"/>
      <c r="C68" s="21"/>
      <c r="D68" s="21"/>
      <c r="E68" s="21"/>
      <c r="F68" s="21"/>
      <c r="G68" s="21"/>
      <c r="H68" s="21"/>
      <c r="I68" s="21"/>
      <c r="J68" s="21"/>
      <c r="K68" s="21"/>
      <c r="L68" s="21"/>
      <c r="M68" s="21"/>
      <c r="N68" s="21"/>
      <c r="O68" s="20"/>
      <c r="Q68" s="500"/>
      <c r="R68" s="501"/>
      <c r="S68" s="500"/>
      <c r="T68" s="504"/>
      <c r="U68" s="504"/>
      <c r="V68" s="504"/>
      <c r="W68" s="504"/>
      <c r="X68" s="504"/>
      <c r="Y68" s="501"/>
      <c r="Z68" s="485"/>
    </row>
    <row r="69" spans="1:26" x14ac:dyDescent="0.3">
      <c r="A69" s="490" t="s">
        <v>45</v>
      </c>
      <c r="B69" s="491"/>
      <c r="C69" s="491"/>
      <c r="D69" s="491"/>
      <c r="E69" s="491"/>
      <c r="F69" s="491"/>
      <c r="G69" s="491"/>
      <c r="H69" s="491"/>
      <c r="I69" s="491"/>
      <c r="J69" s="491"/>
      <c r="K69" s="491"/>
      <c r="L69" s="491"/>
      <c r="M69" s="491"/>
      <c r="N69" s="21"/>
      <c r="O69" s="20"/>
      <c r="Q69" s="126" t="s">
        <v>328</v>
      </c>
    </row>
    <row r="70" spans="1:26" x14ac:dyDescent="0.3">
      <c r="A70" s="18"/>
      <c r="B70" s="21"/>
      <c r="C70" s="21"/>
      <c r="D70" s="21"/>
      <c r="E70" s="21"/>
      <c r="F70" s="21"/>
      <c r="G70" s="21"/>
      <c r="H70" s="21"/>
      <c r="I70" s="21"/>
      <c r="J70" s="21"/>
      <c r="K70" s="21"/>
      <c r="L70" s="21"/>
      <c r="M70" s="21"/>
      <c r="N70" s="21"/>
      <c r="O70" s="20"/>
    </row>
    <row r="71" spans="1:26" x14ac:dyDescent="0.3">
      <c r="A71" s="18"/>
      <c r="B71" s="21"/>
      <c r="C71" s="21"/>
      <c r="D71" s="21"/>
      <c r="E71" s="21"/>
      <c r="F71" s="21"/>
      <c r="G71" s="21"/>
      <c r="H71" s="21"/>
      <c r="I71" s="21"/>
      <c r="J71" s="21"/>
      <c r="K71" s="21"/>
      <c r="L71" s="21"/>
      <c r="M71" s="21"/>
      <c r="N71" s="21"/>
      <c r="O71" s="20"/>
    </row>
    <row r="72" spans="1:26" x14ac:dyDescent="0.3">
      <c r="A72" s="18"/>
      <c r="B72" s="5" t="s">
        <v>11</v>
      </c>
      <c r="C72" s="42" t="s">
        <v>5</v>
      </c>
      <c r="D72" s="21"/>
      <c r="E72" s="21"/>
      <c r="F72" s="21"/>
      <c r="G72" s="21"/>
      <c r="H72" s="21"/>
      <c r="I72" s="21"/>
      <c r="J72" s="21"/>
      <c r="K72" s="21"/>
      <c r="L72" s="21"/>
      <c r="M72" s="21"/>
      <c r="N72" s="21"/>
      <c r="O72" s="20"/>
      <c r="Q72" s="486" t="s">
        <v>3366</v>
      </c>
      <c r="R72" s="486"/>
      <c r="S72" s="486"/>
      <c r="T72" s="486"/>
      <c r="U72" s="486"/>
      <c r="V72" s="486"/>
      <c r="W72" s="486"/>
      <c r="X72" s="486"/>
      <c r="Y72" s="486"/>
      <c r="Z72" s="486"/>
    </row>
    <row r="73" spans="1:26" x14ac:dyDescent="0.3">
      <c r="A73" s="18"/>
      <c r="B73" s="5" t="s">
        <v>12</v>
      </c>
      <c r="C73" s="42" t="s">
        <v>23</v>
      </c>
      <c r="D73" s="21"/>
      <c r="E73" s="21"/>
      <c r="F73" s="21"/>
      <c r="G73" s="21"/>
      <c r="H73" s="21"/>
      <c r="I73" s="21"/>
      <c r="J73" s="21"/>
      <c r="K73" s="21"/>
      <c r="L73" s="21"/>
      <c r="M73" s="21"/>
      <c r="N73" s="21"/>
      <c r="O73" s="20"/>
      <c r="Q73" s="487" t="s">
        <v>333</v>
      </c>
      <c r="R73" s="487"/>
      <c r="S73" s="487" t="s">
        <v>3833</v>
      </c>
      <c r="T73" s="487"/>
      <c r="U73" s="487"/>
      <c r="V73" s="487"/>
      <c r="W73" s="487"/>
      <c r="X73" s="487"/>
      <c r="Y73" s="487"/>
      <c r="Z73" s="487"/>
    </row>
    <row r="74" spans="1:26" x14ac:dyDescent="0.3">
      <c r="A74" s="18"/>
      <c r="B74" s="7" t="s">
        <v>24</v>
      </c>
      <c r="C74" s="6" t="str" cm="1">
        <f t="array" ref="C74">_xll.U.SUBSCRIBE(C72,C73)</f>
        <v>U/DESK1/PNL_AND_PRICES | 2026-04-19 14:17:39.759</v>
      </c>
      <c r="D74" s="21"/>
      <c r="E74" s="21"/>
      <c r="F74" s="21"/>
      <c r="G74" s="21"/>
      <c r="H74" s="21"/>
      <c r="I74" s="21"/>
      <c r="J74" s="21"/>
      <c r="K74" s="21"/>
      <c r="L74" s="21"/>
      <c r="M74" s="21"/>
      <c r="N74" s="21"/>
      <c r="O74" s="20"/>
      <c r="Q74" s="487"/>
      <c r="R74" s="487"/>
      <c r="S74" s="487"/>
      <c r="T74" s="487"/>
      <c r="U74" s="487"/>
      <c r="V74" s="487"/>
      <c r="W74" s="487"/>
      <c r="X74" s="487"/>
      <c r="Y74" s="487"/>
      <c r="Z74" s="487"/>
    </row>
    <row r="75" spans="1:26" x14ac:dyDescent="0.3">
      <c r="A75" s="18"/>
      <c r="B75" s="21"/>
      <c r="C75" s="21"/>
      <c r="D75" s="21"/>
      <c r="E75" s="21"/>
      <c r="F75" s="21"/>
      <c r="G75" s="21"/>
      <c r="H75" s="21"/>
      <c r="I75" s="21"/>
      <c r="J75" s="21"/>
      <c r="K75" s="21"/>
      <c r="L75" s="21"/>
      <c r="M75" s="21"/>
      <c r="N75" s="21"/>
      <c r="O75" s="20"/>
      <c r="Q75" s="487"/>
      <c r="R75" s="487"/>
      <c r="S75" s="487"/>
      <c r="T75" s="487"/>
      <c r="U75" s="487"/>
      <c r="V75" s="487"/>
      <c r="W75" s="487"/>
      <c r="X75" s="487"/>
      <c r="Y75" s="487"/>
      <c r="Z75" s="487"/>
    </row>
    <row r="76" spans="1:26" x14ac:dyDescent="0.3">
      <c r="A76" s="18"/>
      <c r="B76" s="492" t="s">
        <v>3367</v>
      </c>
      <c r="C76" s="493"/>
      <c r="D76" s="21"/>
      <c r="E76" s="21"/>
      <c r="F76" s="21"/>
      <c r="G76" s="21"/>
      <c r="H76" s="21"/>
      <c r="I76" s="21"/>
      <c r="J76" s="21"/>
      <c r="K76" s="21"/>
      <c r="L76" s="21"/>
      <c r="M76" s="21"/>
      <c r="N76" s="21"/>
      <c r="O76" s="20"/>
      <c r="Q76" s="483" t="s">
        <v>323</v>
      </c>
      <c r="R76" s="483"/>
      <c r="S76" s="483" t="s">
        <v>1</v>
      </c>
      <c r="T76" s="483"/>
      <c r="U76" s="483"/>
      <c r="V76" s="483"/>
      <c r="W76" s="483"/>
      <c r="X76" s="483"/>
      <c r="Y76" s="483"/>
      <c r="Z76" s="85" t="s">
        <v>324</v>
      </c>
    </row>
    <row r="77" spans="1:26" x14ac:dyDescent="0.3">
      <c r="A77" s="18"/>
      <c r="B77" s="12" t="str">
        <f t="array" ref="B77:C79">_xll.U.GET(C74)</f>
        <v>Symbol</v>
      </c>
      <c r="C77" s="13" t="str">
        <v>Delta</v>
      </c>
      <c r="D77" s="21"/>
      <c r="E77" s="21"/>
      <c r="F77" s="21"/>
      <c r="G77" s="21"/>
      <c r="H77" s="21"/>
      <c r="I77" s="21"/>
      <c r="J77" s="21"/>
      <c r="K77" s="21"/>
      <c r="L77" s="21"/>
      <c r="M77" s="21"/>
      <c r="N77" s="21"/>
      <c r="O77" s="20"/>
      <c r="Q77" s="487" t="s">
        <v>1901</v>
      </c>
      <c r="R77" s="487"/>
      <c r="S77" s="487" t="s">
        <v>400</v>
      </c>
      <c r="T77" s="487"/>
      <c r="U77" s="487"/>
      <c r="V77" s="487"/>
      <c r="W77" s="487"/>
      <c r="X77" s="487"/>
      <c r="Y77" s="487"/>
      <c r="Z77" s="509" t="s">
        <v>325</v>
      </c>
    </row>
    <row r="78" spans="1:26" x14ac:dyDescent="0.3">
      <c r="A78" s="18"/>
      <c r="B78" s="10" t="str">
        <v>ABC</v>
      </c>
      <c r="C78" s="11">
        <v>2500</v>
      </c>
      <c r="D78" s="21"/>
      <c r="E78" s="21"/>
      <c r="F78" s="21"/>
      <c r="G78" s="21"/>
      <c r="H78" s="21"/>
      <c r="I78" s="21"/>
      <c r="J78" s="21"/>
      <c r="K78" s="21"/>
      <c r="L78" s="21"/>
      <c r="M78" s="21"/>
      <c r="N78" s="21"/>
      <c r="O78" s="20"/>
      <c r="Q78" s="487"/>
      <c r="R78" s="487"/>
      <c r="S78" s="487"/>
      <c r="T78" s="487"/>
      <c r="U78" s="487"/>
      <c r="V78" s="487"/>
      <c r="W78" s="487"/>
      <c r="X78" s="487"/>
      <c r="Y78" s="487"/>
      <c r="Z78" s="509"/>
    </row>
    <row r="79" spans="1:26" x14ac:dyDescent="0.3">
      <c r="A79" s="18"/>
      <c r="B79" s="10" t="str">
        <v>XYZ</v>
      </c>
      <c r="C79" s="11">
        <v>-360</v>
      </c>
      <c r="D79" s="21"/>
      <c r="E79" s="21"/>
      <c r="F79" s="21"/>
      <c r="G79" s="21"/>
      <c r="H79" s="21"/>
      <c r="I79" s="21"/>
      <c r="J79" s="21"/>
      <c r="K79" s="21"/>
      <c r="L79" s="21"/>
      <c r="M79" s="21"/>
      <c r="N79" s="21"/>
      <c r="O79" s="20"/>
      <c r="Q79" s="487"/>
      <c r="R79" s="487"/>
      <c r="S79" s="487"/>
      <c r="T79" s="487"/>
      <c r="U79" s="487"/>
      <c r="V79" s="487"/>
      <c r="W79" s="487"/>
      <c r="X79" s="487"/>
      <c r="Y79" s="487"/>
      <c r="Z79" s="509"/>
    </row>
    <row r="80" spans="1:26" x14ac:dyDescent="0.3">
      <c r="A80" s="18"/>
      <c r="B80" s="21"/>
      <c r="C80" s="21"/>
      <c r="D80" s="21"/>
      <c r="E80" s="21"/>
      <c r="F80" s="21"/>
      <c r="G80" s="21"/>
      <c r="H80" s="21"/>
      <c r="I80" s="21"/>
      <c r="J80" s="21"/>
      <c r="K80" s="21"/>
      <c r="L80" s="21"/>
      <c r="M80" s="21"/>
      <c r="N80" s="21"/>
      <c r="O80" s="20"/>
      <c r="Q80" s="487" t="s">
        <v>319</v>
      </c>
      <c r="R80" s="487"/>
      <c r="S80" s="487" t="s">
        <v>401</v>
      </c>
      <c r="T80" s="487"/>
      <c r="U80" s="487"/>
      <c r="V80" s="487"/>
      <c r="W80" s="487"/>
      <c r="X80" s="487"/>
      <c r="Y80" s="487"/>
      <c r="Z80" s="509" t="s">
        <v>325</v>
      </c>
    </row>
    <row r="81" spans="1:26" x14ac:dyDescent="0.3">
      <c r="A81" s="18"/>
      <c r="B81" s="492" t="s">
        <v>3368</v>
      </c>
      <c r="C81" s="493"/>
      <c r="D81" s="21"/>
      <c r="E81" s="21"/>
      <c r="F81" s="21"/>
      <c r="G81" s="21"/>
      <c r="H81" s="21"/>
      <c r="I81" s="21"/>
      <c r="J81" s="21"/>
      <c r="K81" s="21"/>
      <c r="L81" s="21"/>
      <c r="M81" s="21"/>
      <c r="N81" s="21"/>
      <c r="O81" s="20"/>
      <c r="Q81" s="487"/>
      <c r="R81" s="487"/>
      <c r="S81" s="487"/>
      <c r="T81" s="487"/>
      <c r="U81" s="487"/>
      <c r="V81" s="487"/>
      <c r="W81" s="487"/>
      <c r="X81" s="487"/>
      <c r="Y81" s="487"/>
      <c r="Z81" s="509"/>
    </row>
    <row r="82" spans="1:26" x14ac:dyDescent="0.3">
      <c r="A82" s="18"/>
      <c r="B82" s="12" t="str">
        <f t="array" ref="B82:C84">_xll.U.GET(C74,,2)</f>
        <v>Symbol</v>
      </c>
      <c r="C82" s="13" t="str">
        <v>Last Price</v>
      </c>
      <c r="D82" s="21"/>
      <c r="E82" s="21"/>
      <c r="F82" s="21"/>
      <c r="G82" s="21"/>
      <c r="H82" s="21"/>
      <c r="I82" s="21"/>
      <c r="J82" s="21"/>
      <c r="K82" s="21"/>
      <c r="L82" s="21"/>
      <c r="M82" s="21"/>
      <c r="N82" s="21"/>
      <c r="O82" s="20"/>
      <c r="Q82" s="487"/>
      <c r="R82" s="487"/>
      <c r="S82" s="487"/>
      <c r="T82" s="487"/>
      <c r="U82" s="487"/>
      <c r="V82" s="487"/>
      <c r="W82" s="487"/>
      <c r="X82" s="487"/>
      <c r="Y82" s="487"/>
      <c r="Z82" s="509"/>
    </row>
    <row r="83" spans="1:26" ht="15" customHeight="1" x14ac:dyDescent="0.3">
      <c r="A83" s="18"/>
      <c r="B83" s="10" t="str">
        <v>ABC</v>
      </c>
      <c r="C83" s="11">
        <v>123.4</v>
      </c>
      <c r="D83" s="21"/>
      <c r="E83" s="21"/>
      <c r="F83" s="21"/>
      <c r="G83" s="21"/>
      <c r="H83" s="21"/>
      <c r="I83" s="21"/>
      <c r="J83" s="21"/>
      <c r="K83" s="21"/>
      <c r="L83" s="21"/>
      <c r="M83" s="21"/>
      <c r="N83" s="21"/>
      <c r="O83" s="20"/>
      <c r="Q83" s="496" t="s">
        <v>321</v>
      </c>
      <c r="R83" s="497"/>
      <c r="S83" s="496" t="s">
        <v>3832</v>
      </c>
      <c r="T83" s="502"/>
      <c r="U83" s="502"/>
      <c r="V83" s="502"/>
      <c r="W83" s="502"/>
      <c r="X83" s="502"/>
      <c r="Y83" s="497"/>
      <c r="Z83" s="485" t="s">
        <v>326</v>
      </c>
    </row>
    <row r="84" spans="1:26" x14ac:dyDescent="0.3">
      <c r="A84" s="18"/>
      <c r="B84" s="10" t="str">
        <v>XYZ</v>
      </c>
      <c r="C84" s="11">
        <v>67.89</v>
      </c>
      <c r="D84" s="21"/>
      <c r="E84" s="21"/>
      <c r="F84" s="21"/>
      <c r="G84" s="21"/>
      <c r="H84" s="21"/>
      <c r="I84" s="21"/>
      <c r="J84" s="21"/>
      <c r="K84" s="21"/>
      <c r="L84" s="21"/>
      <c r="M84" s="21"/>
      <c r="N84" s="21"/>
      <c r="O84" s="20"/>
      <c r="Q84" s="498"/>
      <c r="R84" s="499"/>
      <c r="S84" s="498"/>
      <c r="T84" s="503"/>
      <c r="U84" s="503"/>
      <c r="V84" s="503"/>
      <c r="W84" s="503"/>
      <c r="X84" s="503"/>
      <c r="Y84" s="499"/>
      <c r="Z84" s="485"/>
    </row>
    <row r="85" spans="1:26" x14ac:dyDescent="0.3">
      <c r="A85" s="18"/>
      <c r="B85" s="21"/>
      <c r="C85" s="21"/>
      <c r="D85" s="21"/>
      <c r="E85" s="21"/>
      <c r="F85" s="21"/>
      <c r="G85" s="21"/>
      <c r="H85" s="21"/>
      <c r="I85" s="21"/>
      <c r="J85" s="21"/>
      <c r="K85" s="21"/>
      <c r="L85" s="21"/>
      <c r="M85" s="21"/>
      <c r="N85" s="21"/>
      <c r="O85" s="20"/>
      <c r="Q85" s="500"/>
      <c r="R85" s="501"/>
      <c r="S85" s="500"/>
      <c r="T85" s="504"/>
      <c r="U85" s="504"/>
      <c r="V85" s="504"/>
      <c r="W85" s="504"/>
      <c r="X85" s="504"/>
      <c r="Y85" s="501"/>
      <c r="Z85" s="485"/>
    </row>
    <row r="86" spans="1:26" ht="15" customHeight="1" x14ac:dyDescent="0.3">
      <c r="A86" s="18"/>
      <c r="B86" s="21"/>
      <c r="C86" s="21"/>
      <c r="D86" s="21"/>
      <c r="E86" s="21"/>
      <c r="F86" s="21"/>
      <c r="G86" s="21"/>
      <c r="H86" s="21"/>
      <c r="I86" s="21"/>
      <c r="J86" s="21"/>
      <c r="K86" s="21"/>
      <c r="L86" s="21"/>
      <c r="M86" s="21"/>
      <c r="N86" s="21"/>
      <c r="O86" s="20"/>
      <c r="Q86" s="496" t="s">
        <v>2299</v>
      </c>
      <c r="R86" s="497"/>
      <c r="S86" s="496" t="s">
        <v>3089</v>
      </c>
      <c r="T86" s="502"/>
      <c r="U86" s="502"/>
      <c r="V86" s="502"/>
      <c r="W86" s="502"/>
      <c r="X86" s="502"/>
      <c r="Y86" s="497"/>
      <c r="Z86" s="505" t="s">
        <v>326</v>
      </c>
    </row>
    <row r="87" spans="1:26" x14ac:dyDescent="0.3">
      <c r="A87" s="18"/>
      <c r="B87" s="21"/>
      <c r="C87" s="21"/>
      <c r="D87" s="21"/>
      <c r="E87" s="21"/>
      <c r="F87" s="21"/>
      <c r="G87" s="21"/>
      <c r="H87" s="21"/>
      <c r="I87" s="21"/>
      <c r="J87" s="21"/>
      <c r="K87" s="21"/>
      <c r="L87" s="21"/>
      <c r="M87" s="21"/>
      <c r="N87" s="21"/>
      <c r="O87" s="20"/>
      <c r="Q87" s="498"/>
      <c r="R87" s="499"/>
      <c r="S87" s="498"/>
      <c r="T87" s="503"/>
      <c r="U87" s="503"/>
      <c r="V87" s="503"/>
      <c r="W87" s="503"/>
      <c r="X87" s="503"/>
      <c r="Y87" s="499"/>
      <c r="Z87" s="506"/>
    </row>
    <row r="88" spans="1:26" x14ac:dyDescent="0.3">
      <c r="A88" s="18"/>
      <c r="B88" s="5" t="s">
        <v>11</v>
      </c>
      <c r="C88" s="42" t="s">
        <v>5</v>
      </c>
      <c r="D88" s="21"/>
      <c r="E88" s="21"/>
      <c r="F88" s="21"/>
      <c r="G88" s="21"/>
      <c r="H88" s="21"/>
      <c r="I88" s="21"/>
      <c r="J88" s="21"/>
      <c r="K88" s="21"/>
      <c r="L88" s="21"/>
      <c r="M88" s="21"/>
      <c r="N88" s="21"/>
      <c r="O88" s="20"/>
      <c r="Q88" s="500"/>
      <c r="R88" s="501"/>
      <c r="S88" s="500"/>
      <c r="T88" s="504"/>
      <c r="U88" s="504"/>
      <c r="V88" s="504"/>
      <c r="W88" s="504"/>
      <c r="X88" s="504"/>
      <c r="Y88" s="501"/>
      <c r="Z88" s="507"/>
    </row>
    <row r="89" spans="1:26" x14ac:dyDescent="0.3">
      <c r="A89" s="18"/>
      <c r="B89" s="5" t="s">
        <v>12</v>
      </c>
      <c r="C89" s="42" t="s">
        <v>299</v>
      </c>
      <c r="D89" s="21"/>
      <c r="E89" s="21"/>
      <c r="F89" s="21"/>
      <c r="G89" s="21"/>
      <c r="H89" s="21"/>
      <c r="I89" s="21"/>
      <c r="J89" s="21"/>
      <c r="K89" s="21"/>
      <c r="L89" s="21"/>
      <c r="M89" s="21"/>
      <c r="N89" s="21"/>
      <c r="O89" s="20"/>
      <c r="Q89" s="496" t="s">
        <v>322</v>
      </c>
      <c r="R89" s="497"/>
      <c r="S89" s="496" t="s">
        <v>993</v>
      </c>
      <c r="T89" s="502"/>
      <c r="U89" s="502"/>
      <c r="V89" s="502"/>
      <c r="W89" s="502"/>
      <c r="X89" s="502"/>
      <c r="Y89" s="497"/>
      <c r="Z89" s="485" t="s">
        <v>326</v>
      </c>
    </row>
    <row r="90" spans="1:26" x14ac:dyDescent="0.3">
      <c r="A90" s="18"/>
      <c r="B90" s="7" t="s">
        <v>24</v>
      </c>
      <c r="C90" s="6" t="str" cm="1">
        <f t="array" ref="C90">_xll.U.SUBSCRIBE(C88,C89)</f>
        <v>U/DESK1/PNL_AND_PRICES2 | 2026-04-14 08:06:26.124</v>
      </c>
      <c r="D90" s="21"/>
      <c r="E90" s="21"/>
      <c r="F90" s="21"/>
      <c r="G90" s="21"/>
      <c r="H90" s="21"/>
      <c r="I90" s="21"/>
      <c r="J90" s="21"/>
      <c r="K90" s="21"/>
      <c r="L90" s="21"/>
      <c r="M90" s="21"/>
      <c r="N90" s="21"/>
      <c r="O90" s="20"/>
      <c r="Q90" s="498"/>
      <c r="R90" s="499"/>
      <c r="S90" s="498"/>
      <c r="T90" s="503"/>
      <c r="U90" s="503"/>
      <c r="V90" s="503"/>
      <c r="W90" s="503"/>
      <c r="X90" s="503"/>
      <c r="Y90" s="499"/>
      <c r="Z90" s="485"/>
    </row>
    <row r="91" spans="1:26" x14ac:dyDescent="0.3">
      <c r="A91" s="18"/>
      <c r="B91" s="21"/>
      <c r="C91" s="21"/>
      <c r="D91" s="21"/>
      <c r="E91" s="21"/>
      <c r="F91" s="21"/>
      <c r="G91" s="21"/>
      <c r="H91" s="21"/>
      <c r="I91" s="21"/>
      <c r="J91" s="21"/>
      <c r="K91" s="21"/>
      <c r="L91" s="21"/>
      <c r="M91" s="21"/>
      <c r="N91" s="21"/>
      <c r="O91" s="20"/>
      <c r="Q91" s="500"/>
      <c r="R91" s="501"/>
      <c r="S91" s="500"/>
      <c r="T91" s="504"/>
      <c r="U91" s="504"/>
      <c r="V91" s="504"/>
      <c r="W91" s="504"/>
      <c r="X91" s="504"/>
      <c r="Y91" s="501"/>
      <c r="Z91" s="485"/>
    </row>
    <row r="92" spans="1:26" x14ac:dyDescent="0.3">
      <c r="A92" s="18"/>
      <c r="B92" s="492" t="s">
        <v>3367</v>
      </c>
      <c r="C92" s="493"/>
      <c r="D92" s="21"/>
      <c r="E92" s="21"/>
      <c r="F92" s="21"/>
      <c r="G92" s="21"/>
      <c r="H92" s="21"/>
      <c r="I92" s="21"/>
      <c r="J92" s="21"/>
      <c r="K92" s="21"/>
      <c r="L92" s="21"/>
      <c r="M92" s="21"/>
      <c r="N92" s="21"/>
      <c r="O92" s="20"/>
      <c r="Q92" s="126" t="s">
        <v>328</v>
      </c>
    </row>
    <row r="93" spans="1:26" ht="15" customHeight="1" x14ac:dyDescent="0.3">
      <c r="A93" s="18"/>
      <c r="B93" s="12" t="str">
        <f t="array" ref="B93:C95">_xll.U.GET(C90,,"MarketPrices")</f>
        <v>Symbol</v>
      </c>
      <c r="C93" s="13" t="str">
        <v>Last Price</v>
      </c>
      <c r="D93" s="21"/>
      <c r="E93" s="21"/>
      <c r="F93" s="21"/>
      <c r="G93" s="21"/>
      <c r="H93" s="21"/>
      <c r="I93" s="21"/>
      <c r="J93" s="21"/>
      <c r="K93" s="21"/>
      <c r="L93" s="21"/>
      <c r="M93" s="21"/>
      <c r="N93" s="21"/>
      <c r="O93" s="20"/>
    </row>
    <row r="94" spans="1:26" x14ac:dyDescent="0.3">
      <c r="A94" s="18"/>
      <c r="B94" s="10" t="str">
        <v>ABC</v>
      </c>
      <c r="C94" s="11">
        <v>123.4</v>
      </c>
      <c r="D94" s="21"/>
      <c r="E94" s="21"/>
      <c r="F94" s="21"/>
      <c r="G94" s="21"/>
      <c r="H94" s="21"/>
      <c r="I94" s="21"/>
      <c r="J94" s="21"/>
      <c r="K94" s="21"/>
      <c r="L94" s="21"/>
      <c r="M94" s="21"/>
      <c r="N94" s="21"/>
      <c r="O94" s="20"/>
    </row>
    <row r="95" spans="1:26" x14ac:dyDescent="0.3">
      <c r="A95" s="18"/>
      <c r="B95" s="10" t="str">
        <v>XYZ</v>
      </c>
      <c r="C95" s="11">
        <v>67.89</v>
      </c>
      <c r="D95" s="21"/>
      <c r="E95" s="21"/>
      <c r="F95" s="21"/>
      <c r="G95" s="21"/>
      <c r="H95" s="21"/>
      <c r="I95" s="21"/>
      <c r="J95" s="21"/>
      <c r="K95" s="21"/>
      <c r="L95" s="21"/>
      <c r="M95" s="21"/>
      <c r="N95" s="21"/>
      <c r="O95" s="20"/>
      <c r="Q95" s="486" t="s">
        <v>3369</v>
      </c>
      <c r="R95" s="486"/>
      <c r="S95" s="486"/>
      <c r="T95" s="486"/>
      <c r="U95" s="486"/>
      <c r="V95" s="486"/>
      <c r="W95" s="486"/>
      <c r="X95" s="486"/>
      <c r="Y95" s="486"/>
      <c r="Z95" s="486"/>
    </row>
    <row r="96" spans="1:26" x14ac:dyDescent="0.3">
      <c r="A96" s="18"/>
      <c r="B96" s="21"/>
      <c r="C96" s="21"/>
      <c r="D96" s="21"/>
      <c r="E96" s="21"/>
      <c r="F96" s="21"/>
      <c r="G96" s="21"/>
      <c r="H96" s="21"/>
      <c r="I96" s="21"/>
      <c r="J96" s="21"/>
      <c r="K96" s="21"/>
      <c r="L96" s="21"/>
      <c r="M96" s="21"/>
      <c r="N96" s="21"/>
      <c r="O96" s="20"/>
      <c r="Q96" s="487" t="s">
        <v>333</v>
      </c>
      <c r="R96" s="487"/>
      <c r="S96" s="487" t="s">
        <v>417</v>
      </c>
      <c r="T96" s="487"/>
      <c r="U96" s="487"/>
      <c r="V96" s="487"/>
      <c r="W96" s="487"/>
      <c r="X96" s="487"/>
      <c r="Y96" s="487"/>
      <c r="Z96" s="487"/>
    </row>
    <row r="97" spans="1:26" ht="15" customHeight="1" x14ac:dyDescent="0.3">
      <c r="A97" s="18"/>
      <c r="B97" s="492" t="s">
        <v>3368</v>
      </c>
      <c r="C97" s="493"/>
      <c r="D97" s="21"/>
      <c r="E97" s="21"/>
      <c r="F97" s="21"/>
      <c r="G97" s="21"/>
      <c r="H97" s="21"/>
      <c r="I97" s="21"/>
      <c r="J97" s="21"/>
      <c r="K97" s="21"/>
      <c r="L97" s="21"/>
      <c r="M97" s="21"/>
      <c r="N97" s="21"/>
      <c r="O97" s="20"/>
      <c r="Q97" s="487"/>
      <c r="R97" s="487"/>
      <c r="S97" s="487"/>
      <c r="T97" s="487"/>
      <c r="U97" s="487"/>
      <c r="V97" s="487"/>
      <c r="W97" s="487"/>
      <c r="X97" s="487"/>
      <c r="Y97" s="487"/>
      <c r="Z97" s="487"/>
    </row>
    <row r="98" spans="1:26" x14ac:dyDescent="0.3">
      <c r="A98" s="18"/>
      <c r="B98" s="12" t="str">
        <f t="array" ref="B98:C100">_xll.U.GET(C90,,"iskm")</f>
        <v>Symbol</v>
      </c>
      <c r="C98" s="13" t="str">
        <v>Delta</v>
      </c>
      <c r="D98" s="21"/>
      <c r="E98" s="21"/>
      <c r="F98" s="21"/>
      <c r="G98" s="21"/>
      <c r="H98" s="21"/>
      <c r="I98" s="21"/>
      <c r="J98" s="21"/>
      <c r="K98" s="21"/>
      <c r="L98" s="21"/>
      <c r="M98" s="21"/>
      <c r="N98" s="21"/>
      <c r="O98" s="20"/>
      <c r="Q98" s="487"/>
      <c r="R98" s="487"/>
      <c r="S98" s="487"/>
      <c r="T98" s="487"/>
      <c r="U98" s="487"/>
      <c r="V98" s="487"/>
      <c r="W98" s="487"/>
      <c r="X98" s="487"/>
      <c r="Y98" s="487"/>
      <c r="Z98" s="487"/>
    </row>
    <row r="99" spans="1:26" x14ac:dyDescent="0.3">
      <c r="A99" s="18"/>
      <c r="B99" s="10" t="str">
        <v>ABC</v>
      </c>
      <c r="C99" s="11">
        <v>2500</v>
      </c>
      <c r="D99" s="21"/>
      <c r="E99" s="21"/>
      <c r="F99" s="21"/>
      <c r="G99" s="21"/>
      <c r="H99" s="21"/>
      <c r="I99" s="21"/>
      <c r="J99" s="21"/>
      <c r="K99" s="21"/>
      <c r="L99" s="21"/>
      <c r="M99" s="21"/>
      <c r="N99" s="21"/>
      <c r="O99" s="20"/>
      <c r="Q99" s="483" t="s">
        <v>323</v>
      </c>
      <c r="R99" s="483"/>
      <c r="S99" s="483" t="s">
        <v>1</v>
      </c>
      <c r="T99" s="483"/>
      <c r="U99" s="483"/>
      <c r="V99" s="483"/>
      <c r="W99" s="483"/>
      <c r="X99" s="483"/>
      <c r="Y99" s="483"/>
      <c r="Z99" s="85" t="s">
        <v>324</v>
      </c>
    </row>
    <row r="100" spans="1:26" ht="15" customHeight="1" x14ac:dyDescent="0.3">
      <c r="A100" s="18"/>
      <c r="B100" s="10" t="str">
        <v>XYZ</v>
      </c>
      <c r="C100" s="11">
        <v>-360</v>
      </c>
      <c r="D100" s="21"/>
      <c r="E100" s="21"/>
      <c r="F100" s="21"/>
      <c r="G100" s="21"/>
      <c r="H100" s="21"/>
      <c r="I100" s="21"/>
      <c r="J100" s="21"/>
      <c r="K100" s="21"/>
      <c r="L100" s="21"/>
      <c r="M100" s="21"/>
      <c r="N100" s="21"/>
      <c r="O100" s="20"/>
      <c r="Q100" s="487" t="s">
        <v>1901</v>
      </c>
      <c r="R100" s="487"/>
      <c r="S100" s="487" t="s">
        <v>3370</v>
      </c>
      <c r="T100" s="487"/>
      <c r="U100" s="487"/>
      <c r="V100" s="487"/>
      <c r="W100" s="487"/>
      <c r="X100" s="487"/>
      <c r="Y100" s="487"/>
      <c r="Z100" s="509" t="s">
        <v>325</v>
      </c>
    </row>
    <row r="101" spans="1:26" x14ac:dyDescent="0.3">
      <c r="A101" s="18"/>
      <c r="B101" s="21"/>
      <c r="C101" s="21"/>
      <c r="D101" s="21"/>
      <c r="E101" s="21"/>
      <c r="F101" s="21"/>
      <c r="G101" s="21"/>
      <c r="H101" s="21"/>
      <c r="I101" s="21"/>
      <c r="J101" s="21"/>
      <c r="K101" s="21"/>
      <c r="L101" s="21"/>
      <c r="M101" s="21"/>
      <c r="N101" s="21"/>
      <c r="O101" s="20"/>
      <c r="Q101" s="487"/>
      <c r="R101" s="487"/>
      <c r="S101" s="487"/>
      <c r="T101" s="487"/>
      <c r="U101" s="487"/>
      <c r="V101" s="487"/>
      <c r="W101" s="487"/>
      <c r="X101" s="487"/>
      <c r="Y101" s="487"/>
      <c r="Z101" s="509"/>
    </row>
    <row r="102" spans="1:26" x14ac:dyDescent="0.3">
      <c r="A102" s="18"/>
      <c r="B102" s="21"/>
      <c r="C102" s="21"/>
      <c r="D102" s="21"/>
      <c r="E102" s="21"/>
      <c r="F102" s="21"/>
      <c r="G102" s="21"/>
      <c r="H102" s="21"/>
      <c r="I102" s="21"/>
      <c r="J102" s="21"/>
      <c r="K102" s="21"/>
      <c r="L102" s="21"/>
      <c r="M102" s="21"/>
      <c r="N102" s="21"/>
      <c r="O102" s="20"/>
      <c r="Q102" s="487"/>
      <c r="R102" s="487"/>
      <c r="S102" s="487"/>
      <c r="T102" s="487"/>
      <c r="U102" s="487"/>
      <c r="V102" s="487"/>
      <c r="W102" s="487"/>
      <c r="X102" s="487"/>
      <c r="Y102" s="487"/>
      <c r="Z102" s="509"/>
    </row>
    <row r="103" spans="1:26" ht="15" customHeight="1" x14ac:dyDescent="0.3">
      <c r="A103" s="18"/>
      <c r="B103" s="21"/>
      <c r="C103" s="21"/>
      <c r="D103" s="21"/>
      <c r="E103" s="21"/>
      <c r="F103" s="21"/>
      <c r="G103" s="21"/>
      <c r="H103" s="21"/>
      <c r="I103" s="21"/>
      <c r="J103" s="21"/>
      <c r="K103" s="21"/>
      <c r="L103" s="21"/>
      <c r="M103" s="21"/>
      <c r="N103" s="21"/>
      <c r="O103" s="20"/>
      <c r="Q103" s="487" t="s">
        <v>319</v>
      </c>
      <c r="R103" s="487"/>
      <c r="S103" s="487" t="s">
        <v>405</v>
      </c>
      <c r="T103" s="487"/>
      <c r="U103" s="487"/>
      <c r="V103" s="487"/>
      <c r="W103" s="487"/>
      <c r="X103" s="487"/>
      <c r="Y103" s="487"/>
      <c r="Z103" s="509" t="s">
        <v>404</v>
      </c>
    </row>
    <row r="104" spans="1:26" x14ac:dyDescent="0.3">
      <c r="A104" s="18"/>
      <c r="B104" s="21"/>
      <c r="C104" s="21"/>
      <c r="D104" s="21"/>
      <c r="E104" s="21"/>
      <c r="F104" s="21"/>
      <c r="G104" s="21"/>
      <c r="H104" s="21"/>
      <c r="I104" s="21"/>
      <c r="J104" s="21"/>
      <c r="K104" s="21"/>
      <c r="L104" s="21"/>
      <c r="M104" s="21"/>
      <c r="N104" s="21"/>
      <c r="O104" s="20"/>
      <c r="Q104" s="487"/>
      <c r="R104" s="487"/>
      <c r="S104" s="487"/>
      <c r="T104" s="487"/>
      <c r="U104" s="487"/>
      <c r="V104" s="487"/>
      <c r="W104" s="487"/>
      <c r="X104" s="487"/>
      <c r="Y104" s="487"/>
      <c r="Z104" s="509"/>
    </row>
    <row r="105" spans="1:26" x14ac:dyDescent="0.3">
      <c r="A105" s="18"/>
      <c r="B105" s="21"/>
      <c r="C105" s="21"/>
      <c r="D105" s="21"/>
      <c r="E105" s="21"/>
      <c r="F105" s="21"/>
      <c r="G105" s="21"/>
      <c r="H105" s="21"/>
      <c r="I105" s="21"/>
      <c r="J105" s="21"/>
      <c r="K105" s="21"/>
      <c r="L105" s="21"/>
      <c r="M105" s="21"/>
      <c r="N105" s="21"/>
      <c r="O105" s="20"/>
      <c r="Q105" s="487"/>
      <c r="R105" s="487"/>
      <c r="S105" s="487"/>
      <c r="T105" s="487"/>
      <c r="U105" s="487"/>
      <c r="V105" s="487"/>
      <c r="W105" s="487"/>
      <c r="X105" s="487"/>
      <c r="Y105" s="487"/>
      <c r="Z105" s="509"/>
    </row>
    <row r="106" spans="1:26" ht="15" customHeight="1" x14ac:dyDescent="0.3">
      <c r="A106" s="18"/>
      <c r="B106" s="21"/>
      <c r="C106" s="21"/>
      <c r="D106" s="21"/>
      <c r="E106" s="21"/>
      <c r="F106" s="21"/>
      <c r="G106" s="21"/>
      <c r="H106" s="21"/>
      <c r="I106" s="21"/>
      <c r="J106" s="21"/>
      <c r="K106" s="21"/>
      <c r="L106" s="21"/>
      <c r="M106" s="21"/>
      <c r="N106" s="21"/>
      <c r="O106" s="20"/>
      <c r="Q106" s="484" t="s">
        <v>414</v>
      </c>
      <c r="R106" s="484"/>
      <c r="S106" s="484" t="s">
        <v>416</v>
      </c>
      <c r="T106" s="484"/>
      <c r="U106" s="484"/>
      <c r="V106" s="484"/>
      <c r="W106" s="484"/>
      <c r="X106" s="484"/>
      <c r="Y106" s="484"/>
      <c r="Z106" s="485" t="s">
        <v>326</v>
      </c>
    </row>
    <row r="107" spans="1:26" x14ac:dyDescent="0.3">
      <c r="A107" s="490" t="s">
        <v>46</v>
      </c>
      <c r="B107" s="491"/>
      <c r="C107" s="491"/>
      <c r="D107" s="491"/>
      <c r="E107" s="491"/>
      <c r="F107" s="491"/>
      <c r="G107" s="491"/>
      <c r="H107" s="491"/>
      <c r="I107" s="491"/>
      <c r="J107" s="491"/>
      <c r="K107" s="491"/>
      <c r="L107" s="491"/>
      <c r="M107" s="491"/>
      <c r="N107" s="21"/>
      <c r="O107" s="20"/>
      <c r="Q107" s="484"/>
      <c r="R107" s="484"/>
      <c r="S107" s="484"/>
      <c r="T107" s="484"/>
      <c r="U107" s="484"/>
      <c r="V107" s="484"/>
      <c r="W107" s="484"/>
      <c r="X107" s="484"/>
      <c r="Y107" s="484"/>
      <c r="Z107" s="485"/>
    </row>
    <row r="108" spans="1:26" x14ac:dyDescent="0.3">
      <c r="A108" s="18"/>
      <c r="B108" s="21"/>
      <c r="C108" s="21"/>
      <c r="D108" s="21"/>
      <c r="E108" s="21"/>
      <c r="F108" s="21"/>
      <c r="G108" s="21"/>
      <c r="H108" s="21"/>
      <c r="I108" s="21"/>
      <c r="J108" s="21"/>
      <c r="K108" s="21"/>
      <c r="L108" s="21"/>
      <c r="M108" s="21"/>
      <c r="N108" s="21"/>
      <c r="O108" s="20"/>
      <c r="Q108" s="484"/>
      <c r="R108" s="484"/>
      <c r="S108" s="484"/>
      <c r="T108" s="484"/>
      <c r="U108" s="484"/>
      <c r="V108" s="484"/>
      <c r="W108" s="484"/>
      <c r="X108" s="484"/>
      <c r="Y108" s="484"/>
      <c r="Z108" s="485"/>
    </row>
    <row r="109" spans="1:26" x14ac:dyDescent="0.3">
      <c r="A109" s="18"/>
      <c r="B109" s="21"/>
      <c r="C109" s="21"/>
      <c r="D109" s="21"/>
      <c r="E109" s="21"/>
      <c r="F109" s="21"/>
      <c r="G109" s="21"/>
      <c r="H109" s="21"/>
      <c r="I109" s="21"/>
      <c r="J109" s="21"/>
      <c r="K109" s="21"/>
      <c r="L109" s="21"/>
      <c r="M109" s="21"/>
      <c r="N109" s="21"/>
      <c r="O109" s="20"/>
      <c r="Q109" s="484" t="s">
        <v>415</v>
      </c>
      <c r="R109" s="484"/>
      <c r="S109" s="484" t="s">
        <v>1349</v>
      </c>
      <c r="T109" s="484"/>
      <c r="U109" s="484"/>
      <c r="V109" s="484"/>
      <c r="W109" s="484"/>
      <c r="X109" s="484"/>
      <c r="Y109" s="484"/>
      <c r="Z109" s="485" t="s">
        <v>326</v>
      </c>
    </row>
    <row r="110" spans="1:26" x14ac:dyDescent="0.3">
      <c r="A110" s="18"/>
      <c r="B110" s="5" t="s">
        <v>11</v>
      </c>
      <c r="C110" s="42" t="s">
        <v>21</v>
      </c>
      <c r="D110" s="21"/>
      <c r="E110" s="21"/>
      <c r="F110" s="21"/>
      <c r="G110" s="21"/>
      <c r="H110" s="21"/>
      <c r="I110" s="21"/>
      <c r="J110" s="21"/>
      <c r="K110" s="21"/>
      <c r="L110" s="21"/>
      <c r="M110" s="21"/>
      <c r="N110" s="21"/>
      <c r="O110" s="20"/>
      <c r="Q110" s="484"/>
      <c r="R110" s="484"/>
      <c r="S110" s="484"/>
      <c r="T110" s="484"/>
      <c r="U110" s="484"/>
      <c r="V110" s="484"/>
      <c r="W110" s="484"/>
      <c r="X110" s="484"/>
      <c r="Y110" s="484"/>
      <c r="Z110" s="485"/>
    </row>
    <row r="111" spans="1:26" x14ac:dyDescent="0.3">
      <c r="A111" s="18"/>
      <c r="B111" s="5" t="s">
        <v>12</v>
      </c>
      <c r="C111" s="42" t="s">
        <v>6</v>
      </c>
      <c r="D111" s="21"/>
      <c r="E111" s="21"/>
      <c r="F111" s="21"/>
      <c r="G111" s="21"/>
      <c r="H111" s="21"/>
      <c r="I111" s="21"/>
      <c r="J111" s="21"/>
      <c r="K111" s="21"/>
      <c r="L111" s="21"/>
      <c r="M111" s="21"/>
      <c r="N111" s="21"/>
      <c r="O111" s="20"/>
      <c r="Q111" s="484"/>
      <c r="R111" s="484"/>
      <c r="S111" s="484"/>
      <c r="T111" s="484"/>
      <c r="U111" s="484"/>
      <c r="V111" s="484"/>
      <c r="W111" s="484"/>
      <c r="X111" s="484"/>
      <c r="Y111" s="484"/>
      <c r="Z111" s="485"/>
    </row>
    <row r="112" spans="1:26" x14ac:dyDescent="0.3">
      <c r="A112" s="18"/>
      <c r="B112" s="7" t="s">
        <v>24</v>
      </c>
      <c r="C112" s="6" t="str" cm="1">
        <f t="array" ref="C112">_xll.U.SUBSCRIBE(C110,C111)</f>
        <v>U/DESK2/PNL | 2026-04-19 14:17:39.885</v>
      </c>
      <c r="D112" s="21"/>
      <c r="E112" s="21"/>
      <c r="F112" s="21"/>
      <c r="G112" s="21"/>
      <c r="H112" s="21"/>
      <c r="I112" s="21"/>
      <c r="J112" s="21"/>
      <c r="K112" s="21"/>
      <c r="L112" s="21"/>
      <c r="M112" s="21"/>
      <c r="N112" s="21"/>
      <c r="O112" s="20"/>
      <c r="Q112" s="484" t="s">
        <v>321</v>
      </c>
      <c r="R112" s="484"/>
      <c r="S112" s="484" t="s">
        <v>3832</v>
      </c>
      <c r="T112" s="484"/>
      <c r="U112" s="484"/>
      <c r="V112" s="484"/>
      <c r="W112" s="484"/>
      <c r="X112" s="484"/>
      <c r="Y112" s="484"/>
      <c r="Z112" s="485" t="s">
        <v>326</v>
      </c>
    </row>
    <row r="113" spans="1:26" x14ac:dyDescent="0.3">
      <c r="A113" s="18"/>
      <c r="B113" s="21"/>
      <c r="C113" s="21"/>
      <c r="D113" s="21"/>
      <c r="E113" s="21"/>
      <c r="F113" s="21"/>
      <c r="G113" s="21"/>
      <c r="H113" s="21"/>
      <c r="I113" s="21"/>
      <c r="J113" s="21"/>
      <c r="K113" s="21"/>
      <c r="L113" s="21"/>
      <c r="M113" s="21"/>
      <c r="N113" s="21"/>
      <c r="O113" s="20"/>
      <c r="Q113" s="484"/>
      <c r="R113" s="484"/>
      <c r="S113" s="484"/>
      <c r="T113" s="484"/>
      <c r="U113" s="484"/>
      <c r="V113" s="484"/>
      <c r="W113" s="484"/>
      <c r="X113" s="484"/>
      <c r="Y113" s="484"/>
      <c r="Z113" s="485"/>
    </row>
    <row r="114" spans="1:26" x14ac:dyDescent="0.3">
      <c r="A114" s="18"/>
      <c r="B114" s="475" t="s">
        <v>3369</v>
      </c>
      <c r="C114" s="475"/>
      <c r="D114" s="475"/>
      <c r="E114" s="21"/>
      <c r="F114" s="21"/>
      <c r="G114" s="21"/>
      <c r="H114" s="21"/>
      <c r="I114" s="21"/>
      <c r="J114" s="21"/>
      <c r="K114" s="21"/>
      <c r="L114" s="21"/>
      <c r="M114" s="21"/>
      <c r="N114" s="21"/>
      <c r="O114" s="20"/>
      <c r="Q114" s="484"/>
      <c r="R114" s="484"/>
      <c r="S114" s="484"/>
      <c r="T114" s="484"/>
      <c r="U114" s="484"/>
      <c r="V114" s="484"/>
      <c r="W114" s="484"/>
      <c r="X114" s="484"/>
      <c r="Y114" s="484"/>
      <c r="Z114" s="485"/>
    </row>
    <row r="115" spans="1:26" x14ac:dyDescent="0.3">
      <c r="A115" s="18"/>
      <c r="B115" s="10" t="str">
        <f t="array" ref="B115:D130">_xll.U.GET_METADATA(C112)</f>
        <v>IS FINAL</v>
      </c>
      <c r="C115" s="10" t="str">
        <v>False</v>
      </c>
      <c r="D115" s="10" t="str">
        <v>Boolean</v>
      </c>
      <c r="E115" s="21"/>
      <c r="F115" s="21"/>
      <c r="G115" s="21"/>
      <c r="H115" s="21"/>
      <c r="I115" s="21"/>
      <c r="J115" s="21"/>
      <c r="K115" s="21"/>
      <c r="L115" s="21"/>
      <c r="M115" s="21"/>
      <c r="N115" s="21"/>
      <c r="O115" s="20"/>
      <c r="Q115" s="484" t="s">
        <v>322</v>
      </c>
      <c r="R115" s="484"/>
      <c r="S115" s="484" t="s">
        <v>993</v>
      </c>
      <c r="T115" s="484"/>
      <c r="U115" s="484"/>
      <c r="V115" s="484"/>
      <c r="W115" s="484"/>
      <c r="X115" s="484"/>
      <c r="Y115" s="484"/>
      <c r="Z115" s="485" t="s">
        <v>326</v>
      </c>
    </row>
    <row r="116" spans="1:26" x14ac:dyDescent="0.3">
      <c r="A116" s="18"/>
      <c r="B116" s="10" t="str">
        <v>LIMIT BREACHED</v>
      </c>
      <c r="C116" s="10" t="str">
        <v>True</v>
      </c>
      <c r="D116" s="10" t="str">
        <v>Boolean</v>
      </c>
      <c r="E116" s="21"/>
      <c r="F116" s="21"/>
      <c r="G116" s="21"/>
      <c r="H116" s="21"/>
      <c r="I116" s="21"/>
      <c r="J116" s="21"/>
      <c r="K116" s="21"/>
      <c r="L116" s="21"/>
      <c r="M116" s="21"/>
      <c r="N116" s="21"/>
      <c r="O116" s="20"/>
      <c r="Q116" s="484"/>
      <c r="R116" s="484"/>
      <c r="S116" s="484"/>
      <c r="T116" s="484"/>
      <c r="U116" s="484"/>
      <c r="V116" s="484"/>
      <c r="W116" s="484"/>
      <c r="X116" s="484"/>
      <c r="Y116" s="484"/>
      <c r="Z116" s="485"/>
    </row>
    <row r="117" spans="1:26" x14ac:dyDescent="0.3">
      <c r="A117" s="18"/>
      <c r="B117" s="10" t="str">
        <v>REVIEWER</v>
      </c>
      <c r="C117" s="10" t="str">
        <v>Tom Smith</v>
      </c>
      <c r="D117" s="10" t="str">
        <v>String</v>
      </c>
      <c r="E117" s="21"/>
      <c r="F117" s="21"/>
      <c r="G117" s="21"/>
      <c r="H117" s="21"/>
      <c r="I117" s="21"/>
      <c r="J117" s="21"/>
      <c r="K117" s="21"/>
      <c r="L117" s="21"/>
      <c r="M117" s="21"/>
      <c r="N117" s="21"/>
      <c r="O117" s="20"/>
      <c r="Q117" s="484"/>
      <c r="R117" s="484"/>
      <c r="S117" s="484"/>
      <c r="T117" s="484"/>
      <c r="U117" s="484"/>
      <c r="V117" s="484"/>
      <c r="W117" s="484"/>
      <c r="X117" s="484"/>
      <c r="Y117" s="484"/>
      <c r="Z117" s="485"/>
    </row>
    <row r="118" spans="1:26" x14ac:dyDescent="0.3">
      <c r="A118" s="18"/>
      <c r="B118" s="10" t="str">
        <v>U:PAGE_1_NUM_COLUMNS</v>
      </c>
      <c r="C118" s="10" t="str">
        <v>2</v>
      </c>
      <c r="D118" s="10" t="str">
        <v>Number</v>
      </c>
      <c r="E118" s="21"/>
      <c r="F118" s="21"/>
      <c r="G118" s="21"/>
      <c r="H118" s="21"/>
      <c r="I118" s="21"/>
      <c r="J118" s="21"/>
      <c r="K118" s="21"/>
      <c r="L118" s="21"/>
      <c r="M118" s="21"/>
      <c r="N118" s="21"/>
      <c r="O118" s="20"/>
      <c r="Q118" s="126" t="s">
        <v>328</v>
      </c>
    </row>
    <row r="119" spans="1:26" x14ac:dyDescent="0.3">
      <c r="A119" s="18"/>
      <c r="B119" s="10" t="str">
        <v>U:PAGE_1_NUM_ROWS</v>
      </c>
      <c r="C119" s="10" t="str">
        <v>3</v>
      </c>
      <c r="D119" s="10" t="str">
        <v>Number</v>
      </c>
      <c r="E119" s="21"/>
      <c r="F119" s="21"/>
      <c r="G119" s="21"/>
      <c r="H119" s="21"/>
      <c r="I119" s="21"/>
      <c r="J119" s="21"/>
      <c r="K119" s="21"/>
      <c r="L119" s="21"/>
      <c r="M119" s="21"/>
      <c r="N119" s="21"/>
      <c r="O119" s="20"/>
    </row>
    <row r="120" spans="1:26" x14ac:dyDescent="0.3">
      <c r="A120" s="18"/>
      <c r="B120" s="10" t="str">
        <v>U:PUBLISH_TIME_UTC</v>
      </c>
      <c r="C120" s="10" t="str">
        <v>2026-04-19T18:17:39.821Z</v>
      </c>
      <c r="D120" s="10" t="str">
        <v>DateTime_Iso8601</v>
      </c>
      <c r="E120" s="21"/>
      <c r="F120" s="21"/>
      <c r="G120" s="21"/>
      <c r="H120" s="21"/>
      <c r="I120" s="21"/>
      <c r="J120" s="21"/>
      <c r="K120" s="21"/>
      <c r="L120" s="21"/>
      <c r="M120" s="21"/>
      <c r="N120" s="21"/>
      <c r="O120" s="20"/>
    </row>
    <row r="121" spans="1:26" x14ac:dyDescent="0.3">
      <c r="A121" s="18"/>
      <c r="B121" s="10" t="str">
        <v>U:PUBLISHER_APP</v>
      </c>
      <c r="C121" s="14" t="str">
        <v>Runline.U.AddIn-x64</v>
      </c>
      <c r="D121" s="10" t="str">
        <v>String</v>
      </c>
      <c r="E121" s="21"/>
      <c r="F121" s="21"/>
      <c r="G121" s="21"/>
      <c r="H121" s="21"/>
      <c r="I121" s="21"/>
      <c r="J121" s="21"/>
      <c r="K121" s="21"/>
      <c r="L121" s="21"/>
      <c r="M121" s="21"/>
      <c r="N121" s="21"/>
      <c r="O121" s="20"/>
      <c r="Q121" s="486" t="s">
        <v>3371</v>
      </c>
      <c r="R121" s="486"/>
      <c r="S121" s="486"/>
      <c r="T121" s="486"/>
      <c r="U121" s="486"/>
      <c r="V121" s="486"/>
      <c r="W121" s="486"/>
      <c r="X121" s="486"/>
      <c r="Y121" s="486"/>
      <c r="Z121" s="486"/>
    </row>
    <row r="122" spans="1:26" x14ac:dyDescent="0.3">
      <c r="A122" s="18"/>
      <c r="B122" s="10" t="str">
        <v>U:PUBLISHER_APP_VERSION</v>
      </c>
      <c r="C122" s="10" t="str">
        <v>0.0.37.0</v>
      </c>
      <c r="D122" s="10" t="str">
        <v>String</v>
      </c>
      <c r="E122" s="21"/>
      <c r="F122" s="21"/>
      <c r="G122" s="21"/>
      <c r="H122" s="21"/>
      <c r="I122" s="21"/>
      <c r="J122" s="21"/>
      <c r="K122" s="21"/>
      <c r="L122" s="21"/>
      <c r="M122" s="21"/>
      <c r="N122" s="21"/>
      <c r="O122" s="20"/>
      <c r="Q122" s="487" t="s">
        <v>333</v>
      </c>
      <c r="R122" s="487"/>
      <c r="S122" s="487" t="s">
        <v>430</v>
      </c>
      <c r="T122" s="487"/>
      <c r="U122" s="487"/>
      <c r="V122" s="487"/>
      <c r="W122" s="487"/>
      <c r="X122" s="487"/>
      <c r="Y122" s="487"/>
      <c r="Z122" s="487"/>
    </row>
    <row r="123" spans="1:26" x14ac:dyDescent="0.3">
      <c r="A123" s="18"/>
      <c r="B123" s="10" t="str">
        <v>U:PUBLISHER_ENTITY</v>
      </c>
      <c r="C123" s="10" t="str">
        <v>U</v>
      </c>
      <c r="D123" s="10" t="str">
        <v>String</v>
      </c>
      <c r="E123" s="21"/>
      <c r="F123" s="21"/>
      <c r="G123" s="21"/>
      <c r="H123" s="21"/>
      <c r="I123" s="21"/>
      <c r="J123" s="21"/>
      <c r="K123" s="21"/>
      <c r="L123" s="21"/>
      <c r="M123" s="21"/>
      <c r="N123" s="21"/>
      <c r="O123" s="20"/>
      <c r="Q123" s="487"/>
      <c r="R123" s="487"/>
      <c r="S123" s="487"/>
      <c r="T123" s="487"/>
      <c r="U123" s="487"/>
      <c r="V123" s="487"/>
      <c r="W123" s="487"/>
      <c r="X123" s="487"/>
      <c r="Y123" s="487"/>
      <c r="Z123" s="487"/>
    </row>
    <row r="124" spans="1:26" x14ac:dyDescent="0.3">
      <c r="A124" s="18"/>
      <c r="B124" s="10" t="str">
        <v>U:PUBLISHER_EXCEL_SOURCE</v>
      </c>
      <c r="C124" s="10" t="str">
        <v>[U_UsageExamples.xlsx]PUBLISH!F54</v>
      </c>
      <c r="D124" s="10" t="str">
        <v>String</v>
      </c>
      <c r="E124" s="21"/>
      <c r="F124" s="21"/>
      <c r="G124" s="21"/>
      <c r="H124" s="21"/>
      <c r="I124" s="21"/>
      <c r="J124" s="21"/>
      <c r="K124" s="21"/>
      <c r="L124" s="21"/>
      <c r="M124" s="21"/>
      <c r="N124" s="21"/>
      <c r="O124" s="20"/>
      <c r="Q124" s="487"/>
      <c r="R124" s="487"/>
      <c r="S124" s="487"/>
      <c r="T124" s="487"/>
      <c r="U124" s="487"/>
      <c r="V124" s="487"/>
      <c r="W124" s="487"/>
      <c r="X124" s="487"/>
      <c r="Y124" s="487"/>
      <c r="Z124" s="487"/>
    </row>
    <row r="125" spans="1:26" x14ac:dyDescent="0.3">
      <c r="A125" s="18"/>
      <c r="B125" s="10" t="str">
        <v>U:PUBLISHER_EXCEL_VERSION</v>
      </c>
      <c r="C125" s="10" t="str">
        <v>16.0 19822 (x64)</v>
      </c>
      <c r="D125" s="10" t="str">
        <v>String</v>
      </c>
      <c r="E125" s="21"/>
      <c r="F125" s="21"/>
      <c r="G125" s="21"/>
      <c r="H125" s="21"/>
      <c r="I125" s="21"/>
      <c r="J125" s="21"/>
      <c r="K125" s="21"/>
      <c r="L125" s="21"/>
      <c r="M125" s="21"/>
      <c r="N125" s="21"/>
      <c r="O125" s="20"/>
      <c r="Q125" s="483" t="s">
        <v>323</v>
      </c>
      <c r="R125" s="483"/>
      <c r="S125" s="483" t="s">
        <v>1</v>
      </c>
      <c r="T125" s="483"/>
      <c r="U125" s="483"/>
      <c r="V125" s="483"/>
      <c r="W125" s="483"/>
      <c r="X125" s="483"/>
      <c r="Y125" s="483"/>
      <c r="Z125" s="85" t="s">
        <v>324</v>
      </c>
    </row>
    <row r="126" spans="1:26" x14ac:dyDescent="0.3">
      <c r="A126" s="18"/>
      <c r="B126" s="10" t="str">
        <v>U:PUBLISHER_MACHINE</v>
      </c>
      <c r="C126" s="10" t="str">
        <v>DESKTOP-U4LCAN8</v>
      </c>
      <c r="D126" s="10" t="str">
        <v>String</v>
      </c>
      <c r="E126" s="21"/>
      <c r="F126" s="21"/>
      <c r="G126" s="21"/>
      <c r="H126" s="21"/>
      <c r="I126" s="21"/>
      <c r="J126" s="21"/>
      <c r="K126" s="21"/>
      <c r="L126" s="21"/>
      <c r="M126" s="21"/>
      <c r="N126" s="21"/>
      <c r="O126" s="20"/>
      <c r="Q126" s="516" t="s">
        <v>431</v>
      </c>
      <c r="R126" s="517"/>
      <c r="S126" s="517"/>
      <c r="T126" s="517"/>
      <c r="U126" s="517"/>
      <c r="V126" s="517"/>
      <c r="W126" s="517"/>
      <c r="X126" s="517"/>
      <c r="Y126" s="517"/>
      <c r="Z126" s="518"/>
    </row>
    <row r="127" spans="1:26" x14ac:dyDescent="0.3">
      <c r="A127" s="18"/>
      <c r="B127" s="10" t="str">
        <v>U:PUBLISHER_OPERATING_SYSTEM</v>
      </c>
      <c r="C127" s="10" t="str">
        <v>Microsoft Windows NT 10.0.26200.0 (x64)</v>
      </c>
      <c r="D127" s="10" t="str">
        <v>String</v>
      </c>
      <c r="E127" s="21"/>
      <c r="F127" s="21"/>
      <c r="G127" s="21"/>
      <c r="H127" s="21"/>
      <c r="I127" s="21"/>
      <c r="J127" s="21"/>
      <c r="K127" s="21"/>
      <c r="L127" s="21"/>
      <c r="M127" s="21"/>
      <c r="N127" s="21"/>
      <c r="O127" s="20"/>
    </row>
    <row r="128" spans="1:26" x14ac:dyDescent="0.3">
      <c r="A128" s="18"/>
      <c r="B128" s="10" t="str">
        <v>U:PUBLISHER_PROCESS_ID</v>
      </c>
      <c r="C128" s="10" t="str">
        <v>33856</v>
      </c>
      <c r="D128" s="10" t="str">
        <v>Number</v>
      </c>
      <c r="E128" s="21"/>
      <c r="F128" s="21"/>
      <c r="G128" s="21"/>
      <c r="H128" s="21"/>
      <c r="I128" s="21"/>
      <c r="J128" s="21"/>
      <c r="K128" s="21"/>
      <c r="L128" s="21"/>
      <c r="M128" s="21"/>
      <c r="N128" s="21"/>
      <c r="O128" s="20"/>
    </row>
    <row r="129" spans="1:15" x14ac:dyDescent="0.3">
      <c r="A129" s="18"/>
      <c r="B129" s="10" t="str">
        <v>U:PUBLISHER_USERNAME</v>
      </c>
      <c r="C129" s="10" t="str">
        <v>bpierce</v>
      </c>
      <c r="D129" s="10" t="str">
        <v>String</v>
      </c>
      <c r="E129" s="21"/>
      <c r="F129" s="21"/>
      <c r="G129" s="21"/>
      <c r="H129" s="21"/>
      <c r="I129" s="21"/>
      <c r="J129" s="21"/>
      <c r="K129" s="21"/>
      <c r="L129" s="21"/>
      <c r="M129" s="21"/>
      <c r="N129" s="21"/>
      <c r="O129" s="20"/>
    </row>
    <row r="130" spans="1:15" x14ac:dyDescent="0.3">
      <c r="A130" s="18"/>
      <c r="B130" s="10" t="str">
        <v>U:PUBLISHER_USERNAME_AUTHENTICATED</v>
      </c>
      <c r="C130" s="10" t="str">
        <v>True</v>
      </c>
      <c r="D130" s="10" t="str">
        <v>Boolean</v>
      </c>
      <c r="E130" s="21"/>
      <c r="F130" s="21"/>
      <c r="G130" s="21"/>
      <c r="H130" s="21"/>
      <c r="I130" s="21"/>
      <c r="J130" s="21"/>
      <c r="K130" s="21"/>
      <c r="L130" s="21"/>
      <c r="M130" s="21"/>
      <c r="N130" s="21"/>
      <c r="O130" s="20"/>
    </row>
    <row r="131" spans="1:15" x14ac:dyDescent="0.3">
      <c r="A131" s="18"/>
      <c r="B131" s="21"/>
      <c r="C131" s="21"/>
      <c r="D131" s="21"/>
      <c r="E131" s="21"/>
      <c r="F131" s="21"/>
      <c r="G131" s="21"/>
      <c r="H131" s="21"/>
      <c r="I131" s="21"/>
      <c r="J131" s="21"/>
      <c r="K131" s="21"/>
      <c r="L131" s="21"/>
      <c r="M131" s="21"/>
      <c r="N131" s="21"/>
      <c r="O131" s="20"/>
    </row>
    <row r="132" spans="1:15" x14ac:dyDescent="0.3">
      <c r="A132" s="18"/>
      <c r="B132" s="21"/>
      <c r="C132" s="21"/>
      <c r="D132" s="21"/>
      <c r="E132" s="21"/>
      <c r="F132" s="21"/>
      <c r="G132" s="21"/>
      <c r="H132" s="21"/>
      <c r="I132" s="21"/>
      <c r="J132" s="21"/>
      <c r="K132" s="21"/>
      <c r="L132" s="21"/>
      <c r="M132" s="21"/>
      <c r="N132" s="21"/>
      <c r="O132" s="20"/>
    </row>
    <row r="133" spans="1:15" x14ac:dyDescent="0.3">
      <c r="A133" s="18"/>
      <c r="B133" s="21"/>
      <c r="C133" s="21"/>
      <c r="D133" s="21"/>
      <c r="E133" s="21"/>
      <c r="F133" s="21"/>
      <c r="G133" s="21"/>
      <c r="H133" s="21"/>
      <c r="I133" s="21"/>
      <c r="J133" s="21"/>
      <c r="K133" s="21"/>
      <c r="L133" s="21"/>
      <c r="M133" s="21"/>
      <c r="N133" s="21"/>
      <c r="O133" s="20"/>
    </row>
    <row r="134" spans="1:15" x14ac:dyDescent="0.3">
      <c r="A134" s="18"/>
      <c r="B134" s="21"/>
      <c r="C134" s="21"/>
      <c r="D134" s="21"/>
      <c r="E134" s="21"/>
      <c r="F134" s="21"/>
      <c r="G134" s="21"/>
      <c r="H134" s="21"/>
      <c r="I134" s="21"/>
      <c r="J134" s="21"/>
      <c r="K134" s="21"/>
      <c r="L134" s="21"/>
      <c r="M134" s="21"/>
      <c r="N134" s="21"/>
      <c r="O134" s="20"/>
    </row>
    <row r="135" spans="1:15" x14ac:dyDescent="0.3">
      <c r="A135" s="18"/>
      <c r="B135" s="5" t="s">
        <v>15</v>
      </c>
      <c r="C135" s="42" t="s">
        <v>27</v>
      </c>
      <c r="D135" s="21"/>
      <c r="E135" s="21"/>
      <c r="F135" s="21"/>
      <c r="G135" s="21"/>
      <c r="H135" s="21"/>
      <c r="I135" s="21"/>
      <c r="J135" s="21"/>
      <c r="K135" s="21"/>
      <c r="L135" s="21"/>
      <c r="M135" s="21"/>
      <c r="N135" s="21"/>
      <c r="O135" s="20"/>
    </row>
    <row r="136" spans="1:15" x14ac:dyDescent="0.3">
      <c r="A136" s="18"/>
      <c r="B136" s="7" t="s">
        <v>26</v>
      </c>
      <c r="C136" s="14" t="e" cm="1">
        <f t="array" ref="C136">_xll.U.GET_METADATA(C112,,C135)</f>
        <v>#NUM!</v>
      </c>
      <c r="D136" s="21"/>
      <c r="E136" s="21"/>
      <c r="F136" s="21"/>
      <c r="G136" s="21"/>
      <c r="H136" s="21"/>
      <c r="I136" s="21"/>
      <c r="J136" s="21"/>
      <c r="K136" s="21"/>
      <c r="L136" s="21"/>
      <c r="M136" s="21"/>
      <c r="N136" s="21"/>
      <c r="O136" s="20"/>
    </row>
    <row r="137" spans="1:15" x14ac:dyDescent="0.3">
      <c r="A137" s="18"/>
      <c r="B137" s="21"/>
      <c r="C137" s="21"/>
      <c r="D137" s="21"/>
      <c r="E137" s="21"/>
      <c r="F137" s="21"/>
      <c r="G137" s="21"/>
      <c r="H137" s="21"/>
      <c r="I137" s="21"/>
      <c r="J137" s="21"/>
      <c r="K137" s="21"/>
      <c r="L137" s="21"/>
      <c r="M137" s="21"/>
      <c r="N137" s="21"/>
      <c r="O137" s="20"/>
    </row>
    <row r="138" spans="1:15" x14ac:dyDescent="0.3">
      <c r="A138" s="18"/>
      <c r="B138" s="21"/>
      <c r="C138" s="21"/>
      <c r="D138" s="21"/>
      <c r="E138" s="21"/>
      <c r="F138" s="21"/>
      <c r="G138" s="21"/>
      <c r="H138" s="21"/>
      <c r="I138" s="21"/>
      <c r="J138" s="21"/>
      <c r="K138" s="21"/>
      <c r="L138" s="21"/>
      <c r="M138" s="21"/>
      <c r="N138" s="21"/>
      <c r="O138" s="20"/>
    </row>
    <row r="139" spans="1:15" x14ac:dyDescent="0.3">
      <c r="A139" s="18"/>
      <c r="B139" s="7" t="s">
        <v>26</v>
      </c>
      <c r="C139" s="14" t="e" cm="1">
        <f t="array" ref="C139">_xll.U.GET_METADATA(C112,,C135,TRUE)</f>
        <v>#NUM!</v>
      </c>
      <c r="D139" s="21"/>
      <c r="E139" s="21"/>
      <c r="F139" s="21"/>
      <c r="G139" s="21"/>
      <c r="H139" s="21"/>
      <c r="I139" s="21"/>
      <c r="J139" s="21"/>
      <c r="K139" s="21"/>
      <c r="L139" s="21"/>
      <c r="M139" s="21"/>
      <c r="N139" s="21"/>
      <c r="O139" s="20"/>
    </row>
    <row r="140" spans="1:15" x14ac:dyDescent="0.3">
      <c r="A140" s="18"/>
      <c r="B140" s="21"/>
      <c r="C140" s="21"/>
      <c r="D140" s="21"/>
      <c r="E140" s="21"/>
      <c r="F140" s="21"/>
      <c r="G140" s="21"/>
      <c r="H140" s="21"/>
      <c r="I140" s="21"/>
      <c r="J140" s="21"/>
      <c r="K140" s="21"/>
      <c r="L140" s="21"/>
      <c r="M140" s="21"/>
      <c r="N140" s="21"/>
      <c r="O140" s="20"/>
    </row>
    <row r="141" spans="1:15" x14ac:dyDescent="0.3">
      <c r="A141" s="18"/>
      <c r="B141" s="7" t="s">
        <v>26</v>
      </c>
      <c r="C141" s="14" t="e">
        <f t="array" ref="C141:D141">_xll.U.GET_METADATA(C112,,C135,{TRUE,TRUE})</f>
        <v>#NUM!</v>
      </c>
      <c r="D141" s="14" t="e">
        <v>#NUM!</v>
      </c>
      <c r="E141" s="21"/>
      <c r="F141" s="21"/>
      <c r="G141" s="21"/>
      <c r="H141" s="21"/>
      <c r="I141" s="21"/>
      <c r="J141" s="21"/>
      <c r="K141" s="21"/>
      <c r="L141" s="21"/>
      <c r="M141" s="21"/>
      <c r="N141" s="21"/>
      <c r="O141" s="20"/>
    </row>
    <row r="142" spans="1:15" x14ac:dyDescent="0.3">
      <c r="A142" s="18"/>
      <c r="B142" s="21"/>
      <c r="C142" s="21"/>
      <c r="D142" s="21"/>
      <c r="E142" s="21"/>
      <c r="F142" s="21"/>
      <c r="G142" s="21"/>
      <c r="H142" s="21"/>
      <c r="I142" s="21"/>
      <c r="J142" s="21"/>
      <c r="K142" s="21"/>
      <c r="L142" s="21"/>
      <c r="M142" s="21"/>
      <c r="N142" s="21"/>
      <c r="O142" s="20"/>
    </row>
    <row r="143" spans="1:15" x14ac:dyDescent="0.3">
      <c r="A143" s="18"/>
      <c r="B143" s="21"/>
      <c r="C143" s="21"/>
      <c r="D143" s="21"/>
      <c r="E143" s="21"/>
      <c r="F143" s="21"/>
      <c r="G143" s="21"/>
      <c r="H143" s="21"/>
      <c r="I143" s="21"/>
      <c r="J143" s="21"/>
      <c r="K143" s="21"/>
      <c r="L143" s="21"/>
      <c r="M143" s="21"/>
      <c r="N143" s="21"/>
      <c r="O143" s="20"/>
    </row>
    <row r="144" spans="1:15" x14ac:dyDescent="0.3">
      <c r="A144" s="18"/>
      <c r="B144" s="5" t="s">
        <v>11</v>
      </c>
      <c r="C144" s="42" t="s">
        <v>5</v>
      </c>
      <c r="D144" s="21"/>
      <c r="E144" s="21"/>
      <c r="F144" s="21"/>
      <c r="G144" s="21"/>
      <c r="H144" s="21"/>
      <c r="I144" s="21"/>
      <c r="J144" s="21"/>
      <c r="K144" s="21"/>
      <c r="L144" s="21"/>
      <c r="M144" s="21"/>
      <c r="N144" s="21"/>
      <c r="O144" s="20"/>
    </row>
    <row r="145" spans="1:15" x14ac:dyDescent="0.3">
      <c r="A145" s="18"/>
      <c r="B145" s="5" t="s">
        <v>12</v>
      </c>
      <c r="C145" s="42" t="s">
        <v>23</v>
      </c>
      <c r="D145" s="21"/>
      <c r="E145" s="21"/>
      <c r="F145" s="21"/>
      <c r="G145" s="21"/>
      <c r="H145" s="21"/>
      <c r="I145" s="21"/>
      <c r="J145" s="21"/>
      <c r="K145" s="21"/>
      <c r="L145" s="21"/>
      <c r="M145" s="21"/>
      <c r="N145" s="21"/>
      <c r="O145" s="20"/>
    </row>
    <row r="146" spans="1:15" x14ac:dyDescent="0.3">
      <c r="A146" s="18"/>
      <c r="B146" s="21"/>
      <c r="C146" s="21"/>
      <c r="D146" s="21"/>
      <c r="E146" s="21"/>
      <c r="F146" s="21"/>
      <c r="G146" s="21"/>
      <c r="H146" s="21"/>
      <c r="I146" s="21"/>
      <c r="J146" s="21"/>
      <c r="K146" s="21"/>
      <c r="L146" s="21"/>
      <c r="M146" s="21"/>
      <c r="N146" s="21"/>
      <c r="O146" s="20"/>
    </row>
    <row r="147" spans="1:15" x14ac:dyDescent="0.3">
      <c r="A147" s="18"/>
      <c r="B147" s="85" t="e">
        <f t="array" ref="B147:D149">_xll.U.GET_METADATA(C144,C145,"TOC")</f>
        <v>#NUM!</v>
      </c>
      <c r="C147" s="85" t="e">
        <v>#NUM!</v>
      </c>
      <c r="D147" s="85" t="e">
        <v>#NUM!</v>
      </c>
      <c r="E147" s="21"/>
      <c r="F147" s="21"/>
      <c r="G147" s="21"/>
      <c r="H147" s="21"/>
      <c r="I147" s="21"/>
      <c r="J147" s="21"/>
      <c r="K147" s="21"/>
      <c r="L147" s="21"/>
      <c r="M147" s="21"/>
      <c r="N147" s="21"/>
      <c r="O147" s="20"/>
    </row>
    <row r="148" spans="1:15" x14ac:dyDescent="0.3">
      <c r="A148" s="18"/>
      <c r="B148" s="30" t="e">
        <v>#NUM!</v>
      </c>
      <c r="C148" s="30" t="e">
        <v>#NUM!</v>
      </c>
      <c r="D148" s="30" t="e">
        <v>#NUM!</v>
      </c>
      <c r="E148" s="21"/>
      <c r="F148" s="21"/>
      <c r="G148" s="21"/>
      <c r="H148" s="21"/>
      <c r="I148" s="21"/>
      <c r="J148" s="21"/>
      <c r="K148" s="21"/>
      <c r="L148" s="21"/>
      <c r="M148" s="21"/>
      <c r="N148" s="21"/>
      <c r="O148" s="20"/>
    </row>
    <row r="149" spans="1:15" x14ac:dyDescent="0.3">
      <c r="A149" s="18"/>
      <c r="B149" s="30" t="e">
        <v>#NUM!</v>
      </c>
      <c r="C149" s="30" t="e">
        <v>#NUM!</v>
      </c>
      <c r="D149" s="30" t="e">
        <v>#NUM!</v>
      </c>
      <c r="E149" s="21"/>
      <c r="F149" s="21"/>
      <c r="G149" s="21"/>
      <c r="H149" s="21"/>
      <c r="I149" s="21"/>
      <c r="J149" s="21"/>
      <c r="K149" s="21"/>
      <c r="L149" s="21"/>
      <c r="M149" s="21"/>
      <c r="N149" s="21"/>
      <c r="O149" s="20"/>
    </row>
    <row r="150" spans="1:15" x14ac:dyDescent="0.3">
      <c r="A150" s="18"/>
      <c r="B150" s="21"/>
      <c r="C150" s="21"/>
      <c r="D150" s="21"/>
      <c r="E150" s="21"/>
      <c r="F150" s="21"/>
      <c r="G150" s="21"/>
      <c r="H150" s="21"/>
      <c r="I150" s="21"/>
      <c r="J150" s="21"/>
      <c r="K150" s="21"/>
      <c r="L150" s="21"/>
      <c r="M150" s="21"/>
      <c r="N150" s="21"/>
      <c r="O150" s="20"/>
    </row>
    <row r="151" spans="1:15" x14ac:dyDescent="0.3">
      <c r="A151" s="18"/>
      <c r="B151" s="21"/>
      <c r="C151" s="21"/>
      <c r="D151" s="21"/>
      <c r="E151" s="21"/>
      <c r="F151" s="21"/>
      <c r="G151" s="21"/>
      <c r="H151" s="21"/>
      <c r="I151" s="21"/>
      <c r="J151" s="21"/>
      <c r="K151" s="21"/>
      <c r="L151" s="21"/>
      <c r="M151" s="21"/>
      <c r="N151" s="21"/>
      <c r="O151" s="20"/>
    </row>
    <row r="152" spans="1:15" x14ac:dyDescent="0.3">
      <c r="A152" s="490" t="s">
        <v>337</v>
      </c>
      <c r="B152" s="491"/>
      <c r="C152" s="491"/>
      <c r="D152" s="491"/>
      <c r="E152" s="491"/>
      <c r="F152" s="491"/>
      <c r="G152" s="491"/>
      <c r="H152" s="491"/>
      <c r="I152" s="491"/>
      <c r="J152" s="491"/>
      <c r="K152" s="491"/>
      <c r="L152" s="491"/>
      <c r="M152" s="491"/>
      <c r="N152" s="21"/>
      <c r="O152" s="20"/>
    </row>
    <row r="153" spans="1:15" x14ac:dyDescent="0.3">
      <c r="A153" s="18"/>
      <c r="B153" s="21"/>
      <c r="C153" s="21"/>
      <c r="D153" s="21"/>
      <c r="E153" s="21"/>
      <c r="F153" s="21"/>
      <c r="G153" s="21"/>
      <c r="H153" s="21"/>
      <c r="I153" s="21"/>
      <c r="J153" s="21"/>
      <c r="K153" s="21"/>
      <c r="L153" s="21"/>
      <c r="M153" s="21"/>
      <c r="N153" s="21"/>
      <c r="O153" s="20"/>
    </row>
    <row r="154" spans="1:15" x14ac:dyDescent="0.3">
      <c r="A154" s="18"/>
      <c r="B154" s="513" t="s">
        <v>3371</v>
      </c>
      <c r="C154" s="514"/>
      <c r="D154" s="514"/>
      <c r="E154" s="514"/>
      <c r="F154" s="514"/>
      <c r="G154" s="514"/>
      <c r="H154" s="515"/>
      <c r="I154" s="21"/>
      <c r="J154" s="21"/>
      <c r="K154" s="21"/>
      <c r="L154" s="21"/>
      <c r="M154" s="21"/>
      <c r="N154" s="21"/>
      <c r="O154" s="20"/>
    </row>
    <row r="155" spans="1:15" x14ac:dyDescent="0.3">
      <c r="A155" s="18"/>
      <c r="B155" s="3" t="str">
        <f t="array" ref="B155:H182">_xll.U.TOPICS_REPORT()</f>
        <v>Topic</v>
      </c>
      <c r="C155" s="3" t="str">
        <v>Timestamp</v>
      </c>
      <c r="D155" s="3" t="str">
        <v>Workbook</v>
      </c>
      <c r="E155" s="3" t="str">
        <v>HasPublished</v>
      </c>
      <c r="F155" s="3" t="str">
        <v>HasSubscribed</v>
      </c>
      <c r="G155" s="3" t="str">
        <v>IsSubscribed</v>
      </c>
      <c r="H155" s="3" t="str">
        <v>TotalNumCells</v>
      </c>
      <c r="I155" s="21"/>
      <c r="J155" s="21"/>
      <c r="K155" s="21"/>
      <c r="L155" s="21"/>
      <c r="M155" s="21"/>
      <c r="N155" s="21"/>
      <c r="O155" s="20"/>
    </row>
    <row r="156" spans="1:15" x14ac:dyDescent="0.3">
      <c r="A156" s="18"/>
      <c r="B156" s="30" t="str">
        <v>UPTICK/DESK1/PNL</v>
      </c>
      <c r="C156" s="122">
        <v>46072.659882789354</v>
      </c>
      <c r="D156" s="30" t="str">
        <v>U_UsageExamples.xlsx</v>
      </c>
      <c r="E156" s="30" t="b">
        <v>0</v>
      </c>
      <c r="F156" s="30" t="b">
        <v>1</v>
      </c>
      <c r="G156" s="30" t="b">
        <v>1</v>
      </c>
      <c r="H156" s="30">
        <v>6</v>
      </c>
      <c r="I156" s="21"/>
      <c r="J156" s="21"/>
      <c r="K156" s="21"/>
      <c r="L156" s="21"/>
      <c r="M156" s="21"/>
      <c r="N156" s="21"/>
      <c r="O156" s="20"/>
    </row>
    <row r="157" spans="1:15" x14ac:dyDescent="0.3">
      <c r="A157" s="18"/>
      <c r="B157" s="30" t="str">
        <v>UPTICK/DESK1/PNL_AND_PRICES</v>
      </c>
      <c r="C157" s="122">
        <v>46072.659884236113</v>
      </c>
      <c r="D157" s="30" t="str">
        <v>U_UsageExamples.xlsx</v>
      </c>
      <c r="E157" s="30" t="b">
        <v>0</v>
      </c>
      <c r="F157" s="30" t="b">
        <v>1</v>
      </c>
      <c r="G157" s="30" t="b">
        <v>1</v>
      </c>
      <c r="H157" s="30">
        <v>12</v>
      </c>
      <c r="I157" s="21"/>
      <c r="J157" s="21"/>
      <c r="K157" s="21"/>
      <c r="L157" s="21"/>
      <c r="M157" s="21"/>
      <c r="N157" s="21"/>
      <c r="O157" s="20"/>
    </row>
    <row r="158" spans="1:15" x14ac:dyDescent="0.3">
      <c r="A158" s="18"/>
      <c r="B158" s="30" t="str">
        <v>UPTICK/DESK1/PNL_AND_PRICES2</v>
      </c>
      <c r="C158" s="122">
        <v>46072.45291482639</v>
      </c>
      <c r="D158" s="30" t="str">
        <v>U_UsageExamples.xlsx</v>
      </c>
      <c r="E158" s="30" t="b">
        <v>1</v>
      </c>
      <c r="F158" s="30" t="b">
        <v>1</v>
      </c>
      <c r="G158" s="30" t="b">
        <v>1</v>
      </c>
      <c r="H158" s="30">
        <v>12</v>
      </c>
      <c r="I158" s="21"/>
      <c r="J158" s="21"/>
      <c r="K158" s="21"/>
      <c r="L158" s="21"/>
      <c r="M158" s="21"/>
      <c r="N158" s="21"/>
      <c r="O158" s="20"/>
    </row>
    <row r="159" spans="1:15" x14ac:dyDescent="0.3">
      <c r="A159" s="18"/>
      <c r="B159" s="30" t="str">
        <v>UPTICK/DESK2/EQ_POSITIONS</v>
      </c>
      <c r="C159" s="122">
        <v>46072.659880613428</v>
      </c>
      <c r="D159" s="30" t="str">
        <v>U_UsageExamples.xlsx</v>
      </c>
      <c r="E159" s="30" t="b">
        <v>0</v>
      </c>
      <c r="F159" s="30" t="b">
        <v>1</v>
      </c>
      <c r="G159" s="30" t="b">
        <v>1</v>
      </c>
      <c r="H159" s="30">
        <v>16</v>
      </c>
      <c r="I159" s="21"/>
      <c r="J159" s="21"/>
      <c r="K159" s="21"/>
      <c r="L159" s="21"/>
      <c r="M159" s="21"/>
      <c r="N159" s="21"/>
      <c r="O159" s="20"/>
    </row>
    <row r="160" spans="1:15" x14ac:dyDescent="0.3">
      <c r="A160" s="18"/>
      <c r="B160" s="30" t="str">
        <v>UPTICK/DESK2/PNL</v>
      </c>
      <c r="C160" s="122">
        <v>46072.65988136574</v>
      </c>
      <c r="D160" s="30" t="str">
        <v>U_UsageExamples.xlsx</v>
      </c>
      <c r="E160" s="30" t="b">
        <v>0</v>
      </c>
      <c r="F160" s="30" t="b">
        <v>1</v>
      </c>
      <c r="G160" s="30" t="b">
        <v>1</v>
      </c>
      <c r="H160" s="30">
        <v>6</v>
      </c>
      <c r="I160" s="21"/>
      <c r="J160" s="21"/>
      <c r="K160" s="21"/>
      <c r="L160" s="21"/>
      <c r="M160" s="21"/>
      <c r="N160" s="21"/>
      <c r="O160" s="20"/>
    </row>
    <row r="161" spans="1:15" x14ac:dyDescent="0.3">
      <c r="A161" s="18"/>
      <c r="B161" s="30" t="str">
        <v>UPTICK/DESK3/ENCRYPTED_PNL</v>
      </c>
      <c r="C161" s="122">
        <v>46072.661286319446</v>
      </c>
      <c r="D161" s="30" t="str">
        <v>U_UsageExamples.xlsx</v>
      </c>
      <c r="E161" s="30" t="b">
        <v>1</v>
      </c>
      <c r="F161" s="30" t="b">
        <v>0</v>
      </c>
      <c r="G161" s="30" t="b">
        <v>0</v>
      </c>
      <c r="H161" s="30">
        <v>6</v>
      </c>
      <c r="I161" s="21"/>
      <c r="J161" s="21"/>
      <c r="K161" s="21"/>
      <c r="L161" s="21"/>
      <c r="M161" s="21"/>
      <c r="N161" s="21"/>
      <c r="O161" s="20"/>
    </row>
    <row r="162" spans="1:15" x14ac:dyDescent="0.3">
      <c r="A162" s="18"/>
      <c r="B162" s="30" t="str">
        <v>UPTICK/DESK3/MOREDATA</v>
      </c>
      <c r="C162" s="122">
        <v>46072.452960694442</v>
      </c>
      <c r="D162" s="30" t="str">
        <v>U_UsageExamples.xlsx</v>
      </c>
      <c r="E162" s="30" t="b">
        <v>1</v>
      </c>
      <c r="F162" s="30" t="b">
        <v>0</v>
      </c>
      <c r="G162" s="30" t="b">
        <v>0</v>
      </c>
      <c r="H162" s="30">
        <v>0</v>
      </c>
      <c r="I162" s="21"/>
      <c r="J162" s="21"/>
      <c r="K162" s="21"/>
      <c r="L162" s="21"/>
      <c r="M162" s="21"/>
      <c r="N162" s="21"/>
      <c r="O162" s="20"/>
    </row>
    <row r="163" spans="1:15" x14ac:dyDescent="0.3">
      <c r="A163" s="18"/>
      <c r="B163" s="30" t="str">
        <v>UPTICK/DESK3/PNL</v>
      </c>
      <c r="C163" s="122">
        <v>46070.735446168983</v>
      </c>
      <c r="D163" s="30" t="str">
        <v>U_UsageExamples.xlsx</v>
      </c>
      <c r="E163" s="30" t="b">
        <v>0</v>
      </c>
      <c r="F163" s="30" t="b">
        <v>1</v>
      </c>
      <c r="G163" s="30" t="b">
        <v>1</v>
      </c>
      <c r="H163" s="30">
        <v>6</v>
      </c>
      <c r="I163" s="21"/>
      <c r="J163" s="21"/>
      <c r="K163" s="21"/>
      <c r="L163" s="21"/>
      <c r="M163" s="21"/>
      <c r="N163" s="21"/>
      <c r="O163" s="20"/>
    </row>
    <row r="164" spans="1:15" x14ac:dyDescent="0.3">
      <c r="A164" s="18"/>
      <c r="B164" s="30" t="str">
        <v>UPTICK/DESK3/STILLMOREDATA</v>
      </c>
      <c r="C164" s="122">
        <v>46072.452959965274</v>
      </c>
      <c r="D164" s="30" t="str">
        <v>U_UsageExamples.xlsx</v>
      </c>
      <c r="E164" s="30" t="b">
        <v>1</v>
      </c>
      <c r="F164" s="30" t="b">
        <v>0</v>
      </c>
      <c r="G164" s="30" t="b">
        <v>0</v>
      </c>
      <c r="H164" s="30">
        <v>0</v>
      </c>
      <c r="I164" s="21"/>
      <c r="J164" s="21"/>
      <c r="K164" s="21"/>
      <c r="L164" s="21"/>
      <c r="M164" s="21"/>
      <c r="N164" s="21"/>
      <c r="O164" s="20"/>
    </row>
    <row r="165" spans="1:15" x14ac:dyDescent="0.3">
      <c r="A165" s="18"/>
      <c r="B165" s="30" t="str">
        <v>UPTICK/DESK4/PNL_AND_PRICES.20260219</v>
      </c>
      <c r="C165" s="122">
        <v>46072.661284861111</v>
      </c>
      <c r="D165" s="30" t="str">
        <v>U_UsageExamples.xlsx</v>
      </c>
      <c r="E165" s="30" t="b">
        <v>1</v>
      </c>
      <c r="F165" s="30" t="b">
        <v>0</v>
      </c>
      <c r="G165" s="30" t="b">
        <v>0</v>
      </c>
      <c r="H165" s="30">
        <v>6</v>
      </c>
      <c r="I165" s="21"/>
      <c r="J165" s="21"/>
      <c r="K165" s="21"/>
      <c r="L165" s="21"/>
      <c r="M165" s="21"/>
      <c r="N165" s="21"/>
      <c r="O165" s="20"/>
    </row>
    <row r="166" spans="1:15" x14ac:dyDescent="0.3">
      <c r="A166" s="18"/>
      <c r="B166" s="30" t="str">
        <v>UPTICK/DESK4/PNL_AND_PRICES</v>
      </c>
      <c r="C166" s="122">
        <v>46072.661284861111</v>
      </c>
      <c r="D166" s="30" t="str">
        <v>U_UsageExamples.xlsx</v>
      </c>
      <c r="E166" s="30" t="b">
        <v>1</v>
      </c>
      <c r="F166" s="30" t="b">
        <v>0</v>
      </c>
      <c r="G166" s="30" t="b">
        <v>0</v>
      </c>
      <c r="H166" s="30">
        <v>6</v>
      </c>
      <c r="I166" s="21"/>
      <c r="J166" s="21"/>
      <c r="K166" s="21"/>
      <c r="L166" s="21"/>
      <c r="M166" s="21"/>
      <c r="N166" s="21"/>
      <c r="O166" s="20"/>
    </row>
    <row r="167" spans="1:15" x14ac:dyDescent="0.3">
      <c r="A167" s="18"/>
      <c r="B167" s="30" t="str">
        <v>UPTICK/SOMEREPORTGRP/DELETEME.INPUT_CONTROL_VALS</v>
      </c>
      <c r="C167" s="122">
        <v>46072.45296732639</v>
      </c>
      <c r="D167" s="30" t="str">
        <v>U_UsageExamples.xlsx</v>
      </c>
      <c r="E167" s="30" t="b">
        <v>1</v>
      </c>
      <c r="F167" s="30" t="b">
        <v>0</v>
      </c>
      <c r="G167" s="30" t="b">
        <v>0</v>
      </c>
      <c r="H167" s="30">
        <v>0</v>
      </c>
      <c r="I167" s="21"/>
      <c r="J167" s="21"/>
      <c r="K167" s="21"/>
      <c r="L167" s="21"/>
      <c r="M167" s="21"/>
      <c r="N167" s="21"/>
      <c r="O167" s="20"/>
    </row>
    <row r="168" spans="1:15" x14ac:dyDescent="0.3">
      <c r="A168" s="18"/>
      <c r="B168" s="30" t="str">
        <v>UPTICK/SOMEREPORTGRP/DELETEME.IS_MID_EDIT</v>
      </c>
      <c r="C168" s="122">
        <v>46072.45296732639</v>
      </c>
      <c r="D168" s="30" t="str">
        <v>U_UsageExamples.xlsx</v>
      </c>
      <c r="E168" s="30" t="b">
        <v>1</v>
      </c>
      <c r="F168" s="30" t="b">
        <v>0</v>
      </c>
      <c r="G168" s="30" t="b">
        <v>0</v>
      </c>
      <c r="H168" s="30">
        <v>0</v>
      </c>
      <c r="I168" s="21"/>
      <c r="J168" s="21"/>
      <c r="K168" s="21"/>
      <c r="L168" s="21"/>
      <c r="M168" s="21"/>
      <c r="N168" s="21"/>
      <c r="O168" s="20"/>
    </row>
    <row r="169" spans="1:15" x14ac:dyDescent="0.3">
      <c r="A169" s="18"/>
      <c r="B169" s="30" t="str">
        <v>UPTICK/SOMEREPORTGRP/DELETEME.OUTPUT_CONTROL_VALS</v>
      </c>
      <c r="C169" s="122">
        <v>46072.45296732639</v>
      </c>
      <c r="D169" s="30" t="str">
        <v>U_UsageExamples.xlsx</v>
      </c>
      <c r="E169" s="30" t="b">
        <v>1</v>
      </c>
      <c r="F169" s="30" t="b">
        <v>0</v>
      </c>
      <c r="G169" s="30" t="b">
        <v>0</v>
      </c>
      <c r="H169" s="30">
        <v>0</v>
      </c>
      <c r="I169" s="21"/>
      <c r="J169" s="21"/>
      <c r="K169" s="21"/>
      <c r="L169" s="21"/>
      <c r="M169" s="21"/>
      <c r="N169" s="21"/>
      <c r="O169" s="20"/>
    </row>
    <row r="170" spans="1:15" x14ac:dyDescent="0.3">
      <c r="A170" s="18"/>
      <c r="B170" s="30" t="str">
        <v>UPTICK/SOMEREPORTGRP/DELETEME</v>
      </c>
      <c r="C170" s="122">
        <v>46072.45296732639</v>
      </c>
      <c r="D170" s="30" t="str">
        <v>U_UsageExamples.xlsx</v>
      </c>
      <c r="E170" s="30" t="b">
        <v>1</v>
      </c>
      <c r="F170" s="30" t="b">
        <v>0</v>
      </c>
      <c r="G170" s="30" t="b">
        <v>0</v>
      </c>
      <c r="H170" s="30">
        <v>0</v>
      </c>
      <c r="I170" s="21"/>
      <c r="J170" s="21"/>
      <c r="K170" s="21"/>
      <c r="L170" s="21"/>
      <c r="M170" s="21"/>
      <c r="N170" s="21"/>
      <c r="O170" s="20"/>
    </row>
    <row r="171" spans="1:15" x14ac:dyDescent="0.3">
      <c r="A171" s="18"/>
      <c r="B171" s="30" t="str">
        <v>UPTICK/TEST/TRADES</v>
      </c>
      <c r="C171" s="122">
        <v>46072.452968055557</v>
      </c>
      <c r="D171" s="30" t="str">
        <v>U_UsageExamples.xlsx</v>
      </c>
      <c r="E171" s="30" t="b">
        <v>1</v>
      </c>
      <c r="F171" s="30" t="b">
        <v>1</v>
      </c>
      <c r="G171" s="30" t="b">
        <v>1</v>
      </c>
      <c r="H171" s="30">
        <v>112</v>
      </c>
      <c r="I171" s="21"/>
      <c r="J171" s="21"/>
      <c r="K171" s="21"/>
      <c r="L171" s="21"/>
      <c r="M171" s="21"/>
      <c r="N171" s="21"/>
      <c r="O171" s="20"/>
    </row>
    <row r="172" spans="1:15" x14ac:dyDescent="0.3">
      <c r="A172" s="18"/>
      <c r="B172" s="30" t="str">
        <v>UPTICK/TIME/EXAMPLE</v>
      </c>
      <c r="C172" s="122">
        <v>46072.452901631943</v>
      </c>
      <c r="D172" s="30" t="str">
        <v>U_UsageExamples.xlsx</v>
      </c>
      <c r="E172" s="30" t="b">
        <v>1</v>
      </c>
      <c r="F172" s="30" t="b">
        <v>1</v>
      </c>
      <c r="G172" s="30" t="b">
        <v>1</v>
      </c>
      <c r="H172" s="30">
        <v>1</v>
      </c>
      <c r="I172" s="21"/>
      <c r="J172" s="21"/>
      <c r="K172" s="21"/>
      <c r="L172" s="21"/>
      <c r="M172" s="21"/>
      <c r="N172" s="21"/>
      <c r="O172" s="20"/>
    </row>
    <row r="173" spans="1:15" x14ac:dyDescent="0.3">
      <c r="A173" s="18"/>
      <c r="B173" s="30" t="e">
        <v>#N/A</v>
      </c>
      <c r="C173" s="122" t="e">
        <v>#N/A</v>
      </c>
      <c r="D173" s="30" t="e">
        <v>#N/A</v>
      </c>
      <c r="E173" s="30" t="e">
        <v>#N/A</v>
      </c>
      <c r="F173" s="30" t="e">
        <v>#N/A</v>
      </c>
      <c r="G173" s="30" t="e">
        <v>#N/A</v>
      </c>
      <c r="H173" s="30" t="e">
        <v>#N/A</v>
      </c>
      <c r="I173" s="21"/>
      <c r="J173" s="21"/>
      <c r="K173" s="21"/>
      <c r="L173" s="21"/>
      <c r="M173" s="21"/>
      <c r="N173" s="21"/>
      <c r="O173" s="20"/>
    </row>
    <row r="174" spans="1:15" x14ac:dyDescent="0.3">
      <c r="A174" s="18"/>
      <c r="B174" s="30" t="e">
        <v>#N/A</v>
      </c>
      <c r="C174" s="122" t="e">
        <v>#N/A</v>
      </c>
      <c r="D174" s="30" t="e">
        <v>#N/A</v>
      </c>
      <c r="E174" s="30" t="e">
        <v>#N/A</v>
      </c>
      <c r="F174" s="30" t="e">
        <v>#N/A</v>
      </c>
      <c r="G174" s="30" t="e">
        <v>#N/A</v>
      </c>
      <c r="H174" s="30" t="e">
        <v>#N/A</v>
      </c>
      <c r="I174" s="21"/>
      <c r="J174" s="21"/>
      <c r="K174" s="21"/>
      <c r="L174" s="21"/>
      <c r="M174" s="21"/>
      <c r="N174" s="21"/>
      <c r="O174" s="20"/>
    </row>
    <row r="175" spans="1:15" x14ac:dyDescent="0.3">
      <c r="A175" s="18"/>
      <c r="B175" s="30" t="e">
        <v>#N/A</v>
      </c>
      <c r="C175" s="122" t="e">
        <v>#N/A</v>
      </c>
      <c r="D175" s="30" t="e">
        <v>#N/A</v>
      </c>
      <c r="E175" s="30" t="e">
        <v>#N/A</v>
      </c>
      <c r="F175" s="30" t="e">
        <v>#N/A</v>
      </c>
      <c r="G175" s="30" t="e">
        <v>#N/A</v>
      </c>
      <c r="H175" s="30" t="e">
        <v>#N/A</v>
      </c>
      <c r="I175" s="21"/>
      <c r="J175" s="21"/>
      <c r="K175" s="21"/>
      <c r="L175" s="21"/>
      <c r="M175" s="21"/>
      <c r="N175" s="21"/>
      <c r="O175" s="20"/>
    </row>
    <row r="176" spans="1:15" x14ac:dyDescent="0.3">
      <c r="A176" s="18"/>
      <c r="B176" s="30" t="e">
        <v>#N/A</v>
      </c>
      <c r="C176" s="122" t="e">
        <v>#N/A</v>
      </c>
      <c r="D176" s="30" t="e">
        <v>#N/A</v>
      </c>
      <c r="E176" s="30" t="e">
        <v>#N/A</v>
      </c>
      <c r="F176" s="30" t="e">
        <v>#N/A</v>
      </c>
      <c r="G176" s="30" t="e">
        <v>#N/A</v>
      </c>
      <c r="H176" s="30" t="e">
        <v>#N/A</v>
      </c>
      <c r="I176" s="21"/>
      <c r="J176" s="21"/>
      <c r="K176" s="21"/>
      <c r="L176" s="21"/>
      <c r="M176" s="21"/>
      <c r="N176" s="21"/>
      <c r="O176" s="20"/>
    </row>
    <row r="177" spans="1:15" x14ac:dyDescent="0.3">
      <c r="A177" s="18"/>
      <c r="B177" s="30" t="e">
        <v>#N/A</v>
      </c>
      <c r="C177" s="122" t="e">
        <v>#N/A</v>
      </c>
      <c r="D177" s="30" t="e">
        <v>#N/A</v>
      </c>
      <c r="E177" s="30" t="e">
        <v>#N/A</v>
      </c>
      <c r="F177" s="30" t="e">
        <v>#N/A</v>
      </c>
      <c r="G177" s="30" t="e">
        <v>#N/A</v>
      </c>
      <c r="H177" s="30" t="e">
        <v>#N/A</v>
      </c>
      <c r="I177" s="21"/>
      <c r="J177" s="21"/>
      <c r="K177" s="21"/>
      <c r="L177" s="21"/>
      <c r="M177" s="21"/>
      <c r="N177" s="21"/>
      <c r="O177" s="20"/>
    </row>
    <row r="178" spans="1:15" x14ac:dyDescent="0.3">
      <c r="A178" s="18"/>
      <c r="B178" s="30" t="e">
        <v>#N/A</v>
      </c>
      <c r="C178" s="122" t="e">
        <v>#N/A</v>
      </c>
      <c r="D178" s="30" t="e">
        <v>#N/A</v>
      </c>
      <c r="E178" s="30" t="e">
        <v>#N/A</v>
      </c>
      <c r="F178" s="30" t="e">
        <v>#N/A</v>
      </c>
      <c r="G178" s="30" t="e">
        <v>#N/A</v>
      </c>
      <c r="H178" s="30" t="e">
        <v>#N/A</v>
      </c>
      <c r="I178" s="21"/>
      <c r="J178" s="21"/>
      <c r="K178" s="21"/>
      <c r="L178" s="21"/>
      <c r="M178" s="21"/>
      <c r="N178" s="21"/>
      <c r="O178" s="20"/>
    </row>
    <row r="179" spans="1:15" x14ac:dyDescent="0.3">
      <c r="A179" s="18"/>
      <c r="B179" s="30" t="e">
        <v>#N/A</v>
      </c>
      <c r="C179" s="122" t="e">
        <v>#N/A</v>
      </c>
      <c r="D179" s="30" t="e">
        <v>#N/A</v>
      </c>
      <c r="E179" s="30" t="e">
        <v>#N/A</v>
      </c>
      <c r="F179" s="30" t="e">
        <v>#N/A</v>
      </c>
      <c r="G179" s="30" t="e">
        <v>#N/A</v>
      </c>
      <c r="H179" s="30" t="e">
        <v>#N/A</v>
      </c>
      <c r="I179" s="21"/>
      <c r="J179" s="21"/>
      <c r="K179" s="21"/>
      <c r="L179" s="21"/>
      <c r="M179" s="21"/>
      <c r="N179" s="21"/>
      <c r="O179" s="20"/>
    </row>
    <row r="180" spans="1:15" x14ac:dyDescent="0.3">
      <c r="A180" s="18"/>
      <c r="B180" s="30" t="e">
        <v>#N/A</v>
      </c>
      <c r="C180" s="122" t="e">
        <v>#N/A</v>
      </c>
      <c r="D180" s="30" t="e">
        <v>#N/A</v>
      </c>
      <c r="E180" s="30" t="e">
        <v>#N/A</v>
      </c>
      <c r="F180" s="30" t="e">
        <v>#N/A</v>
      </c>
      <c r="G180" s="30" t="e">
        <v>#N/A</v>
      </c>
      <c r="H180" s="30" t="e">
        <v>#N/A</v>
      </c>
      <c r="I180" s="21"/>
      <c r="J180" s="21"/>
      <c r="K180" s="21"/>
      <c r="L180" s="21"/>
      <c r="M180" s="21"/>
      <c r="N180" s="21"/>
      <c r="O180" s="20"/>
    </row>
    <row r="181" spans="1:15" x14ac:dyDescent="0.3">
      <c r="A181" s="18"/>
      <c r="B181" s="30" t="e">
        <v>#N/A</v>
      </c>
      <c r="C181" s="122" t="e">
        <v>#N/A</v>
      </c>
      <c r="D181" s="30" t="e">
        <v>#N/A</v>
      </c>
      <c r="E181" s="30" t="e">
        <v>#N/A</v>
      </c>
      <c r="F181" s="30" t="e">
        <v>#N/A</v>
      </c>
      <c r="G181" s="30" t="e">
        <v>#N/A</v>
      </c>
      <c r="H181" s="30" t="e">
        <v>#N/A</v>
      </c>
      <c r="I181" s="21"/>
      <c r="J181" s="21"/>
      <c r="K181" s="21"/>
      <c r="L181" s="21"/>
      <c r="M181" s="21"/>
      <c r="N181" s="21"/>
      <c r="O181" s="20"/>
    </row>
    <row r="182" spans="1:15" x14ac:dyDescent="0.3">
      <c r="A182" s="18"/>
      <c r="B182" s="30" t="e">
        <v>#N/A</v>
      </c>
      <c r="C182" s="122" t="e">
        <v>#N/A</v>
      </c>
      <c r="D182" s="30" t="e">
        <v>#N/A</v>
      </c>
      <c r="E182" s="30" t="e">
        <v>#N/A</v>
      </c>
      <c r="F182" s="30" t="e">
        <v>#N/A</v>
      </c>
      <c r="G182" s="30" t="e">
        <v>#N/A</v>
      </c>
      <c r="H182" s="30" t="e">
        <v>#N/A</v>
      </c>
      <c r="I182" s="21"/>
      <c r="J182" s="21"/>
      <c r="K182" s="21"/>
      <c r="L182" s="21"/>
      <c r="M182" s="21"/>
      <c r="N182" s="21"/>
      <c r="O182" s="20"/>
    </row>
    <row r="183" spans="1:15" ht="15" thickBot="1" x14ac:dyDescent="0.35">
      <c r="A183" s="22"/>
      <c r="B183" s="23"/>
      <c r="C183" s="23"/>
      <c r="D183" s="23"/>
      <c r="E183" s="23"/>
      <c r="F183" s="23"/>
      <c r="G183" s="23"/>
      <c r="H183" s="23"/>
      <c r="I183" s="23"/>
      <c r="J183" s="23"/>
      <c r="K183" s="23"/>
      <c r="L183" s="23"/>
      <c r="M183" s="23"/>
      <c r="N183" s="23"/>
      <c r="O183" s="24"/>
    </row>
  </sheetData>
  <mergeCells count="124">
    <mergeCell ref="Q20:R22"/>
    <mergeCell ref="S20:Y22"/>
    <mergeCell ref="Z20:Z22"/>
    <mergeCell ref="S60:Y62"/>
    <mergeCell ref="Z60:Z62"/>
    <mergeCell ref="Q57:R59"/>
    <mergeCell ref="S57:Y59"/>
    <mergeCell ref="Z57:Z59"/>
    <mergeCell ref="Q63:R65"/>
    <mergeCell ref="S63:Y65"/>
    <mergeCell ref="Z63:Z65"/>
    <mergeCell ref="Z37:Z39"/>
    <mergeCell ref="S96:Z98"/>
    <mergeCell ref="Q83:R85"/>
    <mergeCell ref="Q76:R76"/>
    <mergeCell ref="S76:Y76"/>
    <mergeCell ref="Z83:Z85"/>
    <mergeCell ref="Q89:R91"/>
    <mergeCell ref="Q95:Z95"/>
    <mergeCell ref="Q96:R98"/>
    <mergeCell ref="S83:Y85"/>
    <mergeCell ref="Q77:R79"/>
    <mergeCell ref="S77:Y79"/>
    <mergeCell ref="Z77:Z79"/>
    <mergeCell ref="Q80:R82"/>
    <mergeCell ref="S80:Y82"/>
    <mergeCell ref="Z80:Z82"/>
    <mergeCell ref="Q86:R88"/>
    <mergeCell ref="S86:Y88"/>
    <mergeCell ref="Z86:Z88"/>
    <mergeCell ref="Z115:Z117"/>
    <mergeCell ref="Q103:R105"/>
    <mergeCell ref="S103:Y105"/>
    <mergeCell ref="Z103:Z105"/>
    <mergeCell ref="Q109:R111"/>
    <mergeCell ref="S109:Y111"/>
    <mergeCell ref="Z109:Z111"/>
    <mergeCell ref="Q106:R108"/>
    <mergeCell ref="S106:Y108"/>
    <mergeCell ref="Z106:Z108"/>
    <mergeCell ref="Q115:R117"/>
    <mergeCell ref="S115:Y117"/>
    <mergeCell ref="Z112:Z114"/>
    <mergeCell ref="Q72:Z72"/>
    <mergeCell ref="Q73:R75"/>
    <mergeCell ref="S73:Z75"/>
    <mergeCell ref="Q40:R42"/>
    <mergeCell ref="S40:Y42"/>
    <mergeCell ref="Z40:Z42"/>
    <mergeCell ref="Q43:R45"/>
    <mergeCell ref="S43:Y45"/>
    <mergeCell ref="Z43:Z45"/>
    <mergeCell ref="Q49:Z49"/>
    <mergeCell ref="Q50:R52"/>
    <mergeCell ref="S50:Z52"/>
    <mergeCell ref="Q53:R53"/>
    <mergeCell ref="S53:Y53"/>
    <mergeCell ref="Q54:R56"/>
    <mergeCell ref="S54:Y56"/>
    <mergeCell ref="Z54:Z56"/>
    <mergeCell ref="Q66:R68"/>
    <mergeCell ref="S66:Y68"/>
    <mergeCell ref="Z66:Z68"/>
    <mergeCell ref="Q60:R62"/>
    <mergeCell ref="B154:H154"/>
    <mergeCell ref="Q4:R6"/>
    <mergeCell ref="Q7:R7"/>
    <mergeCell ref="S7:Y7"/>
    <mergeCell ref="A152:M152"/>
    <mergeCell ref="Q17:R19"/>
    <mergeCell ref="S17:Y19"/>
    <mergeCell ref="S4:Z6"/>
    <mergeCell ref="Q26:Z26"/>
    <mergeCell ref="Q27:R29"/>
    <mergeCell ref="S27:Z29"/>
    <mergeCell ref="Q30:R30"/>
    <mergeCell ref="S30:Y30"/>
    <mergeCell ref="Q31:R33"/>
    <mergeCell ref="S31:Y33"/>
    <mergeCell ref="Z31:Z33"/>
    <mergeCell ref="B114:D114"/>
    <mergeCell ref="Q34:R36"/>
    <mergeCell ref="Z17:Z19"/>
    <mergeCell ref="Q8:R10"/>
    <mergeCell ref="Z8:Z10"/>
    <mergeCell ref="Q11:R13"/>
    <mergeCell ref="Z11:Z13"/>
    <mergeCell ref="S8:Y10"/>
    <mergeCell ref="A3:M3"/>
    <mergeCell ref="A40:M40"/>
    <mergeCell ref="A69:M69"/>
    <mergeCell ref="A107:M107"/>
    <mergeCell ref="B46:C46"/>
    <mergeCell ref="B76:C76"/>
    <mergeCell ref="B81:C81"/>
    <mergeCell ref="B14:C14"/>
    <mergeCell ref="B7:C7"/>
    <mergeCell ref="B92:C92"/>
    <mergeCell ref="B97:C97"/>
    <mergeCell ref="B33:C33"/>
    <mergeCell ref="Q3:Z3"/>
    <mergeCell ref="S89:Y91"/>
    <mergeCell ref="Z89:Z91"/>
    <mergeCell ref="Q126:Z126"/>
    <mergeCell ref="Q121:Z121"/>
    <mergeCell ref="Q122:R124"/>
    <mergeCell ref="S122:Z124"/>
    <mergeCell ref="Q125:R125"/>
    <mergeCell ref="S125:Y125"/>
    <mergeCell ref="Q99:R99"/>
    <mergeCell ref="S99:Y99"/>
    <mergeCell ref="Q100:R102"/>
    <mergeCell ref="S100:Y102"/>
    <mergeCell ref="Z100:Z102"/>
    <mergeCell ref="Q112:R114"/>
    <mergeCell ref="S112:Y114"/>
    <mergeCell ref="S11:Y13"/>
    <mergeCell ref="Q14:R16"/>
    <mergeCell ref="S14:Y16"/>
    <mergeCell ref="Z14:Z16"/>
    <mergeCell ref="S34:Y36"/>
    <mergeCell ref="Z34:Z36"/>
    <mergeCell ref="Q37:R39"/>
    <mergeCell ref="S37:Y39"/>
  </mergeCells>
  <hyperlinks>
    <hyperlink ref="D1" location="SECURITY!A1" display="*See the SECURITY tab for examples of how to control access to viewing and publishing reports" xr:uid="{00000000-0004-0000-0200-000000000000}"/>
  </hyperlinks>
  <pageMargins left="0.7" right="0.7" top="0.75" bottom="0.75" header="0.3" footer="0.3"/>
  <pageSetup orientation="portrait"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A7E7-F120-4B4D-B179-9F3D1B4BBAC3}">
  <sheetPr codeName="Sheet30"/>
  <dimension ref="A1:Y45"/>
  <sheetViews>
    <sheetView workbookViewId="0">
      <pane ySplit="1" topLeftCell="A2" activePane="bottomLeft" state="frozen"/>
      <selection pane="bottomLeft" activeCell="A2" sqref="A2"/>
    </sheetView>
  </sheetViews>
  <sheetFormatPr defaultColWidth="9.21875" defaultRowHeight="14.4" x14ac:dyDescent="0.3"/>
  <cols>
    <col min="2" max="2" width="28.21875" customWidth="1"/>
    <col min="3" max="3" width="19.21875" customWidth="1"/>
    <col min="4" max="4" width="13.5546875" customWidth="1"/>
    <col min="5" max="5" width="10.21875" customWidth="1"/>
    <col min="6" max="6" width="13.5546875" customWidth="1"/>
    <col min="7" max="7" width="18.44140625" customWidth="1"/>
    <col min="8" max="13" width="9.5546875" customWidth="1"/>
    <col min="14" max="14" width="12.5546875" customWidth="1"/>
    <col min="18" max="24" width="10.21875" customWidth="1"/>
  </cols>
  <sheetData>
    <row r="1" spans="1:25" ht="34.5" customHeight="1" thickBot="1" x14ac:dyDescent="0.35">
      <c r="A1" s="292" t="s">
        <v>1580</v>
      </c>
      <c r="B1" s="473" t="e" vm="1">
        <v>#VALUE!</v>
      </c>
      <c r="C1" s="8" t="s">
        <v>2461</v>
      </c>
      <c r="D1" s="27"/>
      <c r="E1" s="16"/>
      <c r="F1" s="16"/>
      <c r="G1" s="16"/>
      <c r="H1" s="16"/>
      <c r="I1" s="16"/>
      <c r="J1" s="16"/>
      <c r="K1" s="16"/>
      <c r="L1" s="16"/>
      <c r="M1" s="16"/>
      <c r="N1" s="19"/>
    </row>
    <row r="2" spans="1:25" ht="15" customHeight="1" x14ac:dyDescent="0.3">
      <c r="A2" s="18"/>
      <c r="B2" s="25"/>
      <c r="C2" s="25"/>
      <c r="D2" s="21"/>
      <c r="E2" s="21"/>
      <c r="F2" s="21"/>
      <c r="G2" s="21"/>
      <c r="H2" s="21"/>
      <c r="I2" s="21"/>
      <c r="J2" s="21"/>
      <c r="K2" s="21"/>
      <c r="L2" s="21"/>
      <c r="M2" s="21"/>
      <c r="N2" s="20"/>
    </row>
    <row r="3" spans="1:25" ht="15" customHeight="1" x14ac:dyDescent="0.3">
      <c r="A3" s="18"/>
      <c r="B3" s="25"/>
      <c r="C3" s="25"/>
      <c r="D3" s="21"/>
      <c r="E3" s="21"/>
      <c r="F3" s="21"/>
      <c r="G3" s="21"/>
      <c r="H3" s="21"/>
      <c r="I3" s="21"/>
      <c r="J3" s="21"/>
      <c r="K3" s="21"/>
      <c r="L3" s="21"/>
      <c r="M3" s="21"/>
      <c r="N3" s="20"/>
      <c r="P3" s="486" t="s">
        <v>3450</v>
      </c>
      <c r="Q3" s="486"/>
      <c r="R3" s="486"/>
      <c r="S3" s="486"/>
      <c r="T3" s="486"/>
      <c r="U3" s="486"/>
      <c r="V3" s="486"/>
      <c r="W3" s="486"/>
      <c r="X3" s="486"/>
      <c r="Y3" s="486"/>
    </row>
    <row r="4" spans="1:25" ht="15" customHeight="1" x14ac:dyDescent="0.3">
      <c r="A4" s="18"/>
      <c r="B4" s="21"/>
      <c r="C4" s="21"/>
      <c r="D4" s="26"/>
      <c r="E4" s="21"/>
      <c r="F4" s="21"/>
      <c r="G4" s="21"/>
      <c r="H4" s="21"/>
      <c r="I4" s="21"/>
      <c r="J4" s="21"/>
      <c r="K4" s="21"/>
      <c r="L4" s="21"/>
      <c r="M4" s="21"/>
      <c r="N4" s="20"/>
      <c r="P4" s="487" t="s">
        <v>333</v>
      </c>
      <c r="Q4" s="487"/>
      <c r="R4" s="487" t="s">
        <v>2462</v>
      </c>
      <c r="S4" s="487"/>
      <c r="T4" s="487"/>
      <c r="U4" s="487"/>
      <c r="V4" s="487"/>
      <c r="W4" s="487"/>
      <c r="X4" s="487"/>
      <c r="Y4" s="487"/>
    </row>
    <row r="5" spans="1:25" ht="15" customHeight="1" x14ac:dyDescent="0.3">
      <c r="A5" s="18"/>
      <c r="B5" s="101" t="s">
        <v>2474</v>
      </c>
      <c r="C5" s="21"/>
      <c r="D5" s="101" t="s">
        <v>2464</v>
      </c>
      <c r="E5" s="21"/>
      <c r="F5" s="101" t="s">
        <v>3450</v>
      </c>
      <c r="G5" s="21"/>
      <c r="H5" s="21"/>
      <c r="I5" s="21"/>
      <c r="J5" s="21"/>
      <c r="K5" s="21"/>
      <c r="L5" s="21"/>
      <c r="M5" s="21"/>
      <c r="N5" s="20"/>
      <c r="P5" s="487"/>
      <c r="Q5" s="487"/>
      <c r="R5" s="487"/>
      <c r="S5" s="487"/>
      <c r="T5" s="487"/>
      <c r="U5" s="487"/>
      <c r="V5" s="487"/>
      <c r="W5" s="487"/>
      <c r="X5" s="487"/>
      <c r="Y5" s="487"/>
    </row>
    <row r="6" spans="1:25" x14ac:dyDescent="0.3">
      <c r="A6" s="18"/>
      <c r="B6" s="42" t="s">
        <v>2463</v>
      </c>
      <c r="C6" s="21"/>
      <c r="D6" s="42" t="s">
        <v>2465</v>
      </c>
      <c r="E6" s="21"/>
      <c r="F6" s="30" cm="1">
        <f t="array" ref="F6">_xll.U.FIND(D6,B6)</f>
        <v>9</v>
      </c>
      <c r="G6" s="21"/>
      <c r="H6" s="21"/>
      <c r="I6" s="21"/>
      <c r="J6" s="21"/>
      <c r="K6" s="21"/>
      <c r="L6" s="21"/>
      <c r="M6" s="21"/>
      <c r="N6" s="20"/>
      <c r="P6" s="487"/>
      <c r="Q6" s="487"/>
      <c r="R6" s="487"/>
      <c r="S6" s="487"/>
      <c r="T6" s="487"/>
      <c r="U6" s="487"/>
      <c r="V6" s="487"/>
      <c r="W6" s="487"/>
      <c r="X6" s="487"/>
      <c r="Y6" s="487"/>
    </row>
    <row r="7" spans="1:25" x14ac:dyDescent="0.3">
      <c r="A7" s="18"/>
      <c r="B7" s="21"/>
      <c r="C7" s="21"/>
      <c r="D7" s="21"/>
      <c r="E7" s="21"/>
      <c r="F7" s="21"/>
      <c r="G7" s="21"/>
      <c r="H7" s="21"/>
      <c r="I7" s="21"/>
      <c r="J7" s="21"/>
      <c r="K7" s="21"/>
      <c r="L7" s="21"/>
      <c r="M7" s="21"/>
      <c r="N7" s="20"/>
      <c r="P7" s="483" t="s">
        <v>323</v>
      </c>
      <c r="Q7" s="483"/>
      <c r="R7" s="483" t="s">
        <v>1</v>
      </c>
      <c r="S7" s="483"/>
      <c r="T7" s="483"/>
      <c r="U7" s="483"/>
      <c r="V7" s="483"/>
      <c r="W7" s="483"/>
      <c r="X7" s="483"/>
      <c r="Y7" s="85" t="s">
        <v>324</v>
      </c>
    </row>
    <row r="8" spans="1:25" x14ac:dyDescent="0.3">
      <c r="A8" s="18"/>
      <c r="B8" s="21"/>
      <c r="C8" s="21"/>
      <c r="D8" s="21"/>
      <c r="E8" s="21"/>
      <c r="F8" s="21"/>
      <c r="G8" s="21"/>
      <c r="H8" s="21"/>
      <c r="I8" s="21"/>
      <c r="J8" s="21"/>
      <c r="K8" s="21"/>
      <c r="L8" s="21"/>
      <c r="M8" s="21"/>
      <c r="N8" s="20"/>
      <c r="P8" s="487" t="s">
        <v>490</v>
      </c>
      <c r="Q8" s="487"/>
      <c r="R8" s="487" t="s">
        <v>2468</v>
      </c>
      <c r="S8" s="487"/>
      <c r="T8" s="487"/>
      <c r="U8" s="487"/>
      <c r="V8" s="487"/>
      <c r="W8" s="487"/>
      <c r="X8" s="487"/>
      <c r="Y8" s="509" t="s">
        <v>325</v>
      </c>
    </row>
    <row r="9" spans="1:25" x14ac:dyDescent="0.3">
      <c r="A9" s="18"/>
      <c r="B9" s="21"/>
      <c r="C9" s="21"/>
      <c r="D9" s="21"/>
      <c r="E9" s="21"/>
      <c r="F9" s="21"/>
      <c r="G9" s="21"/>
      <c r="H9" s="21"/>
      <c r="I9" s="21"/>
      <c r="J9" s="21"/>
      <c r="K9" s="21"/>
      <c r="L9" s="21"/>
      <c r="M9" s="21"/>
      <c r="N9" s="20"/>
      <c r="P9" s="487"/>
      <c r="Q9" s="487"/>
      <c r="R9" s="487"/>
      <c r="S9" s="487"/>
      <c r="T9" s="487"/>
      <c r="U9" s="487"/>
      <c r="V9" s="487"/>
      <c r="W9" s="487"/>
      <c r="X9" s="487"/>
      <c r="Y9" s="509"/>
    </row>
    <row r="10" spans="1:25" x14ac:dyDescent="0.3">
      <c r="A10" s="18"/>
      <c r="B10" s="21"/>
      <c r="C10" s="21"/>
      <c r="D10" s="101" t="s">
        <v>2464</v>
      </c>
      <c r="E10" s="21"/>
      <c r="F10" s="101" t="s">
        <v>3450</v>
      </c>
      <c r="G10" s="21"/>
      <c r="H10" s="21"/>
      <c r="I10" s="21"/>
      <c r="J10" s="21"/>
      <c r="K10" s="21"/>
      <c r="L10" s="21"/>
      <c r="M10" s="21"/>
      <c r="N10" s="20"/>
      <c r="P10" s="487"/>
      <c r="Q10" s="487"/>
      <c r="R10" s="487"/>
      <c r="S10" s="487"/>
      <c r="T10" s="487"/>
      <c r="U10" s="487"/>
      <c r="V10" s="487"/>
      <c r="W10" s="487"/>
      <c r="X10" s="487"/>
      <c r="Y10" s="509"/>
    </row>
    <row r="11" spans="1:25" ht="15" customHeight="1" x14ac:dyDescent="0.3">
      <c r="A11" s="18"/>
      <c r="B11" s="21"/>
      <c r="C11" s="21"/>
      <c r="D11" s="42" t="s">
        <v>2465</v>
      </c>
      <c r="E11" s="21"/>
      <c r="F11" s="30" cm="1">
        <f t="array" ref="F11">_xll.U.FIND(D11:D12,B6)</f>
        <v>6</v>
      </c>
      <c r="G11" s="21"/>
      <c r="H11" s="21"/>
      <c r="I11" s="21"/>
      <c r="J11" s="21"/>
      <c r="K11" s="21"/>
      <c r="L11" s="21"/>
      <c r="M11" s="21"/>
      <c r="N11" s="20"/>
      <c r="P11" s="487" t="s">
        <v>2466</v>
      </c>
      <c r="Q11" s="487"/>
      <c r="R11" s="487" t="s">
        <v>2469</v>
      </c>
      <c r="S11" s="487"/>
      <c r="T11" s="487"/>
      <c r="U11" s="487"/>
      <c r="V11" s="487"/>
      <c r="W11" s="487"/>
      <c r="X11" s="487"/>
      <c r="Y11" s="509" t="s">
        <v>325</v>
      </c>
    </row>
    <row r="12" spans="1:25" x14ac:dyDescent="0.3">
      <c r="A12" s="18"/>
      <c r="B12" s="21"/>
      <c r="C12" s="21"/>
      <c r="D12" s="42" t="s">
        <v>2473</v>
      </c>
      <c r="E12" s="21"/>
      <c r="F12" s="21"/>
      <c r="G12" s="21"/>
      <c r="H12" s="21"/>
      <c r="I12" s="21"/>
      <c r="J12" s="21"/>
      <c r="K12" s="21"/>
      <c r="L12" s="21"/>
      <c r="M12" s="21"/>
      <c r="N12" s="20"/>
      <c r="P12" s="487"/>
      <c r="Q12" s="487"/>
      <c r="R12" s="487"/>
      <c r="S12" s="487"/>
      <c r="T12" s="487"/>
      <c r="U12" s="487"/>
      <c r="V12" s="487"/>
      <c r="W12" s="487"/>
      <c r="X12" s="487"/>
      <c r="Y12" s="509"/>
    </row>
    <row r="13" spans="1:25" x14ac:dyDescent="0.3">
      <c r="A13" s="18"/>
      <c r="B13" s="21"/>
      <c r="C13" s="21"/>
      <c r="D13" s="21"/>
      <c r="E13" s="21"/>
      <c r="F13" s="21"/>
      <c r="G13" s="21"/>
      <c r="H13" s="21"/>
      <c r="I13" s="21"/>
      <c r="J13" s="21"/>
      <c r="K13" s="21"/>
      <c r="L13" s="21"/>
      <c r="M13" s="21"/>
      <c r="N13" s="20"/>
      <c r="P13" s="487"/>
      <c r="Q13" s="487"/>
      <c r="R13" s="487"/>
      <c r="S13" s="487"/>
      <c r="T13" s="487"/>
      <c r="U13" s="487"/>
      <c r="V13" s="487"/>
      <c r="W13" s="487"/>
      <c r="X13" s="487"/>
      <c r="Y13" s="509"/>
    </row>
    <row r="14" spans="1:25" x14ac:dyDescent="0.3">
      <c r="A14" s="18"/>
      <c r="B14" s="21"/>
      <c r="C14" s="21"/>
      <c r="D14" s="21"/>
      <c r="E14" s="21"/>
      <c r="F14" s="21"/>
      <c r="G14" s="21"/>
      <c r="H14" s="21"/>
      <c r="I14" s="21"/>
      <c r="J14" s="21"/>
      <c r="K14" s="21"/>
      <c r="L14" s="21"/>
      <c r="M14" s="21"/>
      <c r="N14" s="20"/>
      <c r="P14" s="484" t="s">
        <v>2467</v>
      </c>
      <c r="Q14" s="484"/>
      <c r="R14" s="484" t="s">
        <v>2470</v>
      </c>
      <c r="S14" s="484"/>
      <c r="T14" s="484"/>
      <c r="U14" s="484"/>
      <c r="V14" s="484"/>
      <c r="W14" s="484"/>
      <c r="X14" s="484"/>
      <c r="Y14" s="485" t="s">
        <v>326</v>
      </c>
    </row>
    <row r="15" spans="1:25" x14ac:dyDescent="0.3">
      <c r="A15" s="18"/>
      <c r="B15" s="21"/>
      <c r="C15" s="21"/>
      <c r="D15" s="21"/>
      <c r="E15" s="21"/>
      <c r="F15" s="101" t="s">
        <v>3450</v>
      </c>
      <c r="G15" s="21"/>
      <c r="H15" s="21"/>
      <c r="I15" s="21"/>
      <c r="J15" s="21"/>
      <c r="K15" s="21"/>
      <c r="L15" s="21"/>
      <c r="M15" s="21"/>
      <c r="N15" s="20"/>
      <c r="P15" s="484"/>
      <c r="Q15" s="484"/>
      <c r="R15" s="484"/>
      <c r="S15" s="484"/>
      <c r="T15" s="484"/>
      <c r="U15" s="484"/>
      <c r="V15" s="484"/>
      <c r="W15" s="484"/>
      <c r="X15" s="484"/>
      <c r="Y15" s="485"/>
    </row>
    <row r="16" spans="1:25" x14ac:dyDescent="0.3">
      <c r="A16" s="18"/>
      <c r="B16" s="21"/>
      <c r="C16" s="21"/>
      <c r="D16" s="21"/>
      <c r="E16" s="21"/>
      <c r="F16" s="30" cm="1">
        <f t="array" ref="F16">_xll.U.FIND(D11:D12,B6,7)</f>
        <v>9</v>
      </c>
      <c r="G16" s="21"/>
      <c r="H16" s="21"/>
      <c r="I16" s="21"/>
      <c r="J16" s="21"/>
      <c r="K16" s="21"/>
      <c r="L16" s="21"/>
      <c r="M16" s="21"/>
      <c r="N16" s="20"/>
      <c r="P16" s="484"/>
      <c r="Q16" s="484"/>
      <c r="R16" s="484"/>
      <c r="S16" s="484"/>
      <c r="T16" s="484"/>
      <c r="U16" s="484"/>
      <c r="V16" s="484"/>
      <c r="W16" s="484"/>
      <c r="X16" s="484"/>
      <c r="Y16" s="485"/>
    </row>
    <row r="17" spans="1:25" ht="15" customHeight="1" x14ac:dyDescent="0.3">
      <c r="A17" s="18"/>
      <c r="B17" s="21"/>
      <c r="C17" s="21"/>
      <c r="D17" s="21"/>
      <c r="E17" s="21"/>
      <c r="F17" s="21"/>
      <c r="G17" s="21"/>
      <c r="H17" s="21"/>
      <c r="I17" s="21"/>
      <c r="J17" s="21"/>
      <c r="K17" s="21"/>
      <c r="L17" s="21"/>
      <c r="M17" s="21"/>
      <c r="N17" s="20"/>
      <c r="P17" s="484" t="s">
        <v>862</v>
      </c>
      <c r="Q17" s="484"/>
      <c r="R17" s="484" t="s">
        <v>2471</v>
      </c>
      <c r="S17" s="484"/>
      <c r="T17" s="484"/>
      <c r="U17" s="484"/>
      <c r="V17" s="484"/>
      <c r="W17" s="484"/>
      <c r="X17" s="484"/>
      <c r="Y17" s="485" t="s">
        <v>326</v>
      </c>
    </row>
    <row r="18" spans="1:25" x14ac:dyDescent="0.3">
      <c r="A18" s="18"/>
      <c r="B18" s="21"/>
      <c r="C18" s="21"/>
      <c r="D18" s="21"/>
      <c r="E18" s="21"/>
      <c r="F18" s="21"/>
      <c r="G18" s="21"/>
      <c r="H18" s="21"/>
      <c r="I18" s="21"/>
      <c r="J18" s="21"/>
      <c r="K18" s="21"/>
      <c r="L18" s="21"/>
      <c r="M18" s="21"/>
      <c r="N18" s="20"/>
      <c r="P18" s="484"/>
      <c r="Q18" s="484"/>
      <c r="R18" s="484"/>
      <c r="S18" s="484"/>
      <c r="T18" s="484"/>
      <c r="U18" s="484"/>
      <c r="V18" s="484"/>
      <c r="W18" s="484"/>
      <c r="X18" s="484"/>
      <c r="Y18" s="485"/>
    </row>
    <row r="19" spans="1:25" x14ac:dyDescent="0.3">
      <c r="A19" s="18"/>
      <c r="B19" s="21"/>
      <c r="C19" s="21"/>
      <c r="D19" s="21"/>
      <c r="E19" s="21"/>
      <c r="F19" s="101" t="s">
        <v>3450</v>
      </c>
      <c r="G19" s="21"/>
      <c r="H19" s="21"/>
      <c r="I19" s="21"/>
      <c r="J19" s="21"/>
      <c r="K19" s="21"/>
      <c r="L19" s="21"/>
      <c r="M19" s="21"/>
      <c r="N19" s="20"/>
      <c r="P19" s="484"/>
      <c r="Q19" s="484"/>
      <c r="R19" s="484"/>
      <c r="S19" s="484"/>
      <c r="T19" s="484"/>
      <c r="U19" s="484"/>
      <c r="V19" s="484"/>
      <c r="W19" s="484"/>
      <c r="X19" s="484"/>
      <c r="Y19" s="485"/>
    </row>
    <row r="20" spans="1:25" x14ac:dyDescent="0.3">
      <c r="A20" s="18"/>
      <c r="B20" s="21"/>
      <c r="C20" s="21"/>
      <c r="D20" s="21"/>
      <c r="E20" s="21"/>
      <c r="F20" s="30" cm="1">
        <f t="array" ref="F20">_xll.U.FIND(D11:D12,B6,,TRUE)</f>
        <v>9</v>
      </c>
      <c r="G20" s="21"/>
      <c r="H20" s="21"/>
      <c r="I20" s="21"/>
      <c r="J20" s="21"/>
      <c r="K20" s="21"/>
      <c r="L20" s="21"/>
      <c r="M20" s="21"/>
      <c r="N20" s="20"/>
      <c r="P20" s="484" t="s">
        <v>549</v>
      </c>
      <c r="Q20" s="484"/>
      <c r="R20" s="484" t="s">
        <v>2472</v>
      </c>
      <c r="S20" s="484"/>
      <c r="T20" s="484"/>
      <c r="U20" s="484"/>
      <c r="V20" s="484"/>
      <c r="W20" s="484"/>
      <c r="X20" s="484"/>
      <c r="Y20" s="485" t="s">
        <v>326</v>
      </c>
    </row>
    <row r="21" spans="1:25" x14ac:dyDescent="0.3">
      <c r="A21" s="18"/>
      <c r="B21" s="21"/>
      <c r="C21" s="21"/>
      <c r="D21" s="21"/>
      <c r="E21" s="21"/>
      <c r="F21" s="21"/>
      <c r="G21" s="21"/>
      <c r="H21" s="21"/>
      <c r="I21" s="21"/>
      <c r="J21" s="21"/>
      <c r="K21" s="21"/>
      <c r="L21" s="21"/>
      <c r="M21" s="21"/>
      <c r="N21" s="20"/>
      <c r="P21" s="484"/>
      <c r="Q21" s="484"/>
      <c r="R21" s="484"/>
      <c r="S21" s="484"/>
      <c r="T21" s="484"/>
      <c r="U21" s="484"/>
      <c r="V21" s="484"/>
      <c r="W21" s="484"/>
      <c r="X21" s="484"/>
      <c r="Y21" s="485"/>
    </row>
    <row r="22" spans="1:25" x14ac:dyDescent="0.3">
      <c r="A22" s="18"/>
      <c r="B22" s="21"/>
      <c r="C22" s="21"/>
      <c r="D22" s="21"/>
      <c r="E22" s="21"/>
      <c r="F22" s="21"/>
      <c r="G22" s="21"/>
      <c r="H22" s="21"/>
      <c r="I22" s="21"/>
      <c r="J22" s="21"/>
      <c r="K22" s="21"/>
      <c r="L22" s="21"/>
      <c r="M22" s="21"/>
      <c r="N22" s="20"/>
      <c r="P22" s="484"/>
      <c r="Q22" s="484"/>
      <c r="R22" s="484"/>
      <c r="S22" s="484"/>
      <c r="T22" s="484"/>
      <c r="U22" s="484"/>
      <c r="V22" s="484"/>
      <c r="W22" s="484"/>
      <c r="X22" s="484"/>
      <c r="Y22" s="485"/>
    </row>
    <row r="23" spans="1:25" x14ac:dyDescent="0.3">
      <c r="A23" s="18"/>
      <c r="B23" s="21"/>
      <c r="C23" s="21"/>
      <c r="D23" s="21"/>
      <c r="E23" s="21"/>
      <c r="F23" s="21"/>
      <c r="G23" s="21"/>
      <c r="H23" s="21"/>
      <c r="I23" s="21"/>
      <c r="J23" s="21"/>
      <c r="K23" s="21"/>
      <c r="L23" s="21"/>
      <c r="M23" s="21"/>
      <c r="N23" s="20"/>
      <c r="P23" s="484" t="s">
        <v>2481</v>
      </c>
      <c r="Q23" s="484"/>
      <c r="R23" s="484" t="s">
        <v>2482</v>
      </c>
      <c r="S23" s="484"/>
      <c r="T23" s="484"/>
      <c r="U23" s="484"/>
      <c r="V23" s="484"/>
      <c r="W23" s="484"/>
      <c r="X23" s="484"/>
      <c r="Y23" s="485" t="s">
        <v>326</v>
      </c>
    </row>
    <row r="24" spans="1:25" x14ac:dyDescent="0.3">
      <c r="A24" s="18"/>
      <c r="B24" s="21"/>
      <c r="C24" s="21"/>
      <c r="D24" s="21"/>
      <c r="E24" s="21"/>
      <c r="F24" s="101" t="s">
        <v>3450</v>
      </c>
      <c r="G24" s="21"/>
      <c r="H24" s="21"/>
      <c r="I24" s="21"/>
      <c r="J24" s="21"/>
      <c r="K24" s="21"/>
      <c r="L24" s="21"/>
      <c r="M24" s="21"/>
      <c r="N24" s="20"/>
      <c r="P24" s="484"/>
      <c r="Q24" s="484"/>
      <c r="R24" s="484"/>
      <c r="S24" s="484"/>
      <c r="T24" s="484"/>
      <c r="U24" s="484"/>
      <c r="V24" s="484"/>
      <c r="W24" s="484"/>
      <c r="X24" s="484"/>
      <c r="Y24" s="485"/>
    </row>
    <row r="25" spans="1:25" x14ac:dyDescent="0.3">
      <c r="A25" s="18"/>
      <c r="B25" s="21"/>
      <c r="C25" s="21"/>
      <c r="D25" s="21"/>
      <c r="E25" s="21"/>
      <c r="F25" s="30" cm="1">
        <f t="array" ref="F25">_xll.U.FIND(D11:D12,B6,,,TRUE)</f>
        <v>9</v>
      </c>
      <c r="G25" s="21"/>
      <c r="H25" s="21"/>
      <c r="I25" s="21"/>
      <c r="J25" s="21"/>
      <c r="K25" s="21"/>
      <c r="L25" s="21"/>
      <c r="M25" s="21"/>
      <c r="N25" s="20"/>
      <c r="P25" s="484"/>
      <c r="Q25" s="484"/>
      <c r="R25" s="484"/>
      <c r="S25" s="484"/>
      <c r="T25" s="484"/>
      <c r="U25" s="484"/>
      <c r="V25" s="484"/>
      <c r="W25" s="484"/>
      <c r="X25" s="484"/>
      <c r="Y25" s="485"/>
    </row>
    <row r="26" spans="1:25" x14ac:dyDescent="0.3">
      <c r="A26" s="18"/>
      <c r="B26" s="21"/>
      <c r="C26" s="21"/>
      <c r="D26" s="21"/>
      <c r="E26" s="21"/>
      <c r="F26" s="21"/>
      <c r="G26" s="21"/>
      <c r="H26" s="21"/>
      <c r="I26" s="21"/>
      <c r="J26" s="21"/>
      <c r="K26" s="21"/>
      <c r="L26" s="21"/>
      <c r="M26" s="21"/>
      <c r="N26" s="20"/>
      <c r="P26" s="126" t="s">
        <v>328</v>
      </c>
    </row>
    <row r="27" spans="1:25" x14ac:dyDescent="0.3">
      <c r="A27" s="18"/>
      <c r="B27" s="21"/>
      <c r="C27" s="21"/>
      <c r="D27" s="21"/>
      <c r="E27" s="21"/>
      <c r="F27" s="21"/>
      <c r="G27" s="21"/>
      <c r="H27" s="21"/>
      <c r="I27" s="21"/>
      <c r="J27" s="21"/>
      <c r="K27" s="21"/>
      <c r="L27" s="21"/>
      <c r="M27" s="21"/>
      <c r="N27" s="20"/>
    </row>
    <row r="28" spans="1:25" x14ac:dyDescent="0.3">
      <c r="A28" s="18"/>
      <c r="B28" s="21"/>
      <c r="C28" s="21"/>
      <c r="D28" s="21"/>
      <c r="E28" s="21"/>
      <c r="F28" s="101" t="s">
        <v>3450</v>
      </c>
      <c r="G28" s="21"/>
      <c r="H28" s="21"/>
      <c r="I28" s="21"/>
      <c r="J28" s="21"/>
      <c r="K28" s="21"/>
      <c r="L28" s="21"/>
      <c r="M28" s="21"/>
      <c r="N28" s="20"/>
    </row>
    <row r="29" spans="1:25" x14ac:dyDescent="0.3">
      <c r="A29" s="18"/>
      <c r="B29" s="21"/>
      <c r="C29" s="21"/>
      <c r="D29" s="21"/>
      <c r="E29" s="21"/>
      <c r="F29" s="30" cm="1">
        <f t="array" ref="F29">_xll.U.FIND(D11:D12,B6,-16,,TRUE)</f>
        <v>6</v>
      </c>
      <c r="G29" s="21"/>
      <c r="H29" s="21"/>
      <c r="I29" s="21"/>
      <c r="J29" s="21"/>
      <c r="K29" s="21"/>
      <c r="L29" s="21"/>
      <c r="M29" s="21"/>
      <c r="N29" s="20"/>
    </row>
    <row r="30" spans="1:25" x14ac:dyDescent="0.3">
      <c r="A30" s="18"/>
      <c r="B30" s="21"/>
      <c r="C30" s="21"/>
      <c r="D30" s="21"/>
      <c r="E30" s="21"/>
      <c r="F30" s="21"/>
      <c r="G30" s="21"/>
      <c r="H30" s="21"/>
      <c r="I30" s="21"/>
      <c r="J30" s="21"/>
      <c r="K30" s="21"/>
      <c r="L30" s="21"/>
      <c r="M30" s="21"/>
      <c r="N30" s="20"/>
    </row>
    <row r="31" spans="1:25" x14ac:dyDescent="0.3">
      <c r="A31" s="18"/>
      <c r="B31" s="21"/>
      <c r="C31" s="21"/>
      <c r="D31" s="21"/>
      <c r="E31" s="21"/>
      <c r="F31" s="21"/>
      <c r="G31" s="21"/>
      <c r="H31" s="21"/>
      <c r="I31" s="21"/>
      <c r="J31" s="21"/>
      <c r="K31" s="21"/>
      <c r="L31" s="21"/>
      <c r="M31" s="21"/>
      <c r="N31" s="20"/>
    </row>
    <row r="32" spans="1:25" x14ac:dyDescent="0.3">
      <c r="A32" s="18"/>
      <c r="B32" s="21"/>
      <c r="C32" s="21"/>
      <c r="D32" s="21"/>
      <c r="E32" s="21"/>
      <c r="F32" s="21"/>
      <c r="G32" s="21"/>
      <c r="H32" s="21"/>
      <c r="I32" s="21"/>
      <c r="J32" s="21"/>
      <c r="K32" s="21"/>
      <c r="L32" s="21"/>
      <c r="M32" s="21"/>
      <c r="N32" s="20"/>
    </row>
    <row r="33" spans="1:14" x14ac:dyDescent="0.3">
      <c r="A33" s="18"/>
      <c r="B33" s="492" t="s">
        <v>2474</v>
      </c>
      <c r="C33" s="493"/>
      <c r="D33" s="21"/>
      <c r="E33" s="21"/>
      <c r="F33" s="101" t="s">
        <v>2464</v>
      </c>
      <c r="G33" s="21"/>
      <c r="H33" s="492" t="s">
        <v>3450</v>
      </c>
      <c r="I33" s="493"/>
      <c r="J33" s="21"/>
      <c r="K33" s="21"/>
      <c r="L33" s="21"/>
      <c r="M33" s="21"/>
      <c r="N33" s="20"/>
    </row>
    <row r="34" spans="1:14" x14ac:dyDescent="0.3">
      <c r="A34" s="18"/>
      <c r="B34" s="362" t="s">
        <v>2488</v>
      </c>
      <c r="C34" s="362" t="s">
        <v>2475</v>
      </c>
      <c r="D34" s="21"/>
      <c r="E34" s="21"/>
      <c r="F34" s="42">
        <v>1</v>
      </c>
      <c r="G34" s="21"/>
      <c r="H34" s="30">
        <f t="array" ref="H34:I35">_xll.U.FIND(F34:F36,B34:C35)</f>
        <v>7</v>
      </c>
      <c r="I34" s="30">
        <v>4</v>
      </c>
      <c r="J34" s="21"/>
      <c r="K34" s="21"/>
      <c r="L34" s="21"/>
      <c r="M34" s="21"/>
      <c r="N34" s="20"/>
    </row>
    <row r="35" spans="1:14" x14ac:dyDescent="0.3">
      <c r="A35" s="18"/>
      <c r="B35" s="362" t="s">
        <v>2476</v>
      </c>
      <c r="C35" s="362" t="s">
        <v>2477</v>
      </c>
      <c r="D35" s="21"/>
      <c r="E35" s="21"/>
      <c r="F35" s="42">
        <v>2</v>
      </c>
      <c r="G35" s="21"/>
      <c r="H35" s="30">
        <v>19</v>
      </c>
      <c r="I35" s="30">
        <v>1</v>
      </c>
      <c r="J35" s="21"/>
      <c r="K35" s="21"/>
      <c r="L35" s="21"/>
      <c r="M35" s="21"/>
      <c r="N35" s="20"/>
    </row>
    <row r="36" spans="1:14" x14ac:dyDescent="0.3">
      <c r="A36" s="18"/>
      <c r="B36" s="21"/>
      <c r="C36" s="21"/>
      <c r="D36" s="21"/>
      <c r="E36" s="21"/>
      <c r="F36" s="42">
        <v>3</v>
      </c>
      <c r="G36" s="21"/>
      <c r="H36" s="21"/>
      <c r="I36" s="21"/>
      <c r="J36" s="21"/>
      <c r="K36" s="21"/>
      <c r="L36" s="21"/>
      <c r="M36" s="21"/>
      <c r="N36" s="20"/>
    </row>
    <row r="37" spans="1:14" x14ac:dyDescent="0.3">
      <c r="A37" s="18"/>
      <c r="B37" s="21"/>
      <c r="C37" s="21"/>
      <c r="D37" s="21"/>
      <c r="E37" s="21"/>
      <c r="F37" s="21"/>
      <c r="G37" s="21"/>
      <c r="H37" s="21"/>
      <c r="I37" s="21"/>
      <c r="J37" s="21"/>
      <c r="K37" s="21"/>
      <c r="L37" s="21"/>
      <c r="M37" s="21"/>
      <c r="N37" s="20"/>
    </row>
    <row r="38" spans="1:14" x14ac:dyDescent="0.3">
      <c r="A38" s="18"/>
      <c r="B38" s="21"/>
      <c r="C38" s="21"/>
      <c r="D38" s="21"/>
      <c r="E38" s="21"/>
      <c r="F38" s="21"/>
      <c r="G38" s="21"/>
      <c r="H38" s="21"/>
      <c r="I38" s="21"/>
      <c r="J38" s="21"/>
      <c r="K38" s="21"/>
      <c r="L38" s="21"/>
      <c r="M38" s="21"/>
      <c r="N38" s="20"/>
    </row>
    <row r="39" spans="1:14" x14ac:dyDescent="0.3">
      <c r="A39" s="18"/>
      <c r="B39" s="21"/>
      <c r="C39" s="21"/>
      <c r="D39" s="21"/>
      <c r="E39" s="21"/>
      <c r="F39" s="101" t="s">
        <v>2464</v>
      </c>
      <c r="G39" s="21"/>
      <c r="H39" s="492" t="s">
        <v>3450</v>
      </c>
      <c r="I39" s="493"/>
      <c r="J39" s="21"/>
      <c r="K39" s="21"/>
      <c r="L39" s="21"/>
      <c r="M39" s="21"/>
      <c r="N39" s="20"/>
    </row>
    <row r="40" spans="1:14" x14ac:dyDescent="0.3">
      <c r="A40" s="18"/>
      <c r="B40" s="21"/>
      <c r="C40" s="21"/>
      <c r="D40" s="21"/>
      <c r="E40" s="21"/>
      <c r="F40" s="42" t="s">
        <v>2479</v>
      </c>
      <c r="G40" s="21"/>
      <c r="H40" s="30" t="str">
        <f t="array" ref="H40:I41">_xll.U.FIND(F40:F41,B34:C35,,,,TRUE)</f>
        <v>5,9,18,22</v>
      </c>
      <c r="I40" s="30" t="str">
        <v>1,6</v>
      </c>
      <c r="J40" s="21"/>
      <c r="K40" s="21"/>
      <c r="L40" s="21"/>
      <c r="M40" s="21"/>
      <c r="N40" s="20"/>
    </row>
    <row r="41" spans="1:14" x14ac:dyDescent="0.3">
      <c r="A41" s="18"/>
      <c r="B41" s="21"/>
      <c r="C41" s="21"/>
      <c r="D41" s="21"/>
      <c r="E41" s="21"/>
      <c r="F41" s="42" t="s">
        <v>2480</v>
      </c>
      <c r="G41" s="21"/>
      <c r="H41" s="30" t="str">
        <v>1,9</v>
      </c>
      <c r="I41" s="30" t="str">
        <v>6,13</v>
      </c>
      <c r="J41" s="21"/>
      <c r="K41" s="21"/>
      <c r="L41" s="21"/>
      <c r="M41" s="21"/>
      <c r="N41" s="20"/>
    </row>
    <row r="42" spans="1:14" x14ac:dyDescent="0.3">
      <c r="A42" s="18"/>
      <c r="B42" s="21"/>
      <c r="C42" s="21"/>
      <c r="D42" s="21"/>
      <c r="E42" s="21"/>
      <c r="F42" s="21"/>
      <c r="G42" s="21"/>
      <c r="H42" s="21"/>
      <c r="I42" s="21"/>
      <c r="J42" s="21"/>
      <c r="K42" s="21"/>
      <c r="L42" s="21"/>
      <c r="M42" s="21"/>
      <c r="N42" s="20"/>
    </row>
    <row r="43" spans="1:14" x14ac:dyDescent="0.3">
      <c r="A43" s="18"/>
      <c r="B43" s="21"/>
      <c r="C43" s="21"/>
      <c r="D43" s="21"/>
      <c r="E43" s="21"/>
      <c r="F43" s="21"/>
      <c r="G43" s="21"/>
      <c r="H43" s="21"/>
      <c r="I43" s="21"/>
      <c r="J43" s="21"/>
      <c r="K43" s="21"/>
      <c r="L43" s="21"/>
      <c r="M43" s="21"/>
      <c r="N43" s="20"/>
    </row>
    <row r="44" spans="1:14" x14ac:dyDescent="0.3">
      <c r="A44" s="18"/>
      <c r="B44" s="21"/>
      <c r="C44" s="21"/>
      <c r="D44" s="21"/>
      <c r="E44" s="21"/>
      <c r="F44" s="21"/>
      <c r="G44" s="21"/>
      <c r="H44" s="21"/>
      <c r="I44" s="21"/>
      <c r="J44" s="21"/>
      <c r="K44" s="21"/>
      <c r="L44" s="21"/>
      <c r="M44" s="21"/>
      <c r="N44" s="20"/>
    </row>
    <row r="45" spans="1:14" ht="15" thickBot="1" x14ac:dyDescent="0.35">
      <c r="A45" s="22"/>
      <c r="B45" s="23"/>
      <c r="C45" s="23"/>
      <c r="D45" s="23"/>
      <c r="E45" s="23"/>
      <c r="F45" s="23"/>
      <c r="G45" s="23"/>
      <c r="H45" s="23"/>
      <c r="I45" s="23"/>
      <c r="J45" s="23"/>
      <c r="K45" s="23"/>
      <c r="L45" s="23"/>
      <c r="M45" s="23"/>
      <c r="N45" s="24"/>
    </row>
  </sheetData>
  <mergeCells count="26">
    <mergeCell ref="B33:C33"/>
    <mergeCell ref="H33:I33"/>
    <mergeCell ref="P8:Q10"/>
    <mergeCell ref="R8:X10"/>
    <mergeCell ref="Y8:Y10"/>
    <mergeCell ref="P11:Q13"/>
    <mergeCell ref="R11:X13"/>
    <mergeCell ref="Y11:Y13"/>
    <mergeCell ref="Y17:Y19"/>
    <mergeCell ref="P23:Q25"/>
    <mergeCell ref="R23:X25"/>
    <mergeCell ref="Y23:Y25"/>
    <mergeCell ref="P14:Q16"/>
    <mergeCell ref="R14:X16"/>
    <mergeCell ref="Y14:Y16"/>
    <mergeCell ref="P17:Q19"/>
    <mergeCell ref="R17:X19"/>
    <mergeCell ref="H39:I39"/>
    <mergeCell ref="P3:Y3"/>
    <mergeCell ref="P4:Q6"/>
    <mergeCell ref="R4:Y6"/>
    <mergeCell ref="P7:Q7"/>
    <mergeCell ref="R7:X7"/>
    <mergeCell ref="P20:Q22"/>
    <mergeCell ref="R20:X22"/>
    <mergeCell ref="Y20:Y22"/>
  </mergeCells>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dimension ref="A1:U70"/>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31.5546875" customWidth="1"/>
    <col min="3" max="3" width="36.44140625" bestFit="1" customWidth="1"/>
    <col min="4" max="7" width="10.5546875" customWidth="1"/>
    <col min="8" max="8" width="33.21875" bestFit="1" customWidth="1"/>
    <col min="14" max="20" width="13.77734375" customWidth="1"/>
  </cols>
  <sheetData>
    <row r="1" spans="1:21" ht="34.5" customHeight="1" thickBot="1" x14ac:dyDescent="0.35">
      <c r="A1" s="292" t="s">
        <v>1580</v>
      </c>
      <c r="B1" s="473" t="e" vm="1">
        <v>#VALUE!</v>
      </c>
      <c r="C1" s="8" t="s">
        <v>823</v>
      </c>
      <c r="D1" s="27"/>
      <c r="E1" s="16"/>
      <c r="F1" s="16"/>
      <c r="G1" s="16"/>
      <c r="H1" s="16"/>
      <c r="I1" s="16"/>
      <c r="J1" s="19"/>
    </row>
    <row r="2" spans="1:21" ht="15" customHeight="1" x14ac:dyDescent="0.3">
      <c r="A2" s="18"/>
      <c r="B2" s="25"/>
      <c r="C2" s="25"/>
      <c r="D2" s="21"/>
      <c r="E2" s="21"/>
      <c r="F2" s="21"/>
      <c r="G2" s="21"/>
      <c r="H2" s="21"/>
      <c r="I2" s="21"/>
      <c r="J2" s="20"/>
    </row>
    <row r="3" spans="1:21" x14ac:dyDescent="0.3">
      <c r="A3" s="18"/>
      <c r="B3" s="21"/>
      <c r="C3" s="21"/>
      <c r="D3" s="21"/>
      <c r="E3" s="21"/>
      <c r="F3" s="21"/>
      <c r="G3" s="21"/>
      <c r="H3" s="21"/>
      <c r="I3" s="21"/>
      <c r="J3" s="20"/>
      <c r="L3" s="486" t="s">
        <v>3451</v>
      </c>
      <c r="M3" s="486"/>
      <c r="N3" s="486"/>
      <c r="O3" s="486"/>
      <c r="P3" s="486"/>
      <c r="Q3" s="486"/>
      <c r="R3" s="486"/>
      <c r="S3" s="486"/>
      <c r="T3" s="486"/>
      <c r="U3" s="486"/>
    </row>
    <row r="4" spans="1:21" x14ac:dyDescent="0.3">
      <c r="A4" s="18"/>
      <c r="B4" s="101" t="s">
        <v>828</v>
      </c>
      <c r="C4" s="21"/>
      <c r="D4" s="475" t="s">
        <v>830</v>
      </c>
      <c r="E4" s="475"/>
      <c r="F4" s="21"/>
      <c r="G4" s="21"/>
      <c r="H4" s="101" t="s">
        <v>3451</v>
      </c>
      <c r="I4" s="21"/>
      <c r="J4" s="20"/>
      <c r="L4" s="487" t="s">
        <v>333</v>
      </c>
      <c r="M4" s="487"/>
      <c r="N4" s="487" t="s">
        <v>827</v>
      </c>
      <c r="O4" s="487"/>
      <c r="P4" s="487"/>
      <c r="Q4" s="487"/>
      <c r="R4" s="487"/>
      <c r="S4" s="487"/>
      <c r="T4" s="487"/>
      <c r="U4" s="487"/>
    </row>
    <row r="5" spans="1:21" x14ac:dyDescent="0.3">
      <c r="A5" s="18"/>
      <c r="B5" s="30" t="s">
        <v>829</v>
      </c>
      <c r="C5" s="21"/>
      <c r="D5" s="42" t="s">
        <v>831</v>
      </c>
      <c r="E5" s="42" t="s">
        <v>832</v>
      </c>
      <c r="F5" s="21"/>
      <c r="G5" s="21"/>
      <c r="H5" s="36" t="str">
        <f t="array" ref="H5">_xll.U.FORMAT_STRING(B5,D5:E5)</f>
        <v>My name is Bond, James Bond</v>
      </c>
      <c r="I5" s="21"/>
      <c r="J5" s="20"/>
      <c r="L5" s="487"/>
      <c r="M5" s="487"/>
      <c r="N5" s="487"/>
      <c r="O5" s="487"/>
      <c r="P5" s="487"/>
      <c r="Q5" s="487"/>
      <c r="R5" s="487"/>
      <c r="S5" s="487"/>
      <c r="T5" s="487"/>
      <c r="U5" s="487"/>
    </row>
    <row r="6" spans="1:21" x14ac:dyDescent="0.3">
      <c r="A6" s="18"/>
      <c r="B6" s="21"/>
      <c r="C6" s="21"/>
      <c r="D6" s="21"/>
      <c r="E6" s="21"/>
      <c r="F6" s="21"/>
      <c r="G6" s="21"/>
      <c r="H6" s="21"/>
      <c r="I6" s="21"/>
      <c r="J6" s="20"/>
      <c r="L6" s="487"/>
      <c r="M6" s="487"/>
      <c r="N6" s="487"/>
      <c r="O6" s="487"/>
      <c r="P6" s="487"/>
      <c r="Q6" s="487"/>
      <c r="R6" s="487"/>
      <c r="S6" s="487"/>
      <c r="T6" s="487"/>
      <c r="U6" s="487"/>
    </row>
    <row r="7" spans="1:21" x14ac:dyDescent="0.3">
      <c r="A7" s="18"/>
      <c r="B7" s="21"/>
      <c r="C7" s="21"/>
      <c r="D7" s="21"/>
      <c r="E7" s="21"/>
      <c r="F7" s="21"/>
      <c r="G7" s="21"/>
      <c r="H7" s="21"/>
      <c r="I7" s="21"/>
      <c r="J7" s="20"/>
      <c r="L7" s="483" t="s">
        <v>323</v>
      </c>
      <c r="M7" s="483"/>
      <c r="N7" s="483" t="s">
        <v>1</v>
      </c>
      <c r="O7" s="483"/>
      <c r="P7" s="483"/>
      <c r="Q7" s="483"/>
      <c r="R7" s="483"/>
      <c r="S7" s="483"/>
      <c r="T7" s="483"/>
      <c r="U7" s="85" t="s">
        <v>324</v>
      </c>
    </row>
    <row r="8" spans="1:21" x14ac:dyDescent="0.3">
      <c r="A8" s="18"/>
      <c r="B8" s="21"/>
      <c r="C8" s="21"/>
      <c r="D8" s="21"/>
      <c r="E8" s="21"/>
      <c r="F8" s="21"/>
      <c r="G8" s="21"/>
      <c r="H8" s="21"/>
      <c r="I8" s="21"/>
      <c r="J8" s="20"/>
      <c r="L8" s="487" t="s">
        <v>824</v>
      </c>
      <c r="M8" s="487"/>
      <c r="N8" s="487" t="s">
        <v>826</v>
      </c>
      <c r="O8" s="487"/>
      <c r="P8" s="487"/>
      <c r="Q8" s="487"/>
      <c r="R8" s="487"/>
      <c r="S8" s="487"/>
      <c r="T8" s="487"/>
      <c r="U8" s="509" t="s">
        <v>325</v>
      </c>
    </row>
    <row r="9" spans="1:21" x14ac:dyDescent="0.3">
      <c r="A9" s="18"/>
      <c r="B9" s="21"/>
      <c r="C9" s="21"/>
      <c r="D9" s="21"/>
      <c r="E9" s="21"/>
      <c r="F9" s="21"/>
      <c r="G9" s="21"/>
      <c r="H9" s="21"/>
      <c r="I9" s="21"/>
      <c r="J9" s="20"/>
      <c r="L9" s="487"/>
      <c r="M9" s="487"/>
      <c r="N9" s="487"/>
      <c r="O9" s="487"/>
      <c r="P9" s="487"/>
      <c r="Q9" s="487"/>
      <c r="R9" s="487"/>
      <c r="S9" s="487"/>
      <c r="T9" s="487"/>
      <c r="U9" s="509"/>
    </row>
    <row r="10" spans="1:21" x14ac:dyDescent="0.3">
      <c r="A10" s="18"/>
      <c r="B10" s="21"/>
      <c r="C10" s="21"/>
      <c r="D10" s="21"/>
      <c r="E10" s="21"/>
      <c r="F10" s="21"/>
      <c r="G10" s="21"/>
      <c r="H10" s="21"/>
      <c r="I10" s="21"/>
      <c r="J10" s="20"/>
      <c r="L10" s="487"/>
      <c r="M10" s="487"/>
      <c r="N10" s="487"/>
      <c r="O10" s="487"/>
      <c r="P10" s="487"/>
      <c r="Q10" s="487"/>
      <c r="R10" s="487"/>
      <c r="S10" s="487"/>
      <c r="T10" s="487"/>
      <c r="U10" s="509"/>
    </row>
    <row r="11" spans="1:21" x14ac:dyDescent="0.3">
      <c r="A11" s="18"/>
      <c r="B11" s="21"/>
      <c r="C11" s="21"/>
      <c r="D11" s="21"/>
      <c r="E11" s="21"/>
      <c r="F11" s="21"/>
      <c r="G11" s="21"/>
      <c r="H11" s="21"/>
      <c r="I11" s="21"/>
      <c r="J11" s="20"/>
      <c r="L11" s="487" t="s">
        <v>825</v>
      </c>
      <c r="M11" s="487"/>
      <c r="N11" s="487" t="s">
        <v>2104</v>
      </c>
      <c r="O11" s="487"/>
      <c r="P11" s="487"/>
      <c r="Q11" s="487"/>
      <c r="R11" s="487"/>
      <c r="S11" s="487"/>
      <c r="T11" s="487"/>
      <c r="U11" s="509" t="s">
        <v>325</v>
      </c>
    </row>
    <row r="12" spans="1:21" x14ac:dyDescent="0.3">
      <c r="A12" s="18"/>
      <c r="B12" s="21"/>
      <c r="C12" s="21"/>
      <c r="D12" s="21"/>
      <c r="E12" s="21"/>
      <c r="F12" s="21"/>
      <c r="G12" s="21"/>
      <c r="H12" s="21"/>
      <c r="I12" s="21"/>
      <c r="J12" s="20"/>
      <c r="L12" s="487"/>
      <c r="M12" s="487"/>
      <c r="N12" s="487"/>
      <c r="O12" s="487"/>
      <c r="P12" s="487"/>
      <c r="Q12" s="487"/>
      <c r="R12" s="487"/>
      <c r="S12" s="487"/>
      <c r="T12" s="487"/>
      <c r="U12" s="509"/>
    </row>
    <row r="13" spans="1:21" x14ac:dyDescent="0.3">
      <c r="A13" s="18"/>
      <c r="B13" s="21"/>
      <c r="C13" s="21"/>
      <c r="D13" s="21"/>
      <c r="E13" s="21"/>
      <c r="F13" s="21"/>
      <c r="G13" s="21"/>
      <c r="H13" s="21"/>
      <c r="I13" s="21"/>
      <c r="J13" s="20"/>
      <c r="L13" s="487"/>
      <c r="M13" s="487"/>
      <c r="N13" s="487"/>
      <c r="O13" s="487"/>
      <c r="P13" s="487"/>
      <c r="Q13" s="487"/>
      <c r="R13" s="487"/>
      <c r="S13" s="487"/>
      <c r="T13" s="487"/>
      <c r="U13" s="509"/>
    </row>
    <row r="14" spans="1:21" x14ac:dyDescent="0.3">
      <c r="A14" s="18"/>
      <c r="B14" s="21"/>
      <c r="C14" s="21"/>
      <c r="D14" s="21"/>
      <c r="E14" s="21"/>
      <c r="F14" s="21"/>
      <c r="G14" s="21"/>
      <c r="H14" s="21"/>
      <c r="I14" s="21"/>
      <c r="J14" s="20"/>
      <c r="L14" s="484" t="s">
        <v>873</v>
      </c>
      <c r="M14" s="484"/>
      <c r="N14" s="484" t="s">
        <v>1643</v>
      </c>
      <c r="O14" s="484"/>
      <c r="P14" s="484"/>
      <c r="Q14" s="484"/>
      <c r="R14" s="484"/>
      <c r="S14" s="484"/>
      <c r="T14" s="484"/>
      <c r="U14" s="485" t="s">
        <v>326</v>
      </c>
    </row>
    <row r="15" spans="1:21" ht="15" customHeight="1" x14ac:dyDescent="0.3">
      <c r="A15" s="18"/>
      <c r="B15" s="21"/>
      <c r="C15" s="21"/>
      <c r="D15" s="21"/>
      <c r="E15" s="21"/>
      <c r="F15" s="21"/>
      <c r="G15" s="21"/>
      <c r="H15" s="21"/>
      <c r="I15" s="21"/>
      <c r="J15" s="20"/>
      <c r="L15" s="484"/>
      <c r="M15" s="484"/>
      <c r="N15" s="484"/>
      <c r="O15" s="484"/>
      <c r="P15" s="484"/>
      <c r="Q15" s="484"/>
      <c r="R15" s="484"/>
      <c r="S15" s="484"/>
      <c r="T15" s="484"/>
      <c r="U15" s="485"/>
    </row>
    <row r="16" spans="1:21" x14ac:dyDescent="0.3">
      <c r="A16" s="18"/>
      <c r="B16" s="101" t="s">
        <v>828</v>
      </c>
      <c r="C16" s="21"/>
      <c r="D16" s="475" t="s">
        <v>830</v>
      </c>
      <c r="E16" s="475"/>
      <c r="F16" s="21"/>
      <c r="G16" s="21"/>
      <c r="H16" s="21"/>
      <c r="I16" s="21"/>
      <c r="J16" s="20"/>
      <c r="L16" s="484"/>
      <c r="M16" s="484"/>
      <c r="N16" s="484"/>
      <c r="O16" s="484"/>
      <c r="P16" s="484"/>
      <c r="Q16" s="484"/>
      <c r="R16" s="484"/>
      <c r="S16" s="484"/>
      <c r="T16" s="484"/>
      <c r="U16" s="485"/>
    </row>
    <row r="17" spans="1:21" x14ac:dyDescent="0.3">
      <c r="A17" s="18"/>
      <c r="B17" s="30" t="s">
        <v>833</v>
      </c>
      <c r="C17" s="21"/>
      <c r="D17" s="42">
        <v>10</v>
      </c>
      <c r="E17" s="42">
        <v>4</v>
      </c>
      <c r="F17" s="21"/>
      <c r="G17" s="21"/>
      <c r="H17" s="36" t="str">
        <f t="array" ref="H17:H19">_xll.U.FORMAT_STRING(B17:B19,D17:E19)</f>
        <v>I bought 10 apples today for $4</v>
      </c>
      <c r="I17" s="21"/>
      <c r="J17" s="20"/>
      <c r="L17" s="484" t="s">
        <v>911</v>
      </c>
      <c r="M17" s="484"/>
      <c r="N17" s="484" t="s">
        <v>912</v>
      </c>
      <c r="O17" s="484"/>
      <c r="P17" s="484"/>
      <c r="Q17" s="484"/>
      <c r="R17" s="484"/>
      <c r="S17" s="484"/>
      <c r="T17" s="484"/>
      <c r="U17" s="485" t="s">
        <v>326</v>
      </c>
    </row>
    <row r="18" spans="1:21" x14ac:dyDescent="0.3">
      <c r="A18" s="18"/>
      <c r="B18" s="30" t="s">
        <v>834</v>
      </c>
      <c r="C18" s="21"/>
      <c r="D18" s="42" t="s">
        <v>835</v>
      </c>
      <c r="E18" s="42" t="s">
        <v>836</v>
      </c>
      <c r="F18" s="21"/>
      <c r="G18" s="21"/>
      <c r="H18" s="36" t="str">
        <v>It's not how you Feel, it's how you Look</v>
      </c>
      <c r="I18" s="21"/>
      <c r="J18" s="20"/>
      <c r="L18" s="484"/>
      <c r="M18" s="484"/>
      <c r="N18" s="484"/>
      <c r="O18" s="484"/>
      <c r="P18" s="484"/>
      <c r="Q18" s="484"/>
      <c r="R18" s="484"/>
      <c r="S18" s="484"/>
      <c r="T18" s="484"/>
      <c r="U18" s="485"/>
    </row>
    <row r="19" spans="1:21" ht="15" customHeight="1" x14ac:dyDescent="0.3">
      <c r="A19" s="18"/>
      <c r="B19" s="30" t="s">
        <v>837</v>
      </c>
      <c r="C19" s="21"/>
      <c r="D19" s="42" t="s">
        <v>838</v>
      </c>
      <c r="E19" s="42" t="s">
        <v>839</v>
      </c>
      <c r="F19" s="21"/>
      <c r="G19" s="21"/>
      <c r="H19" s="36" t="str">
        <v>na na na na na na na Hey Jude</v>
      </c>
      <c r="I19" s="21"/>
      <c r="J19" s="20"/>
      <c r="L19" s="484"/>
      <c r="M19" s="484"/>
      <c r="N19" s="484"/>
      <c r="O19" s="484"/>
      <c r="P19" s="484"/>
      <c r="Q19" s="484"/>
      <c r="R19" s="484"/>
      <c r="S19" s="484"/>
      <c r="T19" s="484"/>
      <c r="U19" s="485"/>
    </row>
    <row r="20" spans="1:21" x14ac:dyDescent="0.3">
      <c r="A20" s="18"/>
      <c r="B20" s="21"/>
      <c r="C20" s="21"/>
      <c r="D20" s="21"/>
      <c r="E20" s="21"/>
      <c r="F20" s="21"/>
      <c r="G20" s="21"/>
      <c r="H20" s="21"/>
      <c r="I20" s="21"/>
      <c r="J20" s="20"/>
      <c r="L20" s="126" t="s">
        <v>328</v>
      </c>
    </row>
    <row r="21" spans="1:21" x14ac:dyDescent="0.3">
      <c r="A21" s="18"/>
      <c r="B21" s="21"/>
      <c r="C21" s="21"/>
      <c r="D21" s="21"/>
      <c r="E21" s="21"/>
      <c r="F21" s="21"/>
      <c r="G21" s="21"/>
      <c r="H21" s="21"/>
      <c r="I21" s="21"/>
      <c r="J21" s="20"/>
    </row>
    <row r="22" spans="1:21" x14ac:dyDescent="0.3">
      <c r="A22" s="18"/>
      <c r="B22" s="21"/>
      <c r="C22" s="21"/>
      <c r="D22" s="21"/>
      <c r="E22" s="21"/>
      <c r="F22" s="21"/>
      <c r="G22" s="21"/>
      <c r="H22" s="21"/>
      <c r="I22" s="21"/>
      <c r="J22" s="20"/>
    </row>
    <row r="23" spans="1:21" x14ac:dyDescent="0.3">
      <c r="A23" s="18"/>
      <c r="B23" s="21"/>
      <c r="C23" s="21"/>
      <c r="D23" s="21"/>
      <c r="E23" s="21"/>
      <c r="F23" s="21"/>
      <c r="G23" s="21"/>
      <c r="H23" s="21"/>
      <c r="I23" s="21"/>
      <c r="J23" s="20"/>
    </row>
    <row r="24" spans="1:21" x14ac:dyDescent="0.3">
      <c r="A24" s="18"/>
      <c r="B24" s="21"/>
      <c r="C24" s="21"/>
      <c r="D24" s="21"/>
      <c r="E24" s="21"/>
      <c r="F24" s="21"/>
      <c r="G24" s="21"/>
      <c r="H24" s="21"/>
      <c r="I24" s="21"/>
      <c r="J24" s="20"/>
    </row>
    <row r="25" spans="1:21" x14ac:dyDescent="0.3">
      <c r="A25" s="18"/>
      <c r="B25" s="117"/>
      <c r="C25" s="21"/>
      <c r="D25" s="123"/>
      <c r="E25" s="21"/>
      <c r="F25" s="21"/>
      <c r="G25" s="21"/>
      <c r="H25" s="21"/>
      <c r="I25" s="21"/>
      <c r="J25" s="20"/>
    </row>
    <row r="26" spans="1:21" x14ac:dyDescent="0.3">
      <c r="A26" s="18"/>
      <c r="B26" s="117"/>
      <c r="C26" s="21"/>
      <c r="D26" s="123"/>
      <c r="E26" s="21"/>
      <c r="F26" s="21"/>
      <c r="G26" s="21"/>
      <c r="H26" s="21"/>
      <c r="I26" s="21"/>
      <c r="J26" s="20"/>
    </row>
    <row r="27" spans="1:21" x14ac:dyDescent="0.3">
      <c r="A27" s="18"/>
      <c r="B27" s="101" t="s">
        <v>828</v>
      </c>
      <c r="C27" s="21"/>
      <c r="D27" s="475" t="s">
        <v>830</v>
      </c>
      <c r="E27" s="475"/>
      <c r="F27" s="21"/>
      <c r="G27" s="21"/>
      <c r="H27" s="21"/>
      <c r="I27" s="21"/>
      <c r="J27" s="20"/>
    </row>
    <row r="28" spans="1:21" x14ac:dyDescent="0.3">
      <c r="A28" s="18"/>
      <c r="B28" s="30" t="s">
        <v>843</v>
      </c>
      <c r="C28" s="21"/>
      <c r="D28" s="42" t="s">
        <v>161</v>
      </c>
      <c r="E28" s="42" t="s">
        <v>846</v>
      </c>
      <c r="F28" s="21"/>
      <c r="G28" s="21"/>
      <c r="H28" s="30" t="str">
        <f t="array" ref="H28:H30">_xll.U.FORMAT_STRING(B28:B30,(D28,E28:E30))</f>
        <v>Today Tom is happy</v>
      </c>
      <c r="I28" s="21"/>
      <c r="J28" s="20"/>
    </row>
    <row r="29" spans="1:21" x14ac:dyDescent="0.3">
      <c r="A29" s="18"/>
      <c r="B29" s="30" t="s">
        <v>844</v>
      </c>
      <c r="C29" s="21"/>
      <c r="D29" s="21"/>
      <c r="E29" s="42" t="s">
        <v>847</v>
      </c>
      <c r="F29" s="21"/>
      <c r="G29" s="21"/>
      <c r="H29" s="30" t="str">
        <v>Yesterday Tom was sad</v>
      </c>
      <c r="I29" s="21"/>
      <c r="J29" s="20"/>
    </row>
    <row r="30" spans="1:21" x14ac:dyDescent="0.3">
      <c r="A30" s="18"/>
      <c r="B30" s="30" t="s">
        <v>845</v>
      </c>
      <c r="C30" s="21"/>
      <c r="D30" s="21"/>
      <c r="E30" s="42" t="s">
        <v>848</v>
      </c>
      <c r="F30" s="21"/>
      <c r="G30" s="21"/>
      <c r="H30" s="30" t="str">
        <v>Tomorrow Tom will be indifferent</v>
      </c>
      <c r="I30" s="21"/>
      <c r="J30" s="20"/>
    </row>
    <row r="31" spans="1:21" x14ac:dyDescent="0.3">
      <c r="A31" s="18"/>
      <c r="B31" s="117"/>
      <c r="C31" s="21"/>
      <c r="D31" s="123"/>
      <c r="E31" s="21"/>
      <c r="F31" s="21"/>
      <c r="G31" s="21"/>
      <c r="H31" s="21"/>
      <c r="I31" s="21"/>
      <c r="J31" s="20"/>
    </row>
    <row r="32" spans="1:21" x14ac:dyDescent="0.3">
      <c r="A32" s="18"/>
      <c r="B32" s="117"/>
      <c r="C32" s="21"/>
      <c r="D32" s="123"/>
      <c r="E32" s="21"/>
      <c r="F32" s="21"/>
      <c r="G32" s="21"/>
      <c r="H32" s="21"/>
      <c r="I32" s="21"/>
      <c r="J32" s="20"/>
    </row>
    <row r="33" spans="1:10" x14ac:dyDescent="0.3">
      <c r="A33" s="18"/>
      <c r="B33" s="117"/>
      <c r="C33" s="21"/>
      <c r="D33" s="123"/>
      <c r="E33" s="21"/>
      <c r="F33" s="21"/>
      <c r="G33" s="21"/>
      <c r="H33" s="21"/>
      <c r="I33" s="21"/>
      <c r="J33" s="20"/>
    </row>
    <row r="34" spans="1:10" x14ac:dyDescent="0.3">
      <c r="A34" s="18"/>
      <c r="B34" s="117"/>
      <c r="C34" s="21"/>
      <c r="D34" s="123"/>
      <c r="E34" s="21"/>
      <c r="F34" s="21"/>
      <c r="G34" s="21"/>
      <c r="H34" s="21"/>
      <c r="I34" s="21"/>
      <c r="J34" s="20"/>
    </row>
    <row r="35" spans="1:10" x14ac:dyDescent="0.3">
      <c r="A35" s="18"/>
      <c r="B35" s="117"/>
      <c r="C35" s="21"/>
      <c r="D35" s="123"/>
      <c r="E35" s="21"/>
      <c r="F35" s="21"/>
      <c r="G35" s="21"/>
      <c r="H35" s="21"/>
      <c r="I35" s="21"/>
      <c r="J35" s="20"/>
    </row>
    <row r="36" spans="1:10" x14ac:dyDescent="0.3">
      <c r="A36" s="18"/>
      <c r="B36" s="117"/>
      <c r="C36" s="21"/>
      <c r="D36" s="123"/>
      <c r="E36" s="21"/>
      <c r="F36" s="21"/>
      <c r="G36" s="21"/>
      <c r="H36" s="21"/>
      <c r="I36" s="21"/>
      <c r="J36" s="20"/>
    </row>
    <row r="37" spans="1:10" x14ac:dyDescent="0.3">
      <c r="A37" s="18"/>
      <c r="B37" s="117"/>
      <c r="C37" s="21"/>
      <c r="D37" s="123"/>
      <c r="E37" s="21"/>
      <c r="F37" s="21"/>
      <c r="G37" s="21"/>
      <c r="H37" s="21"/>
      <c r="I37" s="21"/>
      <c r="J37" s="20"/>
    </row>
    <row r="38" spans="1:10" x14ac:dyDescent="0.3">
      <c r="A38" s="18"/>
      <c r="B38" s="101" t="s">
        <v>828</v>
      </c>
      <c r="C38" s="21"/>
      <c r="D38" s="475" t="s">
        <v>830</v>
      </c>
      <c r="E38" s="475"/>
      <c r="F38" s="21"/>
      <c r="G38" s="21"/>
      <c r="H38" s="21"/>
      <c r="I38" s="21"/>
      <c r="J38" s="20"/>
    </row>
    <row r="39" spans="1:10" x14ac:dyDescent="0.3">
      <c r="A39" s="18"/>
      <c r="B39" s="30" t="s">
        <v>874</v>
      </c>
      <c r="C39" s="21"/>
      <c r="D39" s="42" t="s">
        <v>517</v>
      </c>
      <c r="E39" s="42" t="s">
        <v>161</v>
      </c>
      <c r="F39" s="21"/>
      <c r="G39" s="21"/>
      <c r="H39" s="30" t="str">
        <f t="array" ref="H39:H40">_xll.U.FORMAT_STRING(B39:B40,D39:E41,TRUE)</f>
        <v>Today Tom is happy</v>
      </c>
      <c r="I39" s="21"/>
      <c r="J39" s="20"/>
    </row>
    <row r="40" spans="1:10" x14ac:dyDescent="0.3">
      <c r="A40" s="18"/>
      <c r="B40" s="30" t="s">
        <v>875</v>
      </c>
      <c r="C40" s="21"/>
      <c r="D40" s="42" t="s">
        <v>876</v>
      </c>
      <c r="E40" s="42" t="s">
        <v>846</v>
      </c>
      <c r="F40" s="21"/>
      <c r="G40" s="21"/>
      <c r="H40" s="30" t="str">
        <v>Yesterday Tom was sad</v>
      </c>
      <c r="I40" s="21"/>
      <c r="J40" s="20"/>
    </row>
    <row r="41" spans="1:10" x14ac:dyDescent="0.3">
      <c r="A41" s="18"/>
      <c r="B41" s="117"/>
      <c r="C41" s="21"/>
      <c r="D41" s="42" t="s">
        <v>877</v>
      </c>
      <c r="E41" s="42" t="s">
        <v>847</v>
      </c>
      <c r="F41" s="21"/>
      <c r="G41" s="21"/>
      <c r="H41" s="21"/>
      <c r="I41" s="21"/>
      <c r="J41" s="20"/>
    </row>
    <row r="42" spans="1:10" x14ac:dyDescent="0.3">
      <c r="A42" s="18"/>
      <c r="B42" s="117"/>
      <c r="C42" s="21"/>
      <c r="D42" s="123"/>
      <c r="E42" s="21"/>
      <c r="F42" s="21"/>
      <c r="G42" s="21"/>
      <c r="H42" s="21"/>
      <c r="I42" s="21"/>
      <c r="J42" s="20"/>
    </row>
    <row r="43" spans="1:10" x14ac:dyDescent="0.3">
      <c r="A43" s="18"/>
      <c r="B43" s="117"/>
      <c r="C43" s="21"/>
      <c r="D43" s="123"/>
      <c r="E43" s="21"/>
      <c r="F43" s="21"/>
      <c r="G43" s="21"/>
      <c r="H43" s="21"/>
      <c r="I43" s="21"/>
      <c r="J43" s="20"/>
    </row>
    <row r="44" spans="1:10" x14ac:dyDescent="0.3">
      <c r="A44" s="18"/>
      <c r="B44" s="117"/>
      <c r="C44" s="21"/>
      <c r="D44" s="123"/>
      <c r="E44" s="21"/>
      <c r="F44" s="21"/>
      <c r="G44" s="21"/>
      <c r="H44" s="21"/>
      <c r="I44" s="21"/>
      <c r="J44" s="20"/>
    </row>
    <row r="45" spans="1:10" x14ac:dyDescent="0.3">
      <c r="A45" s="18"/>
      <c r="B45" s="117"/>
      <c r="C45" s="21"/>
      <c r="D45" s="123"/>
      <c r="E45" s="21"/>
      <c r="F45" s="21"/>
      <c r="G45" s="21"/>
      <c r="H45" s="21"/>
      <c r="I45" s="21"/>
      <c r="J45" s="20"/>
    </row>
    <row r="46" spans="1:10" x14ac:dyDescent="0.3">
      <c r="A46" s="18"/>
      <c r="B46" s="117"/>
      <c r="C46" s="21"/>
      <c r="D46" s="123"/>
      <c r="E46" s="21"/>
      <c r="F46" s="21"/>
      <c r="G46" s="21"/>
      <c r="H46" s="21"/>
      <c r="I46" s="21"/>
      <c r="J46" s="20"/>
    </row>
    <row r="47" spans="1:10" x14ac:dyDescent="0.3">
      <c r="A47" s="18"/>
      <c r="B47" s="117"/>
      <c r="C47" s="21"/>
      <c r="D47" s="123"/>
      <c r="E47" s="21"/>
      <c r="F47" s="21"/>
      <c r="G47" s="21"/>
      <c r="H47" s="21"/>
      <c r="I47" s="21"/>
      <c r="J47" s="20"/>
    </row>
    <row r="48" spans="1:10" x14ac:dyDescent="0.3">
      <c r="A48" s="18"/>
      <c r="B48" s="117"/>
      <c r="C48" s="21"/>
      <c r="D48" s="123"/>
      <c r="E48" s="21"/>
      <c r="F48" s="21"/>
      <c r="G48" s="21"/>
      <c r="H48" s="21"/>
      <c r="I48" s="21"/>
      <c r="J48" s="20"/>
    </row>
    <row r="49" spans="1:10" x14ac:dyDescent="0.3">
      <c r="A49" s="18"/>
      <c r="B49" s="117"/>
      <c r="C49" s="21"/>
      <c r="D49" s="123"/>
      <c r="E49" s="21"/>
      <c r="F49" s="21"/>
      <c r="G49" s="21"/>
      <c r="H49" s="21"/>
      <c r="I49" s="21"/>
      <c r="J49" s="20"/>
    </row>
    <row r="50" spans="1:10" x14ac:dyDescent="0.3">
      <c r="A50" s="18"/>
      <c r="B50" s="117"/>
      <c r="C50" s="21"/>
      <c r="D50" s="123"/>
      <c r="E50" s="21"/>
      <c r="F50" s="21"/>
      <c r="G50" s="21"/>
      <c r="H50" s="21"/>
      <c r="I50" s="21"/>
      <c r="J50" s="20"/>
    </row>
    <row r="51" spans="1:10" x14ac:dyDescent="0.3">
      <c r="A51" s="18"/>
      <c r="B51" s="117"/>
      <c r="C51" s="21"/>
      <c r="D51" s="123"/>
      <c r="E51" s="21"/>
      <c r="F51" s="21"/>
      <c r="G51" s="21"/>
      <c r="H51" s="21"/>
      <c r="I51" s="21"/>
      <c r="J51" s="20"/>
    </row>
    <row r="52" spans="1:10" x14ac:dyDescent="0.3">
      <c r="A52" s="18"/>
      <c r="B52" s="117"/>
      <c r="C52" s="21"/>
      <c r="D52" s="123"/>
      <c r="E52" s="21"/>
      <c r="F52" s="21"/>
      <c r="G52" s="21"/>
      <c r="H52" s="21"/>
      <c r="I52" s="21"/>
      <c r="J52" s="20"/>
    </row>
    <row r="53" spans="1:10" x14ac:dyDescent="0.3">
      <c r="A53" s="18"/>
      <c r="B53" s="117"/>
      <c r="C53" s="21"/>
      <c r="D53" s="123"/>
      <c r="E53" s="21"/>
      <c r="F53" s="21"/>
      <c r="G53" s="21"/>
      <c r="H53" s="21"/>
      <c r="I53" s="21"/>
      <c r="J53" s="20"/>
    </row>
    <row r="54" spans="1:10" x14ac:dyDescent="0.3">
      <c r="A54" s="18"/>
      <c r="B54" s="117"/>
      <c r="C54" s="21"/>
      <c r="D54" s="123"/>
      <c r="E54" s="21"/>
      <c r="F54" s="21"/>
      <c r="G54" s="21"/>
      <c r="H54" s="21"/>
      <c r="I54" s="21"/>
      <c r="J54" s="20"/>
    </row>
    <row r="55" spans="1:10" x14ac:dyDescent="0.3">
      <c r="A55" s="18"/>
      <c r="B55" s="117"/>
      <c r="C55" s="21"/>
      <c r="D55" s="123"/>
      <c r="E55" s="21"/>
      <c r="F55" s="21"/>
      <c r="G55" s="21"/>
      <c r="H55" s="21"/>
      <c r="I55" s="21"/>
      <c r="J55" s="20"/>
    </row>
    <row r="56" spans="1:10" x14ac:dyDescent="0.3">
      <c r="A56" s="18"/>
      <c r="B56" s="117"/>
      <c r="C56" s="21"/>
      <c r="D56" s="123"/>
      <c r="E56" s="21"/>
      <c r="F56" s="21"/>
      <c r="G56" s="21"/>
      <c r="H56" s="21"/>
      <c r="I56" s="21"/>
      <c r="J56" s="20"/>
    </row>
    <row r="57" spans="1:10" x14ac:dyDescent="0.3">
      <c r="A57" s="18"/>
      <c r="B57" s="117"/>
      <c r="C57" s="21"/>
      <c r="D57" s="123"/>
      <c r="E57" s="21"/>
      <c r="F57" s="21"/>
      <c r="G57" s="21"/>
      <c r="H57" s="21"/>
      <c r="I57" s="21"/>
      <c r="J57" s="20"/>
    </row>
    <row r="58" spans="1:10" x14ac:dyDescent="0.3">
      <c r="A58" s="18"/>
      <c r="B58" s="117"/>
      <c r="C58" s="21"/>
      <c r="D58" s="123"/>
      <c r="E58" s="21"/>
      <c r="F58" s="21"/>
      <c r="G58" s="21"/>
      <c r="H58" s="21"/>
      <c r="I58" s="21"/>
      <c r="J58" s="20"/>
    </row>
    <row r="59" spans="1:10" x14ac:dyDescent="0.3">
      <c r="A59" s="18"/>
      <c r="B59" s="117"/>
      <c r="C59" s="21"/>
      <c r="D59" s="123"/>
      <c r="E59" s="21"/>
      <c r="F59" s="21"/>
      <c r="G59" s="21"/>
      <c r="H59" s="21"/>
      <c r="I59" s="21"/>
      <c r="J59" s="20"/>
    </row>
    <row r="60" spans="1:10" x14ac:dyDescent="0.3">
      <c r="A60" s="18"/>
      <c r="B60" s="117"/>
      <c r="C60" s="21"/>
      <c r="D60" s="123"/>
      <c r="E60" s="21"/>
      <c r="F60" s="21"/>
      <c r="G60" s="21"/>
      <c r="H60" s="21"/>
      <c r="I60" s="21"/>
      <c r="J60" s="20"/>
    </row>
    <row r="61" spans="1:10" x14ac:dyDescent="0.3">
      <c r="A61" s="18"/>
      <c r="B61" s="117"/>
      <c r="C61" s="21"/>
      <c r="D61" s="123"/>
      <c r="E61" s="21"/>
      <c r="F61" s="21"/>
      <c r="G61" s="21"/>
      <c r="H61" s="21"/>
      <c r="I61" s="21"/>
      <c r="J61" s="20"/>
    </row>
    <row r="62" spans="1:10" x14ac:dyDescent="0.3">
      <c r="A62" s="18"/>
      <c r="B62" s="101" t="s">
        <v>828</v>
      </c>
      <c r="C62" s="21"/>
      <c r="D62" s="475" t="s">
        <v>830</v>
      </c>
      <c r="E62" s="475"/>
      <c r="F62" s="21"/>
      <c r="G62" s="21"/>
      <c r="H62" s="21"/>
      <c r="I62" s="21"/>
      <c r="J62" s="20"/>
    </row>
    <row r="63" spans="1:10" x14ac:dyDescent="0.3">
      <c r="A63" s="18"/>
      <c r="B63" s="30" t="s">
        <v>843</v>
      </c>
      <c r="C63" s="21"/>
      <c r="D63" s="42" t="s">
        <v>161</v>
      </c>
      <c r="E63" s="42" t="s">
        <v>846</v>
      </c>
      <c r="F63" s="21"/>
      <c r="G63" s="21"/>
      <c r="H63" s="30" t="str">
        <f t="array" ref="H63:H65">_xll.U.FORMAT_STRING(B63,D63:E65,FALSE,TRUE)</f>
        <v>Today Tom is happy</v>
      </c>
      <c r="I63" s="21"/>
      <c r="J63" s="20"/>
    </row>
    <row r="64" spans="1:10" x14ac:dyDescent="0.3">
      <c r="A64" s="18"/>
      <c r="B64" s="117"/>
      <c r="C64" s="21"/>
      <c r="D64" s="42" t="s">
        <v>872</v>
      </c>
      <c r="E64" s="42" t="s">
        <v>847</v>
      </c>
      <c r="F64" s="21"/>
      <c r="G64" s="21"/>
      <c r="H64" s="30" t="str">
        <v>Today Billy is sad</v>
      </c>
      <c r="I64" s="21"/>
      <c r="J64" s="20"/>
    </row>
    <row r="65" spans="1:10" x14ac:dyDescent="0.3">
      <c r="A65" s="18"/>
      <c r="B65" s="117"/>
      <c r="C65" s="21"/>
      <c r="D65" s="42" t="s">
        <v>913</v>
      </c>
      <c r="E65" s="42" t="s">
        <v>848</v>
      </c>
      <c r="F65" s="21"/>
      <c r="G65" s="21"/>
      <c r="H65" s="30" t="str">
        <v>Today Susan is indifferent</v>
      </c>
      <c r="I65" s="21"/>
      <c r="J65" s="20"/>
    </row>
    <row r="66" spans="1:10" x14ac:dyDescent="0.3">
      <c r="A66" s="18"/>
      <c r="B66" s="117"/>
      <c r="C66" s="21"/>
      <c r="D66" s="123"/>
      <c r="E66" s="21"/>
      <c r="F66" s="21"/>
      <c r="G66" s="21"/>
      <c r="H66" s="21"/>
      <c r="I66" s="21"/>
      <c r="J66" s="20"/>
    </row>
    <row r="67" spans="1:10" x14ac:dyDescent="0.3">
      <c r="A67" s="18"/>
      <c r="B67" s="117"/>
      <c r="C67" s="21"/>
      <c r="D67" s="123"/>
      <c r="E67" s="21"/>
      <c r="F67" s="21"/>
      <c r="G67" s="21"/>
      <c r="H67" s="21"/>
      <c r="I67" s="21"/>
      <c r="J67" s="20"/>
    </row>
    <row r="68" spans="1:10" x14ac:dyDescent="0.3">
      <c r="A68" s="18"/>
      <c r="B68" s="117"/>
      <c r="C68" s="21"/>
      <c r="D68" s="123"/>
      <c r="E68" s="21"/>
      <c r="F68" s="21"/>
      <c r="G68" s="21"/>
      <c r="H68" s="21"/>
      <c r="I68" s="21"/>
      <c r="J68" s="20"/>
    </row>
    <row r="69" spans="1:10" x14ac:dyDescent="0.3">
      <c r="A69" s="18"/>
      <c r="B69" s="117"/>
      <c r="C69" s="21"/>
      <c r="D69" s="123"/>
      <c r="E69" s="21"/>
      <c r="F69" s="21"/>
      <c r="G69" s="21"/>
      <c r="H69" s="21"/>
      <c r="I69" s="21"/>
      <c r="J69" s="20"/>
    </row>
    <row r="70" spans="1:10" ht="15" thickBot="1" x14ac:dyDescent="0.35">
      <c r="A70" s="22"/>
      <c r="B70" s="23"/>
      <c r="C70" s="23"/>
      <c r="D70" s="23"/>
      <c r="E70" s="23"/>
      <c r="F70" s="23"/>
      <c r="G70" s="23"/>
      <c r="H70" s="23"/>
      <c r="I70" s="23"/>
      <c r="J70" s="24"/>
    </row>
  </sheetData>
  <mergeCells count="22">
    <mergeCell ref="D62:E62"/>
    <mergeCell ref="L11:M13"/>
    <mergeCell ref="N11:T13"/>
    <mergeCell ref="U11:U13"/>
    <mergeCell ref="D38:E38"/>
    <mergeCell ref="D27:E27"/>
    <mergeCell ref="D16:E16"/>
    <mergeCell ref="L14:M16"/>
    <mergeCell ref="N14:T16"/>
    <mergeCell ref="U14:U16"/>
    <mergeCell ref="L17:M19"/>
    <mergeCell ref="N17:T19"/>
    <mergeCell ref="U17:U19"/>
    <mergeCell ref="L8:M10"/>
    <mergeCell ref="N8:T10"/>
    <mergeCell ref="U8:U10"/>
    <mergeCell ref="D4:E4"/>
    <mergeCell ref="L3:U3"/>
    <mergeCell ref="L4:M6"/>
    <mergeCell ref="N4:U6"/>
    <mergeCell ref="L7:M7"/>
    <mergeCell ref="N7:T7"/>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dimension ref="A1:V73"/>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35.77734375" customWidth="1"/>
    <col min="3" max="3" width="36.44140625" bestFit="1" customWidth="1"/>
    <col min="4" max="4" width="27.5546875" bestFit="1" customWidth="1"/>
    <col min="5" max="6" width="10.21875" customWidth="1"/>
    <col min="13" max="14" width="10.77734375" customWidth="1"/>
    <col min="15" max="21" width="12" customWidth="1"/>
  </cols>
  <sheetData>
    <row r="1" spans="1:22" ht="34.5" customHeight="1" thickBot="1" x14ac:dyDescent="0.35">
      <c r="A1" s="292" t="s">
        <v>1580</v>
      </c>
      <c r="B1" s="473" t="e" vm="1">
        <v>#VALUE!</v>
      </c>
      <c r="C1" s="8" t="s">
        <v>796</v>
      </c>
      <c r="D1" s="27"/>
      <c r="E1" s="16"/>
      <c r="F1" s="16"/>
      <c r="G1" s="16"/>
      <c r="H1" s="16"/>
      <c r="I1" s="16"/>
      <c r="J1" s="16"/>
      <c r="K1" s="19"/>
    </row>
    <row r="2" spans="1:22" ht="15" customHeight="1" x14ac:dyDescent="0.3">
      <c r="A2" s="18"/>
      <c r="B2" s="25"/>
      <c r="C2" s="25"/>
      <c r="D2" s="21"/>
      <c r="E2" s="21"/>
      <c r="F2" s="21"/>
      <c r="G2" s="21"/>
      <c r="H2" s="21"/>
      <c r="I2" s="21"/>
      <c r="J2" s="21"/>
      <c r="K2" s="20"/>
    </row>
    <row r="3" spans="1:22" x14ac:dyDescent="0.3">
      <c r="A3" s="18"/>
      <c r="B3" s="21"/>
      <c r="C3" s="21"/>
      <c r="D3" s="21"/>
      <c r="E3" s="21"/>
      <c r="F3" s="21"/>
      <c r="G3" s="21"/>
      <c r="H3" s="21"/>
      <c r="I3" s="21"/>
      <c r="J3" s="21"/>
      <c r="K3" s="20"/>
      <c r="M3" s="486" t="s">
        <v>3452</v>
      </c>
      <c r="N3" s="486"/>
      <c r="O3" s="486"/>
      <c r="P3" s="486"/>
      <c r="Q3" s="486"/>
      <c r="R3" s="486"/>
      <c r="S3" s="486"/>
      <c r="T3" s="486"/>
      <c r="U3" s="486"/>
      <c r="V3" s="486"/>
    </row>
    <row r="4" spans="1:22" x14ac:dyDescent="0.3">
      <c r="A4" s="18"/>
      <c r="B4" s="101" t="s">
        <v>305</v>
      </c>
      <c r="C4" s="21"/>
      <c r="D4" s="101" t="s">
        <v>3452</v>
      </c>
      <c r="E4" s="21"/>
      <c r="F4" s="21"/>
      <c r="G4" s="21"/>
      <c r="H4" s="21"/>
      <c r="I4" s="21"/>
      <c r="J4" s="21"/>
      <c r="K4" s="20"/>
      <c r="M4" s="487" t="s">
        <v>333</v>
      </c>
      <c r="N4" s="487"/>
      <c r="O4" s="487" t="s">
        <v>805</v>
      </c>
      <c r="P4" s="487"/>
      <c r="Q4" s="487"/>
      <c r="R4" s="487"/>
      <c r="S4" s="487"/>
      <c r="T4" s="487"/>
      <c r="U4" s="487"/>
      <c r="V4" s="487"/>
    </row>
    <row r="5" spans="1:22" x14ac:dyDescent="0.3">
      <c r="A5" s="18"/>
      <c r="B5" s="30" t="s">
        <v>797</v>
      </c>
      <c r="C5" s="21"/>
      <c r="D5" s="36" cm="1">
        <f t="array" ref="D5">_xll.U.PARSE_NUMBERS(B5)</f>
        <v>123</v>
      </c>
      <c r="E5" s="21"/>
      <c r="F5" s="21"/>
      <c r="G5" s="21"/>
      <c r="H5" s="21"/>
      <c r="I5" s="21"/>
      <c r="J5" s="21"/>
      <c r="K5" s="20"/>
      <c r="M5" s="487"/>
      <c r="N5" s="487"/>
      <c r="O5" s="487"/>
      <c r="P5" s="487"/>
      <c r="Q5" s="487"/>
      <c r="R5" s="487"/>
      <c r="S5" s="487"/>
      <c r="T5" s="487"/>
      <c r="U5" s="487"/>
      <c r="V5" s="487"/>
    </row>
    <row r="6" spans="1:22" x14ac:dyDescent="0.3">
      <c r="A6" s="18"/>
      <c r="B6" s="175">
        <v>25.25</v>
      </c>
      <c r="C6" s="21"/>
      <c r="D6" s="35" cm="1">
        <f t="array" ref="D6">_xll.U.PARSE_NUMBERS(B6)</f>
        <v>25.25</v>
      </c>
      <c r="E6" s="21"/>
      <c r="F6" s="21"/>
      <c r="G6" s="21"/>
      <c r="H6" s="21"/>
      <c r="I6" s="21"/>
      <c r="J6" s="21"/>
      <c r="K6" s="20"/>
      <c r="M6" s="487"/>
      <c r="N6" s="487"/>
      <c r="O6" s="487"/>
      <c r="P6" s="487"/>
      <c r="Q6" s="487"/>
      <c r="R6" s="487"/>
      <c r="S6" s="487"/>
      <c r="T6" s="487"/>
      <c r="U6" s="487"/>
      <c r="V6" s="487"/>
    </row>
    <row r="7" spans="1:22" x14ac:dyDescent="0.3">
      <c r="A7" s="18"/>
      <c r="B7" s="176" t="s">
        <v>798</v>
      </c>
      <c r="C7" s="21"/>
      <c r="D7" s="36" cm="1">
        <f t="array" ref="D7">_xll.U.PARSE_NUMBERS(B7)</f>
        <v>1230</v>
      </c>
      <c r="E7" s="21"/>
      <c r="F7" s="21"/>
      <c r="G7" s="21"/>
      <c r="H7" s="21"/>
      <c r="I7" s="21"/>
      <c r="J7" s="21"/>
      <c r="K7" s="20"/>
      <c r="M7" s="483" t="s">
        <v>323</v>
      </c>
      <c r="N7" s="483"/>
      <c r="O7" s="483" t="s">
        <v>1</v>
      </c>
      <c r="P7" s="483"/>
      <c r="Q7" s="483"/>
      <c r="R7" s="483"/>
      <c r="S7" s="483"/>
      <c r="T7" s="483"/>
      <c r="U7" s="483"/>
      <c r="V7" s="85" t="s">
        <v>324</v>
      </c>
    </row>
    <row r="8" spans="1:22" x14ac:dyDescent="0.3">
      <c r="A8" s="18"/>
      <c r="B8" s="121" t="s">
        <v>799</v>
      </c>
      <c r="C8" s="21"/>
      <c r="D8" s="36" cm="1">
        <f t="array" ref="D8">_xll.U.PARSE_NUMBERS(B8)</f>
        <v>-20</v>
      </c>
      <c r="E8" s="21"/>
      <c r="F8" s="21"/>
      <c r="G8" s="21"/>
      <c r="H8" s="21"/>
      <c r="I8" s="21"/>
      <c r="J8" s="21"/>
      <c r="K8" s="20"/>
      <c r="M8" s="487" t="s">
        <v>499</v>
      </c>
      <c r="N8" s="487"/>
      <c r="O8" s="487" t="s">
        <v>853</v>
      </c>
      <c r="P8" s="487"/>
      <c r="Q8" s="487"/>
      <c r="R8" s="487"/>
      <c r="S8" s="487"/>
      <c r="T8" s="487"/>
      <c r="U8" s="487"/>
      <c r="V8" s="509" t="s">
        <v>325</v>
      </c>
    </row>
    <row r="9" spans="1:22" x14ac:dyDescent="0.3">
      <c r="A9" s="18"/>
      <c r="B9" s="121" t="s">
        <v>800</v>
      </c>
      <c r="C9" s="21"/>
      <c r="D9" s="36" t="e" cm="1">
        <f t="array" ref="D9">_xll.U.PARSE_NUMBERS(B9)</f>
        <v>#VALUE!</v>
      </c>
      <c r="E9" s="21"/>
      <c r="F9" s="21"/>
      <c r="G9" s="21"/>
      <c r="H9" s="21"/>
      <c r="I9" s="21"/>
      <c r="J9" s="21"/>
      <c r="K9" s="20"/>
      <c r="M9" s="487"/>
      <c r="N9" s="487"/>
      <c r="O9" s="487"/>
      <c r="P9" s="487"/>
      <c r="Q9" s="487"/>
      <c r="R9" s="487"/>
      <c r="S9" s="487"/>
      <c r="T9" s="487"/>
      <c r="U9" s="487"/>
      <c r="V9" s="509"/>
    </row>
    <row r="10" spans="1:22" x14ac:dyDescent="0.3">
      <c r="A10" s="18"/>
      <c r="B10" s="121"/>
      <c r="C10" s="21"/>
      <c r="D10" s="36" t="e" cm="1">
        <f t="array" ref="D10">_xll.U.PARSE_NUMBERS(B10)</f>
        <v>#VALUE!</v>
      </c>
      <c r="E10" s="21"/>
      <c r="F10" s="21"/>
      <c r="G10" s="21"/>
      <c r="H10" s="21"/>
      <c r="I10" s="21"/>
      <c r="J10" s="21"/>
      <c r="K10" s="20"/>
      <c r="M10" s="487"/>
      <c r="N10" s="487"/>
      <c r="O10" s="487"/>
      <c r="P10" s="487"/>
      <c r="Q10" s="487"/>
      <c r="R10" s="487"/>
      <c r="S10" s="487"/>
      <c r="T10" s="487"/>
      <c r="U10" s="487"/>
      <c r="V10" s="509"/>
    </row>
    <row r="11" spans="1:22" x14ac:dyDescent="0.3">
      <c r="A11" s="18"/>
      <c r="B11" s="21"/>
      <c r="C11" s="21"/>
      <c r="D11" s="21"/>
      <c r="E11" s="21"/>
      <c r="F11" s="21"/>
      <c r="G11" s="21"/>
      <c r="H11" s="21"/>
      <c r="I11" s="21"/>
      <c r="J11" s="21"/>
      <c r="K11" s="20"/>
      <c r="M11" s="484" t="s">
        <v>803</v>
      </c>
      <c r="N11" s="484"/>
      <c r="O11" s="484" t="s">
        <v>804</v>
      </c>
      <c r="P11" s="484"/>
      <c r="Q11" s="484"/>
      <c r="R11" s="484"/>
      <c r="S11" s="484"/>
      <c r="T11" s="484"/>
      <c r="U11" s="484"/>
      <c r="V11" s="485" t="s">
        <v>326</v>
      </c>
    </row>
    <row r="12" spans="1:22" x14ac:dyDescent="0.3">
      <c r="A12" s="18"/>
      <c r="B12" s="21"/>
      <c r="C12" s="21"/>
      <c r="D12" s="21"/>
      <c r="E12" s="21"/>
      <c r="F12" s="21"/>
      <c r="G12" s="21"/>
      <c r="H12" s="21"/>
      <c r="I12" s="21"/>
      <c r="J12" s="21"/>
      <c r="K12" s="20"/>
      <c r="M12" s="484"/>
      <c r="N12" s="484"/>
      <c r="O12" s="484"/>
      <c r="P12" s="484"/>
      <c r="Q12" s="484"/>
      <c r="R12" s="484"/>
      <c r="S12" s="484"/>
      <c r="T12" s="484"/>
      <c r="U12" s="484"/>
      <c r="V12" s="485"/>
    </row>
    <row r="13" spans="1:22" x14ac:dyDescent="0.3">
      <c r="A13" s="18"/>
      <c r="B13" s="121" t="s">
        <v>801</v>
      </c>
      <c r="C13" s="21"/>
      <c r="D13" s="36">
        <f t="array" ref="D13:E14">_xll.U.PARSE_NUMBERS(B13:B14,TRUE)</f>
        <v>50</v>
      </c>
      <c r="E13" s="35">
        <v>118.5</v>
      </c>
      <c r="F13" s="21"/>
      <c r="G13" s="21"/>
      <c r="H13" s="21"/>
      <c r="I13" s="21"/>
      <c r="J13" s="21"/>
      <c r="K13" s="20"/>
      <c r="M13" s="484"/>
      <c r="N13" s="484"/>
      <c r="O13" s="484"/>
      <c r="P13" s="484"/>
      <c r="Q13" s="484"/>
      <c r="R13" s="484"/>
      <c r="S13" s="484"/>
      <c r="T13" s="484"/>
      <c r="U13" s="484"/>
      <c r="V13" s="485"/>
    </row>
    <row r="14" spans="1:22" x14ac:dyDescent="0.3">
      <c r="A14" s="18"/>
      <c r="B14" s="121" t="s">
        <v>802</v>
      </c>
      <c r="C14" s="21"/>
      <c r="D14" s="36">
        <v>25</v>
      </c>
      <c r="E14" s="35">
        <v>112</v>
      </c>
      <c r="F14" s="21"/>
      <c r="G14" s="21"/>
      <c r="H14" s="21"/>
      <c r="I14" s="21"/>
      <c r="J14" s="21"/>
      <c r="K14" s="20"/>
      <c r="M14" s="484" t="s">
        <v>850</v>
      </c>
      <c r="N14" s="484"/>
      <c r="O14" s="484" t="s">
        <v>855</v>
      </c>
      <c r="P14" s="484"/>
      <c r="Q14" s="484"/>
      <c r="R14" s="484"/>
      <c r="S14" s="484"/>
      <c r="T14" s="484"/>
      <c r="U14" s="484"/>
      <c r="V14" s="485" t="s">
        <v>326</v>
      </c>
    </row>
    <row r="15" spans="1:22" ht="15" customHeight="1" x14ac:dyDescent="0.3">
      <c r="A15" s="18"/>
      <c r="B15" s="21"/>
      <c r="C15" s="21"/>
      <c r="D15" s="21"/>
      <c r="E15" s="21"/>
      <c r="F15" s="21"/>
      <c r="G15" s="21"/>
      <c r="H15" s="21"/>
      <c r="I15" s="21"/>
      <c r="J15" s="21"/>
      <c r="K15" s="20"/>
      <c r="M15" s="484"/>
      <c r="N15" s="484"/>
      <c r="O15" s="484"/>
      <c r="P15" s="484"/>
      <c r="Q15" s="484"/>
      <c r="R15" s="484"/>
      <c r="S15" s="484"/>
      <c r="T15" s="484"/>
      <c r="U15" s="484"/>
      <c r="V15" s="485"/>
    </row>
    <row r="16" spans="1:22" x14ac:dyDescent="0.3">
      <c r="A16" s="18"/>
      <c r="B16" s="21"/>
      <c r="C16" s="21"/>
      <c r="D16" s="21"/>
      <c r="E16" s="21"/>
      <c r="F16" s="21"/>
      <c r="G16" s="21"/>
      <c r="H16" s="21"/>
      <c r="I16" s="21"/>
      <c r="J16" s="21"/>
      <c r="K16" s="20"/>
      <c r="M16" s="484"/>
      <c r="N16" s="484"/>
      <c r="O16" s="484"/>
      <c r="P16" s="484"/>
      <c r="Q16" s="484"/>
      <c r="R16" s="484"/>
      <c r="S16" s="484"/>
      <c r="T16" s="484"/>
      <c r="U16" s="484"/>
      <c r="V16" s="485"/>
    </row>
    <row r="17" spans="1:22" x14ac:dyDescent="0.3">
      <c r="A17" s="18"/>
      <c r="B17" s="21"/>
      <c r="C17" s="21"/>
      <c r="D17" s="21"/>
      <c r="E17" s="21"/>
      <c r="F17" s="21"/>
      <c r="G17" s="21"/>
      <c r="H17" s="21"/>
      <c r="I17" s="21"/>
      <c r="J17" s="21"/>
      <c r="K17" s="20"/>
      <c r="M17" s="484" t="s">
        <v>851</v>
      </c>
      <c r="N17" s="484"/>
      <c r="O17" s="484" t="s">
        <v>2457</v>
      </c>
      <c r="P17" s="484"/>
      <c r="Q17" s="484"/>
      <c r="R17" s="484"/>
      <c r="S17" s="484"/>
      <c r="T17" s="484"/>
      <c r="U17" s="484"/>
      <c r="V17" s="485" t="s">
        <v>326</v>
      </c>
    </row>
    <row r="18" spans="1:22" x14ac:dyDescent="0.3">
      <c r="A18" s="18"/>
      <c r="B18" s="121" t="s">
        <v>849</v>
      </c>
      <c r="C18" s="21"/>
      <c r="D18" s="36">
        <f t="array" ref="D18:E18">_xll.U.PARSE_NUMBERS(B18,TRUE)</f>
        <v>3000000</v>
      </c>
      <c r="E18" s="36">
        <v>2</v>
      </c>
      <c r="F18" s="21"/>
      <c r="G18" s="21"/>
      <c r="H18" s="21"/>
      <c r="I18" s="21"/>
      <c r="J18" s="21"/>
      <c r="K18" s="20"/>
      <c r="M18" s="484"/>
      <c r="N18" s="484"/>
      <c r="O18" s="484"/>
      <c r="P18" s="484"/>
      <c r="Q18" s="484"/>
      <c r="R18" s="484"/>
      <c r="S18" s="484"/>
      <c r="T18" s="484"/>
      <c r="U18" s="484"/>
      <c r="V18" s="485"/>
    </row>
    <row r="19" spans="1:22" ht="15" customHeight="1" x14ac:dyDescent="0.3">
      <c r="A19" s="18"/>
      <c r="B19" s="21"/>
      <c r="C19" s="21"/>
      <c r="D19" s="36">
        <f t="array" ref="D19:E19">_xll.U.PARSE_NUMBERS(B18,TRUE,TRUE)</f>
        <v>3</v>
      </c>
      <c r="E19" s="36">
        <v>6</v>
      </c>
      <c r="F19" s="21"/>
      <c r="G19" s="21"/>
      <c r="H19" s="21"/>
      <c r="I19" s="21"/>
      <c r="J19" s="21"/>
      <c r="K19" s="20"/>
      <c r="M19" s="484"/>
      <c r="N19" s="484"/>
      <c r="O19" s="484"/>
      <c r="P19" s="484"/>
      <c r="Q19" s="484"/>
      <c r="R19" s="484"/>
      <c r="S19" s="484"/>
      <c r="T19" s="484"/>
      <c r="U19" s="484"/>
      <c r="V19" s="485"/>
    </row>
    <row r="20" spans="1:22" ht="15" customHeight="1" x14ac:dyDescent="0.3">
      <c r="A20" s="18"/>
      <c r="B20" s="21"/>
      <c r="C20" s="21"/>
      <c r="D20" s="21"/>
      <c r="E20" s="21"/>
      <c r="F20" s="21"/>
      <c r="G20" s="21"/>
      <c r="H20" s="21"/>
      <c r="I20" s="21"/>
      <c r="J20" s="21"/>
      <c r="K20" s="20"/>
      <c r="M20" s="484" t="s">
        <v>852</v>
      </c>
      <c r="N20" s="484"/>
      <c r="O20" s="484" t="s">
        <v>2458</v>
      </c>
      <c r="P20" s="484"/>
      <c r="Q20" s="484"/>
      <c r="R20" s="484"/>
      <c r="S20" s="484"/>
      <c r="T20" s="484"/>
      <c r="U20" s="484"/>
      <c r="V20" s="485" t="s">
        <v>326</v>
      </c>
    </row>
    <row r="21" spans="1:22" x14ac:dyDescent="0.3">
      <c r="A21" s="18"/>
      <c r="B21" s="21"/>
      <c r="C21" s="21"/>
      <c r="D21" s="21"/>
      <c r="E21" s="21"/>
      <c r="F21" s="21"/>
      <c r="G21" s="21"/>
      <c r="H21" s="21"/>
      <c r="I21" s="21"/>
      <c r="J21" s="21"/>
      <c r="K21" s="20"/>
      <c r="M21" s="484"/>
      <c r="N21" s="484"/>
      <c r="O21" s="484"/>
      <c r="P21" s="484"/>
      <c r="Q21" s="484"/>
      <c r="R21" s="484"/>
      <c r="S21" s="484"/>
      <c r="T21" s="484"/>
      <c r="U21" s="484"/>
      <c r="V21" s="485"/>
    </row>
    <row r="22" spans="1:22" x14ac:dyDescent="0.3">
      <c r="A22" s="18"/>
      <c r="B22" s="21"/>
      <c r="C22" s="21"/>
      <c r="D22" s="21"/>
      <c r="E22" s="21"/>
      <c r="F22" s="21"/>
      <c r="G22" s="21"/>
      <c r="H22" s="21"/>
      <c r="I22" s="21"/>
      <c r="J22" s="21"/>
      <c r="K22" s="20"/>
      <c r="M22" s="484"/>
      <c r="N22" s="484"/>
      <c r="O22" s="484"/>
      <c r="P22" s="484"/>
      <c r="Q22" s="484"/>
      <c r="R22" s="484"/>
      <c r="S22" s="484"/>
      <c r="T22" s="484"/>
      <c r="U22" s="484"/>
      <c r="V22" s="485"/>
    </row>
    <row r="23" spans="1:22" x14ac:dyDescent="0.3">
      <c r="A23" s="18"/>
      <c r="B23" s="21"/>
      <c r="C23" s="21"/>
      <c r="D23" s="21"/>
      <c r="E23" s="21"/>
      <c r="F23" s="21"/>
      <c r="G23" s="21"/>
      <c r="H23" s="21"/>
      <c r="I23" s="21"/>
      <c r="J23" s="21"/>
      <c r="K23" s="20"/>
      <c r="M23" s="484" t="s">
        <v>854</v>
      </c>
      <c r="N23" s="484"/>
      <c r="O23" s="484" t="s">
        <v>2543</v>
      </c>
      <c r="P23" s="484"/>
      <c r="Q23" s="484"/>
      <c r="R23" s="484"/>
      <c r="S23" s="484"/>
      <c r="T23" s="484"/>
      <c r="U23" s="484"/>
      <c r="V23" s="485" t="s">
        <v>326</v>
      </c>
    </row>
    <row r="24" spans="1:22" x14ac:dyDescent="0.3">
      <c r="A24" s="18"/>
      <c r="B24" s="21"/>
      <c r="C24" s="21"/>
      <c r="D24" s="21"/>
      <c r="E24" s="21"/>
      <c r="F24" s="21"/>
      <c r="G24" s="21"/>
      <c r="H24" s="21"/>
      <c r="I24" s="21"/>
      <c r="J24" s="21"/>
      <c r="K24" s="20"/>
      <c r="M24" s="484"/>
      <c r="N24" s="484"/>
      <c r="O24" s="484"/>
      <c r="P24" s="484"/>
      <c r="Q24" s="484"/>
      <c r="R24" s="484"/>
      <c r="S24" s="484"/>
      <c r="T24" s="484"/>
      <c r="U24" s="484"/>
      <c r="V24" s="485"/>
    </row>
    <row r="25" spans="1:22" x14ac:dyDescent="0.3">
      <c r="A25" s="18"/>
      <c r="B25" s="21"/>
      <c r="C25" s="21"/>
      <c r="D25" s="21"/>
      <c r="E25" s="21"/>
      <c r="F25" s="21"/>
      <c r="G25" s="21"/>
      <c r="H25" s="21"/>
      <c r="I25" s="21"/>
      <c r="J25" s="21"/>
      <c r="K25" s="20"/>
      <c r="M25" s="484"/>
      <c r="N25" s="484"/>
      <c r="O25" s="484"/>
      <c r="P25" s="484"/>
      <c r="Q25" s="484"/>
      <c r="R25" s="484"/>
      <c r="S25" s="484"/>
      <c r="T25" s="484"/>
      <c r="U25" s="484"/>
      <c r="V25" s="485"/>
    </row>
    <row r="26" spans="1:22" ht="15" customHeight="1" x14ac:dyDescent="0.3">
      <c r="A26" s="18"/>
      <c r="B26" s="121" t="s">
        <v>908</v>
      </c>
      <c r="C26" s="21"/>
      <c r="D26" s="35">
        <f t="array" ref="D26:E26">_xll.U.PAD(_xll.U.PARSE_NUMBERS(B26,TRUE,,1,10))</f>
        <v>4.3499999999999996</v>
      </c>
      <c r="E26" s="35" t="str">
        <v/>
      </c>
      <c r="F26" s="21"/>
      <c r="G26" s="21"/>
      <c r="H26" s="21"/>
      <c r="I26" s="21"/>
      <c r="J26" s="21"/>
      <c r="K26" s="20"/>
      <c r="M26" s="484" t="s">
        <v>921</v>
      </c>
      <c r="N26" s="484"/>
      <c r="O26" s="484" t="s">
        <v>2459</v>
      </c>
      <c r="P26" s="484"/>
      <c r="Q26" s="484"/>
      <c r="R26" s="484"/>
      <c r="S26" s="484"/>
      <c r="T26" s="484"/>
      <c r="U26" s="484"/>
      <c r="V26" s="485" t="s">
        <v>326</v>
      </c>
    </row>
    <row r="27" spans="1:22" x14ac:dyDescent="0.3">
      <c r="A27" s="18"/>
      <c r="B27" s="21"/>
      <c r="C27" s="21"/>
      <c r="D27" s="21"/>
      <c r="E27" s="21"/>
      <c r="F27" s="21"/>
      <c r="G27" s="21"/>
      <c r="H27" s="21"/>
      <c r="I27" s="21"/>
      <c r="J27" s="21"/>
      <c r="K27" s="20"/>
      <c r="M27" s="484"/>
      <c r="N27" s="484"/>
      <c r="O27" s="484"/>
      <c r="P27" s="484"/>
      <c r="Q27" s="484"/>
      <c r="R27" s="484"/>
      <c r="S27" s="484"/>
      <c r="T27" s="484"/>
      <c r="U27" s="484"/>
      <c r="V27" s="485"/>
    </row>
    <row r="28" spans="1:22" x14ac:dyDescent="0.3">
      <c r="A28" s="18"/>
      <c r="B28" s="21"/>
      <c r="C28" s="21"/>
      <c r="D28" s="21"/>
      <c r="E28" s="21"/>
      <c r="F28" s="21"/>
      <c r="G28" s="21"/>
      <c r="H28" s="21"/>
      <c r="I28" s="21"/>
      <c r="J28" s="21"/>
      <c r="K28" s="20"/>
      <c r="M28" s="484"/>
      <c r="N28" s="484"/>
      <c r="O28" s="484"/>
      <c r="P28" s="484"/>
      <c r="Q28" s="484"/>
      <c r="R28" s="484"/>
      <c r="S28" s="484"/>
      <c r="T28" s="484"/>
      <c r="U28" s="484"/>
      <c r="V28" s="485"/>
    </row>
    <row r="29" spans="1:22" x14ac:dyDescent="0.3">
      <c r="A29" s="18"/>
      <c r="B29" s="21"/>
      <c r="C29" s="21"/>
      <c r="D29" s="21"/>
      <c r="E29" s="21"/>
      <c r="F29" s="21"/>
      <c r="G29" s="21"/>
      <c r="H29" s="21"/>
      <c r="I29" s="21"/>
      <c r="J29" s="21"/>
      <c r="K29" s="20"/>
      <c r="M29" s="126" t="s">
        <v>328</v>
      </c>
    </row>
    <row r="30" spans="1:22" x14ac:dyDescent="0.3">
      <c r="A30" s="18"/>
      <c r="B30" s="21"/>
      <c r="C30" s="21"/>
      <c r="D30" s="21"/>
      <c r="E30" s="21"/>
      <c r="F30" s="21"/>
      <c r="G30" s="21"/>
      <c r="H30" s="21"/>
      <c r="I30" s="21"/>
      <c r="J30" s="21"/>
      <c r="K30" s="20"/>
    </row>
    <row r="31" spans="1:22" x14ac:dyDescent="0.3">
      <c r="A31" s="18"/>
      <c r="B31" s="21"/>
      <c r="C31" s="21"/>
      <c r="D31" s="21"/>
      <c r="E31" s="21"/>
      <c r="F31" s="21"/>
      <c r="G31" s="21"/>
      <c r="H31" s="21"/>
      <c r="I31" s="21"/>
      <c r="J31" s="21"/>
      <c r="K31" s="20"/>
    </row>
    <row r="32" spans="1:22" x14ac:dyDescent="0.3">
      <c r="A32" s="18"/>
      <c r="B32" s="21"/>
      <c r="C32" s="21"/>
      <c r="D32" s="21"/>
      <c r="E32" s="21"/>
      <c r="F32" s="21"/>
      <c r="G32" s="21"/>
      <c r="H32" s="21"/>
      <c r="I32" s="21"/>
      <c r="J32" s="21"/>
      <c r="K32" s="20"/>
      <c r="M32" s="486" t="s">
        <v>3453</v>
      </c>
      <c r="N32" s="486"/>
      <c r="O32" s="486"/>
      <c r="P32" s="486"/>
      <c r="Q32" s="486"/>
      <c r="R32" s="486"/>
      <c r="S32" s="486"/>
      <c r="T32" s="486"/>
      <c r="U32" s="486"/>
      <c r="V32" s="486"/>
    </row>
    <row r="33" spans="1:22" x14ac:dyDescent="0.3">
      <c r="A33" s="18"/>
      <c r="B33" s="30" t="s">
        <v>2460</v>
      </c>
      <c r="C33" s="21"/>
      <c r="D33" s="30" t="e">
        <f t="array" ref="D33:D34">_xll.U.PARSE_NUMBERS(B33:B34,,,,3)</f>
        <v>#VALUE!</v>
      </c>
      <c r="E33" s="21"/>
      <c r="F33" s="21"/>
      <c r="G33" s="21"/>
      <c r="H33" s="21"/>
      <c r="I33" s="21"/>
      <c r="J33" s="21"/>
      <c r="K33" s="20"/>
      <c r="M33" s="487" t="s">
        <v>333</v>
      </c>
      <c r="N33" s="487"/>
      <c r="O33" s="487" t="s">
        <v>1271</v>
      </c>
      <c r="P33" s="487"/>
      <c r="Q33" s="487"/>
      <c r="R33" s="487"/>
      <c r="S33" s="487"/>
      <c r="T33" s="487"/>
      <c r="U33" s="487"/>
      <c r="V33" s="487"/>
    </row>
    <row r="34" spans="1:22" x14ac:dyDescent="0.3">
      <c r="A34" s="18"/>
      <c r="B34" s="30">
        <v>5</v>
      </c>
      <c r="C34" s="21"/>
      <c r="D34" s="30" t="e">
        <v>#VALUE!</v>
      </c>
      <c r="E34" s="21"/>
      <c r="F34" s="21"/>
      <c r="G34" s="21"/>
      <c r="H34" s="21"/>
      <c r="I34" s="21"/>
      <c r="J34" s="21"/>
      <c r="K34" s="20"/>
      <c r="M34" s="487"/>
      <c r="N34" s="487"/>
      <c r="O34" s="487"/>
      <c r="P34" s="487"/>
      <c r="Q34" s="487"/>
      <c r="R34" s="487"/>
      <c r="S34" s="487"/>
      <c r="T34" s="487"/>
      <c r="U34" s="487"/>
      <c r="V34" s="487"/>
    </row>
    <row r="35" spans="1:22" x14ac:dyDescent="0.3">
      <c r="A35" s="18"/>
      <c r="B35" s="21"/>
      <c r="C35" s="21"/>
      <c r="D35" s="21"/>
      <c r="E35" s="21"/>
      <c r="F35" s="21"/>
      <c r="G35" s="21"/>
      <c r="H35" s="21"/>
      <c r="I35" s="21"/>
      <c r="J35" s="21"/>
      <c r="K35" s="20"/>
      <c r="M35" s="487"/>
      <c r="N35" s="487"/>
      <c r="O35" s="487"/>
      <c r="P35" s="487"/>
      <c r="Q35" s="487"/>
      <c r="R35" s="487"/>
      <c r="S35" s="487"/>
      <c r="T35" s="487"/>
      <c r="U35" s="487"/>
      <c r="V35" s="487"/>
    </row>
    <row r="36" spans="1:22" x14ac:dyDescent="0.3">
      <c r="A36" s="18"/>
      <c r="B36" s="21"/>
      <c r="C36" s="21"/>
      <c r="D36" s="30" t="e">
        <f t="array" ref="D36:D37">_xll.U.PARSE_NUMBERS(B33:B34,,,,{3,TRUE})</f>
        <v>#VALUE!</v>
      </c>
      <c r="E36" s="21"/>
      <c r="F36" s="21"/>
      <c r="G36" s="21"/>
      <c r="H36" s="21"/>
      <c r="I36" s="21"/>
      <c r="J36" s="21"/>
      <c r="K36" s="20"/>
      <c r="M36" s="483" t="s">
        <v>323</v>
      </c>
      <c r="N36" s="483"/>
      <c r="O36" s="483" t="s">
        <v>1</v>
      </c>
      <c r="P36" s="483"/>
      <c r="Q36" s="483"/>
      <c r="R36" s="483"/>
      <c r="S36" s="483"/>
      <c r="T36" s="483"/>
      <c r="U36" s="483"/>
      <c r="V36" s="85" t="s">
        <v>324</v>
      </c>
    </row>
    <row r="37" spans="1:22" x14ac:dyDescent="0.3">
      <c r="A37" s="18"/>
      <c r="B37" s="21"/>
      <c r="C37" s="21"/>
      <c r="D37" s="30">
        <v>5</v>
      </c>
      <c r="E37" s="21"/>
      <c r="F37" s="21"/>
      <c r="G37" s="21"/>
      <c r="H37" s="21"/>
      <c r="I37" s="21"/>
      <c r="J37" s="21"/>
      <c r="K37" s="20"/>
      <c r="M37" s="487" t="s">
        <v>443</v>
      </c>
      <c r="N37" s="487"/>
      <c r="O37" s="487" t="s">
        <v>1272</v>
      </c>
      <c r="P37" s="487"/>
      <c r="Q37" s="487"/>
      <c r="R37" s="487"/>
      <c r="S37" s="487"/>
      <c r="T37" s="487"/>
      <c r="U37" s="487"/>
      <c r="V37" s="509" t="s">
        <v>325</v>
      </c>
    </row>
    <row r="38" spans="1:22" x14ac:dyDescent="0.3">
      <c r="A38" s="18"/>
      <c r="B38" s="21"/>
      <c r="C38" s="21"/>
      <c r="D38" s="21"/>
      <c r="E38" s="21"/>
      <c r="F38" s="21"/>
      <c r="G38" s="21"/>
      <c r="H38" s="21"/>
      <c r="I38" s="21"/>
      <c r="J38" s="21"/>
      <c r="K38" s="20"/>
      <c r="M38" s="487"/>
      <c r="N38" s="487"/>
      <c r="O38" s="487"/>
      <c r="P38" s="487"/>
      <c r="Q38" s="487"/>
      <c r="R38" s="487"/>
      <c r="S38" s="487"/>
      <c r="T38" s="487"/>
      <c r="U38" s="487"/>
      <c r="V38" s="509"/>
    </row>
    <row r="39" spans="1:22" x14ac:dyDescent="0.3">
      <c r="A39" s="18"/>
      <c r="B39" s="117"/>
      <c r="C39" s="21"/>
      <c r="D39" s="123"/>
      <c r="E39" s="21"/>
      <c r="F39" s="21"/>
      <c r="G39" s="21"/>
      <c r="H39" s="21"/>
      <c r="I39" s="21"/>
      <c r="J39" s="21"/>
      <c r="K39" s="20"/>
      <c r="M39" s="487"/>
      <c r="N39" s="487"/>
      <c r="O39" s="487"/>
      <c r="P39" s="487"/>
      <c r="Q39" s="487"/>
      <c r="R39" s="487"/>
      <c r="S39" s="487"/>
      <c r="T39" s="487"/>
      <c r="U39" s="487"/>
      <c r="V39" s="509"/>
    </row>
    <row r="40" spans="1:22" x14ac:dyDescent="0.3">
      <c r="A40" s="18"/>
      <c r="B40" s="117"/>
      <c r="C40" s="21"/>
      <c r="D40" s="36">
        <f t="array" ref="D40:E40">_xll.U.PARSE_NUMBERS(B26,TRUE,,1,10,TRUE)</f>
        <v>10</v>
      </c>
      <c r="E40" s="35">
        <v>4.3499999999999996</v>
      </c>
      <c r="F40" s="21"/>
      <c r="G40" s="21"/>
      <c r="H40" s="21"/>
      <c r="I40" s="21"/>
      <c r="J40" s="21"/>
      <c r="K40" s="20"/>
      <c r="M40" s="484" t="s">
        <v>1273</v>
      </c>
      <c r="N40" s="484"/>
      <c r="O40" s="484" t="s">
        <v>1274</v>
      </c>
      <c r="P40" s="484"/>
      <c r="Q40" s="484"/>
      <c r="R40" s="484"/>
      <c r="S40" s="484"/>
      <c r="T40" s="484"/>
      <c r="U40" s="484"/>
      <c r="V40" s="485" t="s">
        <v>326</v>
      </c>
    </row>
    <row r="41" spans="1:22" x14ac:dyDescent="0.3">
      <c r="A41" s="18"/>
      <c r="B41" s="117"/>
      <c r="C41" s="21"/>
      <c r="D41" s="123"/>
      <c r="E41" s="21"/>
      <c r="F41" s="21"/>
      <c r="G41" s="21"/>
      <c r="H41" s="21"/>
      <c r="I41" s="21"/>
      <c r="J41" s="21"/>
      <c r="K41" s="20"/>
      <c r="M41" s="484"/>
      <c r="N41" s="484"/>
      <c r="O41" s="484"/>
      <c r="P41" s="484"/>
      <c r="Q41" s="484"/>
      <c r="R41" s="484"/>
      <c r="S41" s="484"/>
      <c r="T41" s="484"/>
      <c r="U41" s="484"/>
      <c r="V41" s="485"/>
    </row>
    <row r="42" spans="1:22" x14ac:dyDescent="0.3">
      <c r="A42" s="18"/>
      <c r="B42" s="117"/>
      <c r="C42" s="21"/>
      <c r="D42" s="123"/>
      <c r="E42" s="21"/>
      <c r="F42" s="21"/>
      <c r="G42" s="21"/>
      <c r="H42" s="21"/>
      <c r="I42" s="21"/>
      <c r="J42" s="21"/>
      <c r="K42" s="20"/>
      <c r="M42" s="484"/>
      <c r="N42" s="484"/>
      <c r="O42" s="484"/>
      <c r="P42" s="484"/>
      <c r="Q42" s="484"/>
      <c r="R42" s="484"/>
      <c r="S42" s="484"/>
      <c r="T42" s="484"/>
      <c r="U42" s="484"/>
      <c r="V42" s="485"/>
    </row>
    <row r="43" spans="1:22" x14ac:dyDescent="0.3">
      <c r="A43" s="18"/>
      <c r="B43" s="117"/>
      <c r="C43" s="21"/>
      <c r="D43" s="123"/>
      <c r="E43" s="21"/>
      <c r="F43" s="21"/>
      <c r="G43" s="21"/>
      <c r="H43" s="21"/>
      <c r="I43" s="21"/>
      <c r="J43" s="21"/>
      <c r="K43" s="20"/>
      <c r="M43" s="484" t="s">
        <v>850</v>
      </c>
      <c r="N43" s="484"/>
      <c r="O43" s="484" t="s">
        <v>1275</v>
      </c>
      <c r="P43" s="484"/>
      <c r="Q43" s="484"/>
      <c r="R43" s="484"/>
      <c r="S43" s="484"/>
      <c r="T43" s="484"/>
      <c r="U43" s="484"/>
      <c r="V43" s="485" t="s">
        <v>326</v>
      </c>
    </row>
    <row r="44" spans="1:22" x14ac:dyDescent="0.3">
      <c r="A44" s="18"/>
      <c r="B44" s="30" t="s">
        <v>2544</v>
      </c>
      <c r="C44" s="21"/>
      <c r="D44" s="123"/>
      <c r="E44" s="21"/>
      <c r="F44" s="21"/>
      <c r="G44" s="21"/>
      <c r="H44" s="21"/>
      <c r="I44" s="21"/>
      <c r="J44" s="21"/>
      <c r="K44" s="20"/>
      <c r="M44" s="484"/>
      <c r="N44" s="484"/>
      <c r="O44" s="484"/>
      <c r="P44" s="484"/>
      <c r="Q44" s="484"/>
      <c r="R44" s="484"/>
      <c r="S44" s="484"/>
      <c r="T44" s="484"/>
      <c r="U44" s="484"/>
      <c r="V44" s="485"/>
    </row>
    <row r="45" spans="1:22" x14ac:dyDescent="0.3">
      <c r="A45" s="18"/>
      <c r="B45" s="117"/>
      <c r="C45" s="21"/>
      <c r="D45" s="36" cm="1">
        <f t="array" ref="D45">_xll.U.PARSE_NUMBERS(B44,,,1,99)</f>
        <v>12</v>
      </c>
      <c r="E45" s="21"/>
      <c r="F45" s="21"/>
      <c r="G45" s="21"/>
      <c r="H45" s="21"/>
      <c r="I45" s="21"/>
      <c r="J45" s="21"/>
      <c r="K45" s="20"/>
      <c r="M45" s="484"/>
      <c r="N45" s="484"/>
      <c r="O45" s="484"/>
      <c r="P45" s="484"/>
      <c r="Q45" s="484"/>
      <c r="R45" s="484"/>
      <c r="S45" s="484"/>
      <c r="T45" s="484"/>
      <c r="U45" s="484"/>
      <c r="V45" s="485"/>
    </row>
    <row r="46" spans="1:22" x14ac:dyDescent="0.3">
      <c r="A46" s="18"/>
      <c r="B46" s="117"/>
      <c r="C46" s="21"/>
      <c r="D46" s="122" t="e" cm="1">
        <f t="array" ref="D46">_xll.U.PARSE_NUMBERS(B44,,,1,99,FALSE)</f>
        <v>#VALUE!</v>
      </c>
      <c r="E46" s="21"/>
      <c r="F46" s="21"/>
      <c r="G46" s="21"/>
      <c r="H46" s="21"/>
      <c r="I46" s="21"/>
      <c r="J46" s="21"/>
      <c r="K46" s="20"/>
      <c r="M46" s="484" t="s">
        <v>1276</v>
      </c>
      <c r="N46" s="484"/>
      <c r="O46" s="484" t="s">
        <v>1277</v>
      </c>
      <c r="P46" s="484"/>
      <c r="Q46" s="484"/>
      <c r="R46" s="484"/>
      <c r="S46" s="484"/>
      <c r="T46" s="484"/>
      <c r="U46" s="484"/>
      <c r="V46" s="485" t="s">
        <v>326</v>
      </c>
    </row>
    <row r="47" spans="1:22" x14ac:dyDescent="0.3">
      <c r="A47" s="18"/>
      <c r="B47" s="117"/>
      <c r="C47" s="21"/>
      <c r="D47" s="123"/>
      <c r="E47" s="21"/>
      <c r="F47" s="21"/>
      <c r="G47" s="21"/>
      <c r="H47" s="21"/>
      <c r="I47" s="21"/>
      <c r="J47" s="21"/>
      <c r="K47" s="20"/>
      <c r="M47" s="484"/>
      <c r="N47" s="484"/>
      <c r="O47" s="484"/>
      <c r="P47" s="484"/>
      <c r="Q47" s="484"/>
      <c r="R47" s="484"/>
      <c r="S47" s="484"/>
      <c r="T47" s="484"/>
      <c r="U47" s="484"/>
      <c r="V47" s="485"/>
    </row>
    <row r="48" spans="1:22" x14ac:dyDescent="0.3">
      <c r="A48" s="18"/>
      <c r="B48" s="117"/>
      <c r="C48" s="21"/>
      <c r="D48" s="123"/>
      <c r="E48" s="21"/>
      <c r="F48" s="21"/>
      <c r="G48" s="21"/>
      <c r="H48" s="21"/>
      <c r="I48" s="21"/>
      <c r="J48" s="21"/>
      <c r="K48" s="20"/>
      <c r="M48" s="484"/>
      <c r="N48" s="484"/>
      <c r="O48" s="484"/>
      <c r="P48" s="484"/>
      <c r="Q48" s="484"/>
      <c r="R48" s="484"/>
      <c r="S48" s="484"/>
      <c r="T48" s="484"/>
      <c r="U48" s="484"/>
      <c r="V48" s="485"/>
    </row>
    <row r="49" spans="1:13" x14ac:dyDescent="0.3">
      <c r="A49" s="18"/>
      <c r="B49" s="176" t="s">
        <v>798</v>
      </c>
      <c r="C49" s="21"/>
      <c r="D49" s="35">
        <f t="array" ref="D49:D51">_xll.U.PARSE_NUMBERS(B49:B51,,,,,,TRUE)</f>
        <v>1230</v>
      </c>
      <c r="E49" s="21"/>
      <c r="F49" s="21"/>
      <c r="G49" s="21"/>
      <c r="H49" s="21"/>
      <c r="I49" s="21"/>
      <c r="J49" s="21"/>
      <c r="K49" s="20"/>
      <c r="M49" s="126" t="s">
        <v>328</v>
      </c>
    </row>
    <row r="50" spans="1:13" x14ac:dyDescent="0.3">
      <c r="A50" s="18"/>
      <c r="B50" s="121" t="s">
        <v>799</v>
      </c>
      <c r="C50" s="21"/>
      <c r="D50" s="35">
        <v>-20</v>
      </c>
      <c r="E50" s="21"/>
      <c r="F50" s="21"/>
      <c r="G50" s="21"/>
      <c r="H50" s="21"/>
      <c r="I50" s="21"/>
      <c r="J50" s="21"/>
      <c r="K50" s="20"/>
    </row>
    <row r="51" spans="1:13" x14ac:dyDescent="0.3">
      <c r="A51" s="18"/>
      <c r="B51" s="121" t="s">
        <v>800</v>
      </c>
      <c r="C51" s="21"/>
      <c r="D51" s="35" t="str">
        <v>It_Is_Negative_Twenty_Out</v>
      </c>
      <c r="E51" s="21"/>
      <c r="F51" s="21"/>
      <c r="G51" s="21"/>
      <c r="H51" s="21"/>
      <c r="I51" s="21"/>
      <c r="J51" s="21"/>
      <c r="K51" s="20"/>
    </row>
    <row r="52" spans="1:13" x14ac:dyDescent="0.3">
      <c r="A52" s="18"/>
      <c r="B52" s="117"/>
      <c r="C52" s="21"/>
      <c r="D52" s="123"/>
      <c r="E52" s="21"/>
      <c r="F52" s="21"/>
      <c r="G52" s="21"/>
      <c r="H52" s="21"/>
      <c r="I52" s="21"/>
      <c r="J52" s="21"/>
      <c r="K52" s="20"/>
    </row>
    <row r="53" spans="1:13" x14ac:dyDescent="0.3">
      <c r="A53" s="18"/>
      <c r="B53" s="117"/>
      <c r="C53" s="21"/>
      <c r="D53" s="123"/>
      <c r="E53" s="21"/>
      <c r="F53" s="21"/>
      <c r="G53" s="21"/>
      <c r="H53" s="21"/>
      <c r="I53" s="21"/>
      <c r="J53" s="21"/>
      <c r="K53" s="20"/>
    </row>
    <row r="54" spans="1:13" x14ac:dyDescent="0.3">
      <c r="A54" s="18"/>
      <c r="B54" s="117"/>
      <c r="C54" s="21"/>
      <c r="D54" s="35">
        <f t="array" ref="D54:D56">_xll.U.PARSE_NUMBERS(B49:B51,,,,,,"&lt;alt&gt;")</f>
        <v>1230</v>
      </c>
      <c r="E54" s="21"/>
      <c r="F54" s="21"/>
      <c r="G54" s="21"/>
      <c r="H54" s="21"/>
      <c r="I54" s="21"/>
      <c r="J54" s="21"/>
      <c r="K54" s="20"/>
    </row>
    <row r="55" spans="1:13" x14ac:dyDescent="0.3">
      <c r="A55" s="18"/>
      <c r="B55" s="117"/>
      <c r="C55" s="21"/>
      <c r="D55" s="35">
        <v>-20</v>
      </c>
      <c r="E55" s="21"/>
      <c r="F55" s="21"/>
      <c r="G55" s="21"/>
      <c r="H55" s="21"/>
      <c r="I55" s="21"/>
      <c r="J55" s="21"/>
      <c r="K55" s="20"/>
    </row>
    <row r="56" spans="1:13" x14ac:dyDescent="0.3">
      <c r="A56" s="18"/>
      <c r="B56" s="117"/>
      <c r="C56" s="21"/>
      <c r="D56" s="35" t="str">
        <v>&lt;alt&gt;</v>
      </c>
      <c r="E56" s="21"/>
      <c r="F56" s="21"/>
      <c r="G56" s="21"/>
      <c r="H56" s="21"/>
      <c r="I56" s="21"/>
      <c r="J56" s="21"/>
      <c r="K56" s="20"/>
    </row>
    <row r="57" spans="1:13" x14ac:dyDescent="0.3">
      <c r="A57" s="18"/>
      <c r="B57" s="117"/>
      <c r="C57" s="21"/>
      <c r="D57" s="123"/>
      <c r="E57" s="21"/>
      <c r="F57" s="21"/>
      <c r="G57" s="21"/>
      <c r="H57" s="21"/>
      <c r="I57" s="21"/>
      <c r="J57" s="21"/>
      <c r="K57" s="20"/>
    </row>
    <row r="58" spans="1:13" x14ac:dyDescent="0.3">
      <c r="A58" s="521" t="s">
        <v>1266</v>
      </c>
      <c r="B58" s="522"/>
      <c r="C58" s="522"/>
      <c r="D58" s="522"/>
      <c r="E58" s="522"/>
      <c r="F58" s="522"/>
      <c r="G58" s="522"/>
      <c r="H58" s="522"/>
      <c r="I58" s="522"/>
      <c r="J58" s="523"/>
      <c r="K58" s="20"/>
    </row>
    <row r="59" spans="1:13" x14ac:dyDescent="0.3">
      <c r="A59" s="18"/>
      <c r="B59" s="117"/>
      <c r="C59" s="21"/>
      <c r="D59" s="123"/>
      <c r="E59" s="21"/>
      <c r="F59" s="21"/>
      <c r="G59" s="21"/>
      <c r="H59" s="21"/>
      <c r="I59" s="21"/>
      <c r="J59" s="21"/>
      <c r="K59" s="20"/>
    </row>
    <row r="60" spans="1:13" x14ac:dyDescent="0.3">
      <c r="A60" s="18"/>
      <c r="B60" s="117"/>
      <c r="C60" s="21"/>
      <c r="D60" s="123"/>
      <c r="E60" s="21"/>
      <c r="F60" s="21"/>
      <c r="G60" s="21"/>
      <c r="H60" s="21"/>
      <c r="I60" s="21"/>
      <c r="J60" s="21"/>
      <c r="K60" s="20"/>
    </row>
    <row r="61" spans="1:13" x14ac:dyDescent="0.3">
      <c r="A61" s="18"/>
      <c r="B61" s="233" t="s">
        <v>1267</v>
      </c>
      <c r="C61" s="21"/>
      <c r="D61" s="266">
        <f t="array" ref="D61:D67">_xll.U.PARSE(B61:B67)</f>
        <v>43731</v>
      </c>
      <c r="E61" s="21"/>
      <c r="F61" s="21"/>
      <c r="G61" s="21"/>
      <c r="H61" s="21"/>
      <c r="I61" s="21"/>
      <c r="J61" s="21"/>
      <c r="K61" s="20"/>
    </row>
    <row r="62" spans="1:13" x14ac:dyDescent="0.3">
      <c r="A62" s="18"/>
      <c r="B62" s="233" t="s">
        <v>1268</v>
      </c>
      <c r="C62" s="21"/>
      <c r="D62" s="35">
        <v>123.4</v>
      </c>
      <c r="E62" s="21"/>
      <c r="F62" s="21"/>
      <c r="G62" s="21"/>
      <c r="H62" s="21"/>
      <c r="I62" s="21"/>
      <c r="J62" s="21"/>
      <c r="K62" s="20"/>
    </row>
    <row r="63" spans="1:13" x14ac:dyDescent="0.3">
      <c r="A63" s="18"/>
      <c r="B63" s="233" t="s">
        <v>1269</v>
      </c>
      <c r="C63" s="21"/>
      <c r="D63" s="35" t="b">
        <v>1</v>
      </c>
      <c r="E63" s="21"/>
      <c r="F63" s="21"/>
      <c r="G63" s="21"/>
      <c r="H63" s="21"/>
      <c r="I63" s="21"/>
      <c r="J63" s="21"/>
      <c r="K63" s="20"/>
    </row>
    <row r="64" spans="1:13" x14ac:dyDescent="0.3">
      <c r="A64" s="18"/>
      <c r="B64" s="265">
        <v>45</v>
      </c>
      <c r="C64" s="21"/>
      <c r="D64" s="35">
        <v>45</v>
      </c>
      <c r="E64" s="21"/>
      <c r="F64" s="21"/>
      <c r="G64" s="21"/>
      <c r="H64" s="21"/>
      <c r="I64" s="21"/>
      <c r="J64" s="21"/>
      <c r="K64" s="20"/>
    </row>
    <row r="65" spans="1:11" x14ac:dyDescent="0.3">
      <c r="A65" s="18"/>
      <c r="B65" s="265" t="s">
        <v>1425</v>
      </c>
      <c r="C65" s="21"/>
      <c r="D65" s="35" t="e">
        <v>#N/A</v>
      </c>
      <c r="E65" s="21"/>
      <c r="F65" s="21"/>
      <c r="G65" s="21"/>
      <c r="H65" s="21"/>
      <c r="I65" s="21"/>
      <c r="J65" s="21"/>
      <c r="K65" s="20"/>
    </row>
    <row r="66" spans="1:11" x14ac:dyDescent="0.3">
      <c r="A66" s="18"/>
      <c r="B66" s="233" t="s">
        <v>1270</v>
      </c>
      <c r="C66" s="21"/>
      <c r="D66" s="122" t="str">
        <v>I cannot be parsed</v>
      </c>
      <c r="E66" s="21"/>
      <c r="F66" s="21"/>
      <c r="G66" s="21"/>
      <c r="H66" s="21"/>
      <c r="I66" s="21"/>
      <c r="J66" s="21"/>
      <c r="K66" s="20"/>
    </row>
    <row r="67" spans="1:11" x14ac:dyDescent="0.3">
      <c r="A67" s="18"/>
      <c r="B67" s="233" t="str" cm="1">
        <f t="array" ref="B67">_xll.U.WEB_CONTROL.TEXTAREA(B64)</f>
        <v>|LIEK|[HTML::TEXTAREA ID=LIEK][VAL=n|45]|LIEK|</v>
      </c>
      <c r="C67" s="21"/>
      <c r="D67" s="35">
        <v>45</v>
      </c>
      <c r="E67" s="21"/>
      <c r="F67" s="21"/>
      <c r="G67" s="21"/>
      <c r="H67" s="21"/>
      <c r="I67" s="21"/>
      <c r="J67" s="21"/>
      <c r="K67" s="20"/>
    </row>
    <row r="68" spans="1:11" x14ac:dyDescent="0.3">
      <c r="A68" s="18"/>
      <c r="B68" s="117"/>
      <c r="C68" s="21"/>
      <c r="D68" s="123"/>
      <c r="E68" s="21"/>
      <c r="F68" s="21"/>
      <c r="G68" s="21"/>
      <c r="H68" s="21"/>
      <c r="I68" s="21"/>
      <c r="J68" s="21"/>
      <c r="K68" s="20"/>
    </row>
    <row r="69" spans="1:11" x14ac:dyDescent="0.3">
      <c r="A69" s="18"/>
      <c r="B69" s="117"/>
      <c r="C69" s="21"/>
      <c r="D69" s="123"/>
      <c r="E69" s="21"/>
      <c r="F69" s="21"/>
      <c r="G69" s="21"/>
      <c r="H69" s="21"/>
      <c r="I69" s="21"/>
      <c r="J69" s="21"/>
      <c r="K69" s="20"/>
    </row>
    <row r="70" spans="1:11" x14ac:dyDescent="0.3">
      <c r="A70" s="18"/>
      <c r="B70" s="117"/>
      <c r="C70" s="21"/>
      <c r="D70" s="123"/>
      <c r="E70" s="21"/>
      <c r="F70" s="21"/>
      <c r="G70" s="21"/>
      <c r="H70" s="21"/>
      <c r="I70" s="21"/>
      <c r="J70" s="21"/>
      <c r="K70" s="20"/>
    </row>
    <row r="71" spans="1:11" x14ac:dyDescent="0.3">
      <c r="A71" s="18"/>
      <c r="B71" s="117"/>
      <c r="C71" s="21"/>
      <c r="D71" s="123"/>
      <c r="E71" s="21"/>
      <c r="F71" s="21"/>
      <c r="G71" s="21"/>
      <c r="H71" s="21"/>
      <c r="I71" s="21"/>
      <c r="J71" s="21"/>
      <c r="K71" s="20"/>
    </row>
    <row r="72" spans="1:11" x14ac:dyDescent="0.3">
      <c r="A72" s="18"/>
      <c r="B72" s="117"/>
      <c r="C72" s="21"/>
      <c r="D72" s="123"/>
      <c r="E72" s="21"/>
      <c r="F72" s="21"/>
      <c r="G72" s="21"/>
      <c r="H72" s="21"/>
      <c r="I72" s="21"/>
      <c r="J72" s="21"/>
      <c r="K72" s="20"/>
    </row>
    <row r="73" spans="1:11" ht="15" thickBot="1" x14ac:dyDescent="0.35">
      <c r="A73" s="22"/>
      <c r="B73" s="23"/>
      <c r="C73" s="23"/>
      <c r="D73" s="23"/>
      <c r="E73" s="23"/>
      <c r="F73" s="23"/>
      <c r="G73" s="23"/>
      <c r="H73" s="23"/>
      <c r="I73" s="23"/>
      <c r="J73" s="23"/>
      <c r="K73" s="24"/>
    </row>
  </sheetData>
  <mergeCells count="44">
    <mergeCell ref="M46:N48"/>
    <mergeCell ref="O46:U48"/>
    <mergeCell ref="V46:V48"/>
    <mergeCell ref="M37:N39"/>
    <mergeCell ref="O37:U39"/>
    <mergeCell ref="V37:V39"/>
    <mergeCell ref="M40:N42"/>
    <mergeCell ref="O40:U42"/>
    <mergeCell ref="V40:V42"/>
    <mergeCell ref="V43:V45"/>
    <mergeCell ref="M32:V32"/>
    <mergeCell ref="M33:N35"/>
    <mergeCell ref="O33:V35"/>
    <mergeCell ref="M36:N36"/>
    <mergeCell ref="O36:U36"/>
    <mergeCell ref="M11:N13"/>
    <mergeCell ref="O11:U13"/>
    <mergeCell ref="V11:V13"/>
    <mergeCell ref="M20:N22"/>
    <mergeCell ref="O20:U22"/>
    <mergeCell ref="V20:V22"/>
    <mergeCell ref="O17:U19"/>
    <mergeCell ref="V17:V19"/>
    <mergeCell ref="M23:N25"/>
    <mergeCell ref="O23:U25"/>
    <mergeCell ref="V23:V25"/>
    <mergeCell ref="A58:J58"/>
    <mergeCell ref="M8:N10"/>
    <mergeCell ref="O8:U10"/>
    <mergeCell ref="V8:V10"/>
    <mergeCell ref="M26:N28"/>
    <mergeCell ref="O26:U28"/>
    <mergeCell ref="V26:V28"/>
    <mergeCell ref="M14:N16"/>
    <mergeCell ref="O14:U16"/>
    <mergeCell ref="V14:V16"/>
    <mergeCell ref="M17:N19"/>
    <mergeCell ref="M43:N45"/>
    <mergeCell ref="O43:U45"/>
    <mergeCell ref="M3:V3"/>
    <mergeCell ref="M4:N6"/>
    <mergeCell ref="O4:V6"/>
    <mergeCell ref="M7:N7"/>
    <mergeCell ref="O7:U7"/>
  </mergeCells>
  <pageMargins left="0.7" right="0.7" top="0.75" bottom="0.75" header="0.3" footer="0.3"/>
  <pageSetup orientation="portrait" verticalDpi="0"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dimension ref="A1:Z195"/>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6.77734375" customWidth="1"/>
    <col min="3" max="3" width="21.21875" customWidth="1"/>
    <col min="4" max="4" width="36.21875" bestFit="1" customWidth="1"/>
    <col min="5" max="5" width="22.77734375" bestFit="1" customWidth="1"/>
    <col min="6" max="6" width="10.21875" customWidth="1"/>
    <col min="7" max="8" width="9.21875" customWidth="1"/>
    <col min="9" max="9" width="25" customWidth="1"/>
    <col min="10" max="15" width="21.77734375" customWidth="1"/>
    <col min="17" max="18" width="10.77734375" customWidth="1"/>
    <col min="19" max="25" width="12" customWidth="1"/>
  </cols>
  <sheetData>
    <row r="1" spans="1:26" ht="34.5" customHeight="1" thickBot="1" x14ac:dyDescent="0.35">
      <c r="A1" s="292" t="s">
        <v>1580</v>
      </c>
      <c r="B1" s="473" t="e" vm="1">
        <v>#VALUE!</v>
      </c>
      <c r="C1" s="8" t="s">
        <v>1652</v>
      </c>
      <c r="D1" s="191"/>
      <c r="E1" s="191"/>
      <c r="F1" s="191"/>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x14ac:dyDescent="0.3">
      <c r="A3" s="18"/>
      <c r="B3" s="21"/>
      <c r="C3" s="21"/>
      <c r="D3" s="21"/>
      <c r="E3" s="21"/>
      <c r="F3" s="21"/>
      <c r="G3" s="21"/>
      <c r="H3" s="21"/>
      <c r="I3" s="21"/>
      <c r="J3" s="21"/>
      <c r="K3" s="21"/>
      <c r="L3" s="21"/>
      <c r="M3" s="21"/>
      <c r="N3" s="21"/>
      <c r="O3" s="20"/>
      <c r="Q3" s="486" t="s">
        <v>3454</v>
      </c>
      <c r="R3" s="486"/>
      <c r="S3" s="486"/>
      <c r="T3" s="486"/>
      <c r="U3" s="486"/>
      <c r="V3" s="486"/>
      <c r="W3" s="486"/>
      <c r="X3" s="486"/>
      <c r="Y3" s="486"/>
      <c r="Z3" s="486"/>
    </row>
    <row r="4" spans="1:26" x14ac:dyDescent="0.3">
      <c r="A4" s="18"/>
      <c r="B4" s="101" t="s">
        <v>305</v>
      </c>
      <c r="C4" s="21"/>
      <c r="D4" s="101" t="s">
        <v>1662</v>
      </c>
      <c r="E4" s="21"/>
      <c r="F4" s="21"/>
      <c r="G4" s="21"/>
      <c r="H4" s="21"/>
      <c r="I4" s="101" t="s">
        <v>3454</v>
      </c>
      <c r="J4" s="21"/>
      <c r="K4" s="21"/>
      <c r="L4" s="21"/>
      <c r="M4" s="21"/>
      <c r="N4" s="21"/>
      <c r="O4" s="20"/>
      <c r="Q4" s="487" t="s">
        <v>333</v>
      </c>
      <c r="R4" s="487"/>
      <c r="S4" s="487" t="s">
        <v>1661</v>
      </c>
      <c r="T4" s="487"/>
      <c r="U4" s="487"/>
      <c r="V4" s="487"/>
      <c r="W4" s="487"/>
      <c r="X4" s="487"/>
      <c r="Y4" s="487"/>
      <c r="Z4" s="487"/>
    </row>
    <row r="5" spans="1:26" x14ac:dyDescent="0.3">
      <c r="A5" s="18"/>
      <c r="B5" s="42" t="s">
        <v>1654</v>
      </c>
      <c r="C5" s="21"/>
      <c r="D5" s="42" t="s">
        <v>1663</v>
      </c>
      <c r="E5" s="21"/>
      <c r="F5" s="21"/>
      <c r="G5" s="21"/>
      <c r="H5" s="21"/>
      <c r="I5" s="161" t="str">
        <f t="array" ref="I5:I7">_xll.U.REGEX(B5:B7,D5)</f>
        <v>apples</v>
      </c>
      <c r="J5" s="21"/>
      <c r="K5" s="21"/>
      <c r="L5" s="21"/>
      <c r="M5" s="21"/>
      <c r="N5" s="21"/>
      <c r="O5" s="20"/>
      <c r="Q5" s="487"/>
      <c r="R5" s="487"/>
      <c r="S5" s="487"/>
      <c r="T5" s="487"/>
      <c r="U5" s="487"/>
      <c r="V5" s="487"/>
      <c r="W5" s="487"/>
      <c r="X5" s="487"/>
      <c r="Y5" s="487"/>
      <c r="Z5" s="487"/>
    </row>
    <row r="6" spans="1:26" x14ac:dyDescent="0.3">
      <c r="A6" s="18"/>
      <c r="B6" s="42" t="s">
        <v>1664</v>
      </c>
      <c r="C6" s="21"/>
      <c r="D6" s="21"/>
      <c r="E6" s="21"/>
      <c r="F6" s="21"/>
      <c r="G6" s="21"/>
      <c r="H6" s="21"/>
      <c r="I6" s="161" t="str">
        <v>pears</v>
      </c>
      <c r="J6" s="21"/>
      <c r="K6" s="21"/>
      <c r="L6" s="21"/>
      <c r="M6" s="21"/>
      <c r="N6" s="21"/>
      <c r="O6" s="20"/>
      <c r="Q6" s="487"/>
      <c r="R6" s="487"/>
      <c r="S6" s="487"/>
      <c r="T6" s="487"/>
      <c r="U6" s="487"/>
      <c r="V6" s="487"/>
      <c r="W6" s="487"/>
      <c r="X6" s="487"/>
      <c r="Y6" s="487"/>
      <c r="Z6" s="487"/>
    </row>
    <row r="7" spans="1:26" x14ac:dyDescent="0.3">
      <c r="A7" s="18"/>
      <c r="B7" s="42" t="s">
        <v>1665</v>
      </c>
      <c r="C7" s="21"/>
      <c r="D7" s="21"/>
      <c r="E7" s="21"/>
      <c r="F7" s="21"/>
      <c r="G7" s="21"/>
      <c r="H7" s="21"/>
      <c r="I7" s="161" t="str">
        <v/>
      </c>
      <c r="J7" s="21"/>
      <c r="K7" s="21"/>
      <c r="L7" s="21"/>
      <c r="M7" s="21"/>
      <c r="N7" s="21"/>
      <c r="O7" s="20"/>
      <c r="Q7" s="483" t="s">
        <v>323</v>
      </c>
      <c r="R7" s="483"/>
      <c r="S7" s="483" t="s">
        <v>1</v>
      </c>
      <c r="T7" s="483"/>
      <c r="U7" s="483"/>
      <c r="V7" s="483"/>
      <c r="W7" s="483"/>
      <c r="X7" s="483"/>
      <c r="Y7" s="483"/>
      <c r="Z7" s="85" t="s">
        <v>324</v>
      </c>
    </row>
    <row r="8" spans="1:26" x14ac:dyDescent="0.3">
      <c r="A8" s="18"/>
      <c r="B8" s="21"/>
      <c r="C8" s="21"/>
      <c r="D8" s="21"/>
      <c r="E8" s="21"/>
      <c r="F8" s="21"/>
      <c r="G8" s="21"/>
      <c r="H8" s="21"/>
      <c r="I8" s="21"/>
      <c r="J8" s="21"/>
      <c r="K8" s="21"/>
      <c r="L8" s="21"/>
      <c r="M8" s="21"/>
      <c r="N8" s="21"/>
      <c r="O8" s="20"/>
      <c r="Q8" s="487" t="s">
        <v>499</v>
      </c>
      <c r="R8" s="487"/>
      <c r="S8" s="487" t="s">
        <v>1655</v>
      </c>
      <c r="T8" s="487"/>
      <c r="U8" s="487"/>
      <c r="V8" s="487"/>
      <c r="W8" s="487"/>
      <c r="X8" s="487"/>
      <c r="Y8" s="487"/>
      <c r="Z8" s="509" t="s">
        <v>325</v>
      </c>
    </row>
    <row r="9" spans="1:26" x14ac:dyDescent="0.3">
      <c r="A9" s="18"/>
      <c r="B9" s="21"/>
      <c r="C9" s="21"/>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x14ac:dyDescent="0.3">
      <c r="A11" s="18"/>
      <c r="B11" s="21"/>
      <c r="C11" s="21"/>
      <c r="D11" s="21"/>
      <c r="E11" s="21"/>
      <c r="F11" s="21"/>
      <c r="G11" s="21"/>
      <c r="H11" s="21"/>
      <c r="I11" s="21"/>
      <c r="J11" s="21"/>
      <c r="K11" s="21"/>
      <c r="L11" s="21"/>
      <c r="M11" s="21"/>
      <c r="N11" s="21"/>
      <c r="O11" s="20"/>
      <c r="Q11" s="488" t="s">
        <v>1656</v>
      </c>
      <c r="R11" s="488"/>
      <c r="S11" s="488" t="s">
        <v>1658</v>
      </c>
      <c r="T11" s="488"/>
      <c r="U11" s="488"/>
      <c r="V11" s="488"/>
      <c r="W11" s="488"/>
      <c r="X11" s="488"/>
      <c r="Y11" s="488"/>
      <c r="Z11" s="489" t="s">
        <v>325</v>
      </c>
    </row>
    <row r="12" spans="1:26" x14ac:dyDescent="0.3">
      <c r="A12" s="18"/>
      <c r="B12" s="21"/>
      <c r="C12" s="21"/>
      <c r="D12" s="21"/>
      <c r="E12" s="21"/>
      <c r="F12" s="21"/>
      <c r="G12" s="21"/>
      <c r="H12" s="21"/>
      <c r="I12" s="21"/>
      <c r="J12" s="21"/>
      <c r="K12" s="21"/>
      <c r="L12" s="21"/>
      <c r="M12" s="21"/>
      <c r="N12" s="21"/>
      <c r="O12" s="20"/>
      <c r="Q12" s="488"/>
      <c r="R12" s="488"/>
      <c r="S12" s="488"/>
      <c r="T12" s="488"/>
      <c r="U12" s="488"/>
      <c r="V12" s="488"/>
      <c r="W12" s="488"/>
      <c r="X12" s="488"/>
      <c r="Y12" s="488"/>
      <c r="Z12" s="489"/>
    </row>
    <row r="13" spans="1:26" x14ac:dyDescent="0.3">
      <c r="A13" s="18"/>
      <c r="B13" s="21"/>
      <c r="C13" s="21"/>
      <c r="D13" s="101" t="s">
        <v>1666</v>
      </c>
      <c r="E13" s="21"/>
      <c r="F13" s="21"/>
      <c r="G13" s="21"/>
      <c r="H13" s="21"/>
      <c r="I13" s="101" t="s">
        <v>3454</v>
      </c>
      <c r="J13" s="21"/>
      <c r="K13" s="21"/>
      <c r="L13" s="21"/>
      <c r="M13" s="21"/>
      <c r="N13" s="21"/>
      <c r="O13" s="20"/>
      <c r="Q13" s="488"/>
      <c r="R13" s="488"/>
      <c r="S13" s="488"/>
      <c r="T13" s="488"/>
      <c r="U13" s="488"/>
      <c r="V13" s="488"/>
      <c r="W13" s="488"/>
      <c r="X13" s="488"/>
      <c r="Y13" s="488"/>
      <c r="Z13" s="489"/>
    </row>
    <row r="14" spans="1:26" x14ac:dyDescent="0.3">
      <c r="A14" s="18"/>
      <c r="B14" s="21"/>
      <c r="C14" s="21"/>
      <c r="D14" s="42" t="s">
        <v>1668</v>
      </c>
      <c r="E14" s="21"/>
      <c r="F14" s="21"/>
      <c r="G14" s="21"/>
      <c r="H14" s="21"/>
      <c r="I14" s="161" t="str">
        <f t="array" ref="I14:I16">_xll.U.REGEX(B5:B7,D14:D15,NA())</f>
        <v>apples</v>
      </c>
      <c r="J14" s="21"/>
      <c r="K14" s="21"/>
      <c r="L14" s="21"/>
      <c r="M14" s="21"/>
      <c r="N14" s="21"/>
      <c r="O14" s="20"/>
      <c r="Q14" s="484" t="s">
        <v>1657</v>
      </c>
      <c r="R14" s="484"/>
      <c r="S14" s="484" t="s">
        <v>1659</v>
      </c>
      <c r="T14" s="484"/>
      <c r="U14" s="484"/>
      <c r="V14" s="484"/>
      <c r="W14" s="484"/>
      <c r="X14" s="484"/>
      <c r="Y14" s="484"/>
      <c r="Z14" s="485" t="s">
        <v>326</v>
      </c>
    </row>
    <row r="15" spans="1:26" ht="15" customHeight="1" x14ac:dyDescent="0.3">
      <c r="A15" s="18"/>
      <c r="B15" s="21"/>
      <c r="C15" s="21"/>
      <c r="D15" s="42" t="s">
        <v>1667</v>
      </c>
      <c r="E15" s="21"/>
      <c r="F15" s="21"/>
      <c r="G15" s="21"/>
      <c r="H15" s="21"/>
      <c r="I15" s="161" t="e">
        <v>#N/A</v>
      </c>
      <c r="J15" s="21"/>
      <c r="K15" s="21"/>
      <c r="L15" s="21"/>
      <c r="M15" s="21"/>
      <c r="N15" s="21"/>
      <c r="O15" s="20"/>
      <c r="Q15" s="484"/>
      <c r="R15" s="484"/>
      <c r="S15" s="484"/>
      <c r="T15" s="484"/>
      <c r="U15" s="484"/>
      <c r="V15" s="484"/>
      <c r="W15" s="484"/>
      <c r="X15" s="484"/>
      <c r="Y15" s="484"/>
      <c r="Z15" s="485"/>
    </row>
    <row r="16" spans="1:26" x14ac:dyDescent="0.3">
      <c r="A16" s="18"/>
      <c r="B16" s="21"/>
      <c r="C16" s="21"/>
      <c r="D16" s="21"/>
      <c r="E16" s="21"/>
      <c r="F16" s="21"/>
      <c r="G16" s="21"/>
      <c r="H16" s="21"/>
      <c r="I16" s="161" t="str">
        <v>burg</v>
      </c>
      <c r="J16" s="21"/>
      <c r="K16" s="21"/>
      <c r="L16" s="21"/>
      <c r="M16" s="21"/>
      <c r="N16" s="21"/>
      <c r="O16" s="20"/>
      <c r="Q16" s="484"/>
      <c r="R16" s="484"/>
      <c r="S16" s="484"/>
      <c r="T16" s="484"/>
      <c r="U16" s="484"/>
      <c r="V16" s="484"/>
      <c r="W16" s="484"/>
      <c r="X16" s="484"/>
      <c r="Y16" s="484"/>
      <c r="Z16" s="485"/>
    </row>
    <row r="17" spans="1:26" x14ac:dyDescent="0.3">
      <c r="A17" s="18"/>
      <c r="B17" s="21"/>
      <c r="C17" s="21"/>
      <c r="D17" s="21"/>
      <c r="E17" s="21"/>
      <c r="F17" s="21"/>
      <c r="G17" s="21"/>
      <c r="H17" s="21"/>
      <c r="I17" s="21"/>
      <c r="J17" s="21"/>
      <c r="K17" s="21"/>
      <c r="L17" s="21"/>
      <c r="M17" s="21"/>
      <c r="N17" s="21"/>
      <c r="O17" s="20"/>
      <c r="Q17" s="484" t="s">
        <v>1660</v>
      </c>
      <c r="R17" s="484"/>
      <c r="S17" s="484" t="s">
        <v>1686</v>
      </c>
      <c r="T17" s="484"/>
      <c r="U17" s="484"/>
      <c r="V17" s="484"/>
      <c r="W17" s="484"/>
      <c r="X17" s="484"/>
      <c r="Y17" s="484"/>
      <c r="Z17" s="485" t="s">
        <v>326</v>
      </c>
    </row>
    <row r="18" spans="1:26" x14ac:dyDescent="0.3">
      <c r="A18" s="18"/>
      <c r="B18" s="21"/>
      <c r="C18" s="21"/>
      <c r="D18" s="21"/>
      <c r="E18" s="21"/>
      <c r="F18" s="21"/>
      <c r="G18" s="21"/>
      <c r="H18" s="21"/>
      <c r="I18" s="21"/>
      <c r="J18" s="21"/>
      <c r="K18" s="21"/>
      <c r="L18" s="21"/>
      <c r="M18" s="21"/>
      <c r="N18" s="21"/>
      <c r="O18" s="20"/>
      <c r="Q18" s="484"/>
      <c r="R18" s="484"/>
      <c r="S18" s="484"/>
      <c r="T18" s="484"/>
      <c r="U18" s="484"/>
      <c r="V18" s="484"/>
      <c r="W18" s="484"/>
      <c r="X18" s="484"/>
      <c r="Y18" s="484"/>
      <c r="Z18" s="485"/>
    </row>
    <row r="19" spans="1:26" ht="15" customHeight="1" x14ac:dyDescent="0.3">
      <c r="A19" s="18"/>
      <c r="B19" s="21"/>
      <c r="C19" s="21"/>
      <c r="D19" s="21"/>
      <c r="E19" s="21"/>
      <c r="F19" s="21"/>
      <c r="G19" s="21"/>
      <c r="H19" s="21"/>
      <c r="I19" s="21"/>
      <c r="J19" s="21"/>
      <c r="K19" s="21"/>
      <c r="L19" s="21"/>
      <c r="M19" s="21"/>
      <c r="N19" s="21"/>
      <c r="O19" s="20"/>
      <c r="Q19" s="484"/>
      <c r="R19" s="484"/>
      <c r="S19" s="484"/>
      <c r="T19" s="484"/>
      <c r="U19" s="484"/>
      <c r="V19" s="484"/>
      <c r="W19" s="484"/>
      <c r="X19" s="484"/>
      <c r="Y19" s="484"/>
      <c r="Z19" s="485"/>
    </row>
    <row r="20" spans="1:26" ht="15" customHeight="1" x14ac:dyDescent="0.3">
      <c r="A20" s="18"/>
      <c r="B20" s="21"/>
      <c r="C20" s="21"/>
      <c r="D20" s="21"/>
      <c r="E20" s="21"/>
      <c r="F20" s="21"/>
      <c r="G20" s="21"/>
      <c r="H20" s="21"/>
      <c r="I20" s="21"/>
      <c r="J20" s="21"/>
      <c r="K20" s="21"/>
      <c r="L20" s="21"/>
      <c r="M20" s="21"/>
      <c r="N20" s="21"/>
      <c r="O20" s="20"/>
      <c r="Q20" s="484" t="s">
        <v>2483</v>
      </c>
      <c r="R20" s="484"/>
      <c r="S20" s="484" t="s">
        <v>3455</v>
      </c>
      <c r="T20" s="484"/>
      <c r="U20" s="484"/>
      <c r="V20" s="484"/>
      <c r="W20" s="484"/>
      <c r="X20" s="484"/>
      <c r="Y20" s="484"/>
      <c r="Z20" s="485" t="s">
        <v>326</v>
      </c>
    </row>
    <row r="21" spans="1:26" x14ac:dyDescent="0.3">
      <c r="A21" s="18"/>
      <c r="B21" s="101" t="s">
        <v>305</v>
      </c>
      <c r="C21" s="21"/>
      <c r="D21" s="101" t="s">
        <v>1666</v>
      </c>
      <c r="E21" s="101" t="s">
        <v>1669</v>
      </c>
      <c r="F21" s="21"/>
      <c r="G21" s="21"/>
      <c r="H21" s="21"/>
      <c r="I21" s="101" t="s">
        <v>3454</v>
      </c>
      <c r="J21" s="21"/>
      <c r="K21" s="21"/>
      <c r="L21" s="21"/>
      <c r="M21" s="21"/>
      <c r="N21" s="21"/>
      <c r="O21" s="20"/>
      <c r="Q21" s="484"/>
      <c r="R21" s="484"/>
      <c r="S21" s="484"/>
      <c r="T21" s="484"/>
      <c r="U21" s="484"/>
      <c r="V21" s="484"/>
      <c r="W21" s="484"/>
      <c r="X21" s="484"/>
      <c r="Y21" s="484"/>
      <c r="Z21" s="485"/>
    </row>
    <row r="22" spans="1:26" x14ac:dyDescent="0.3">
      <c r="A22" s="18"/>
      <c r="B22" s="42" t="s">
        <v>1654</v>
      </c>
      <c r="C22" s="21"/>
      <c r="D22" s="42" t="s">
        <v>1663</v>
      </c>
      <c r="E22" s="42" t="s">
        <v>1675</v>
      </c>
      <c r="F22" s="21"/>
      <c r="G22" s="21"/>
      <c r="H22" s="21"/>
      <c r="I22" s="30" t="str" cm="1">
        <f t="array" ref="I22">_xll.U.REGEX(B22,D22:E22)</f>
        <v>apples: Tom likes 'em</v>
      </c>
      <c r="J22" s="21"/>
      <c r="K22" s="21"/>
      <c r="L22" s="21"/>
      <c r="M22" s="21"/>
      <c r="N22" s="21"/>
      <c r="O22" s="20"/>
      <c r="Q22" s="484"/>
      <c r="R22" s="484"/>
      <c r="S22" s="484"/>
      <c r="T22" s="484"/>
      <c r="U22" s="484"/>
      <c r="V22" s="484"/>
      <c r="W22" s="484"/>
      <c r="X22" s="484"/>
      <c r="Y22" s="484"/>
      <c r="Z22" s="485"/>
    </row>
    <row r="23" spans="1:26" x14ac:dyDescent="0.3">
      <c r="A23" s="18"/>
      <c r="B23" s="42" t="s">
        <v>1664</v>
      </c>
      <c r="C23" s="21"/>
      <c r="D23" s="42" t="s">
        <v>1673</v>
      </c>
      <c r="E23" s="42" t="s">
        <v>1674</v>
      </c>
      <c r="F23" s="21"/>
      <c r="G23" s="21"/>
      <c r="H23" s="21"/>
      <c r="I23" s="30" t="str" cm="1">
        <f t="array" ref="I23">_xll.U.REGEX(B23,D23:E23)</f>
        <v>pears: Cindy likes 'em</v>
      </c>
      <c r="J23" s="21"/>
      <c r="K23" s="21"/>
      <c r="L23" s="21"/>
      <c r="M23" s="21"/>
      <c r="N23" s="21"/>
      <c r="O23" s="20"/>
      <c r="Q23" s="126" t="s">
        <v>328</v>
      </c>
    </row>
    <row r="24" spans="1:26" x14ac:dyDescent="0.3">
      <c r="A24" s="18"/>
      <c r="B24" s="42" t="s">
        <v>1665</v>
      </c>
      <c r="C24" s="21"/>
      <c r="D24" s="42" t="s">
        <v>1671</v>
      </c>
      <c r="E24" s="42" t="s">
        <v>1672</v>
      </c>
      <c r="F24" s="21"/>
      <c r="G24" s="21"/>
      <c r="H24" s="21"/>
      <c r="I24" s="30" t="str" cm="1">
        <f t="array" ref="I24">_xll.U.REGEX(B24,D24:E24)</f>
        <v>burgers: Andy likes 'em</v>
      </c>
      <c r="J24" s="21"/>
      <c r="K24" s="21"/>
      <c r="L24" s="21"/>
      <c r="M24" s="21"/>
      <c r="N24" s="21"/>
      <c r="O24" s="20"/>
    </row>
    <row r="25" spans="1:26" x14ac:dyDescent="0.3">
      <c r="A25" s="18"/>
      <c r="B25" s="21"/>
      <c r="C25" s="21"/>
      <c r="D25" s="21"/>
      <c r="E25" s="21"/>
      <c r="F25" s="21"/>
      <c r="G25" s="21"/>
      <c r="H25" s="21"/>
      <c r="I25" s="21"/>
      <c r="J25" s="21"/>
      <c r="K25" s="21"/>
      <c r="L25" s="21"/>
      <c r="M25" s="21"/>
      <c r="N25" s="21"/>
      <c r="O25" s="20"/>
    </row>
    <row r="26" spans="1:26" ht="15" customHeight="1" x14ac:dyDescent="0.3">
      <c r="A26" s="18"/>
      <c r="B26" s="21"/>
      <c r="C26" s="21"/>
      <c r="D26" s="21"/>
      <c r="E26" s="21"/>
      <c r="F26" s="21"/>
      <c r="G26" s="21"/>
      <c r="H26" s="21"/>
      <c r="I26" s="21"/>
      <c r="J26" s="21"/>
      <c r="K26" s="21"/>
      <c r="L26" s="21"/>
      <c r="M26" s="21"/>
      <c r="N26" s="21"/>
      <c r="O26" s="20"/>
      <c r="Q26" s="486" t="s">
        <v>3456</v>
      </c>
      <c r="R26" s="486"/>
      <c r="S26" s="486"/>
      <c r="T26" s="486"/>
      <c r="U26" s="486"/>
      <c r="V26" s="486"/>
      <c r="W26" s="486"/>
      <c r="X26" s="486"/>
      <c r="Y26" s="486"/>
      <c r="Z26" s="486"/>
    </row>
    <row r="27" spans="1:26" x14ac:dyDescent="0.3">
      <c r="A27" s="18"/>
      <c r="B27" s="21"/>
      <c r="C27" s="21"/>
      <c r="D27" s="21"/>
      <c r="E27" s="21"/>
      <c r="F27" s="21"/>
      <c r="G27" s="21"/>
      <c r="H27" s="21"/>
      <c r="I27" s="21"/>
      <c r="J27" s="21"/>
      <c r="K27" s="21"/>
      <c r="L27" s="21"/>
      <c r="M27" s="21"/>
      <c r="N27" s="21"/>
      <c r="O27" s="20"/>
      <c r="Q27" s="487" t="s">
        <v>333</v>
      </c>
      <c r="R27" s="487"/>
      <c r="S27" s="487" t="s">
        <v>1781</v>
      </c>
      <c r="T27" s="487"/>
      <c r="U27" s="487"/>
      <c r="V27" s="487"/>
      <c r="W27" s="487"/>
      <c r="X27" s="487"/>
      <c r="Y27" s="487"/>
      <c r="Z27" s="487"/>
    </row>
    <row r="28" spans="1:26" x14ac:dyDescent="0.3">
      <c r="A28" s="18"/>
      <c r="B28" s="21"/>
      <c r="C28" s="21"/>
      <c r="D28" s="21"/>
      <c r="E28" s="21"/>
      <c r="F28" s="21"/>
      <c r="G28" s="21"/>
      <c r="H28" s="21"/>
      <c r="I28" s="21"/>
      <c r="J28" s="21"/>
      <c r="K28" s="21"/>
      <c r="L28" s="21"/>
      <c r="M28" s="21"/>
      <c r="N28" s="21"/>
      <c r="O28" s="20"/>
      <c r="Q28" s="487"/>
      <c r="R28" s="487"/>
      <c r="S28" s="487"/>
      <c r="T28" s="487"/>
      <c r="U28" s="487"/>
      <c r="V28" s="487"/>
      <c r="W28" s="487"/>
      <c r="X28" s="487"/>
      <c r="Y28" s="487"/>
      <c r="Z28" s="487"/>
    </row>
    <row r="29" spans="1:26" x14ac:dyDescent="0.3">
      <c r="A29" s="18"/>
      <c r="B29" s="101" t="s">
        <v>237</v>
      </c>
      <c r="C29" s="21"/>
      <c r="D29" s="101" t="s">
        <v>1666</v>
      </c>
      <c r="E29" s="101" t="s">
        <v>1669</v>
      </c>
      <c r="F29" s="21"/>
      <c r="G29" s="21"/>
      <c r="H29" s="21"/>
      <c r="I29" s="101" t="s">
        <v>3454</v>
      </c>
      <c r="J29" s="21"/>
      <c r="K29" s="21"/>
      <c r="L29" s="21"/>
      <c r="M29" s="21"/>
      <c r="N29" s="21"/>
      <c r="O29" s="20"/>
      <c r="Q29" s="487"/>
      <c r="R29" s="487"/>
      <c r="S29" s="487"/>
      <c r="T29" s="487"/>
      <c r="U29" s="487"/>
      <c r="V29" s="487"/>
      <c r="W29" s="487"/>
      <c r="X29" s="487"/>
      <c r="Y29" s="487"/>
      <c r="Z29" s="487"/>
    </row>
    <row r="30" spans="1:26" x14ac:dyDescent="0.3">
      <c r="A30" s="18"/>
      <c r="B30" s="42" t="s">
        <v>1665</v>
      </c>
      <c r="C30" s="21"/>
      <c r="D30" s="42" t="s">
        <v>1679</v>
      </c>
      <c r="E30" s="42" t="b">
        <v>1</v>
      </c>
      <c r="F30" s="21"/>
      <c r="G30" s="21"/>
      <c r="H30" s="21"/>
      <c r="I30" s="30" t="b" cm="1">
        <f t="array" ref="I30">_xll.U.REGEX(B30,D30:E30,FALSE)</f>
        <v>1</v>
      </c>
      <c r="J30" s="21"/>
      <c r="K30" s="21"/>
      <c r="L30" s="21"/>
      <c r="M30" s="21"/>
      <c r="N30" s="21"/>
      <c r="O30" s="20"/>
      <c r="Q30" s="483" t="s">
        <v>323</v>
      </c>
      <c r="R30" s="483"/>
      <c r="S30" s="483" t="s">
        <v>1</v>
      </c>
      <c r="T30" s="483"/>
      <c r="U30" s="483"/>
      <c r="V30" s="483"/>
      <c r="W30" s="483"/>
      <c r="X30" s="483"/>
      <c r="Y30" s="483"/>
      <c r="Z30" s="85" t="s">
        <v>324</v>
      </c>
    </row>
    <row r="31" spans="1:26" ht="15" customHeight="1" x14ac:dyDescent="0.3">
      <c r="A31" s="18"/>
      <c r="B31" s="21"/>
      <c r="C31" s="21"/>
      <c r="D31" s="42" t="s">
        <v>1663</v>
      </c>
      <c r="E31" s="42" t="b">
        <v>1</v>
      </c>
      <c r="F31" s="21"/>
      <c r="G31" s="21"/>
      <c r="H31" s="21"/>
      <c r="I31" s="30" t="b" cm="1">
        <f t="array" ref="I31">_xll.U.REGEX(B30,D31:E31,FALSE)</f>
        <v>0</v>
      </c>
      <c r="J31" s="21"/>
      <c r="K31" s="21"/>
      <c r="L31" s="21"/>
      <c r="M31" s="21"/>
      <c r="N31" s="21"/>
      <c r="O31" s="20"/>
      <c r="Q31" s="487" t="s">
        <v>1775</v>
      </c>
      <c r="R31" s="487"/>
      <c r="S31" s="487" t="s">
        <v>3457</v>
      </c>
      <c r="T31" s="487"/>
      <c r="U31" s="487"/>
      <c r="V31" s="487"/>
      <c r="W31" s="487"/>
      <c r="X31" s="487"/>
      <c r="Y31" s="487"/>
      <c r="Z31" s="509" t="s">
        <v>325</v>
      </c>
    </row>
    <row r="32" spans="1:26" x14ac:dyDescent="0.3">
      <c r="A32" s="18"/>
      <c r="B32" s="21"/>
      <c r="C32" s="21"/>
      <c r="D32" s="21"/>
      <c r="E32" s="21"/>
      <c r="F32" s="21"/>
      <c r="G32" s="21"/>
      <c r="H32" s="21"/>
      <c r="I32" s="21"/>
      <c r="J32" s="21"/>
      <c r="K32" s="21"/>
      <c r="L32" s="21"/>
      <c r="M32" s="21"/>
      <c r="N32" s="21"/>
      <c r="O32" s="20"/>
      <c r="Q32" s="487"/>
      <c r="R32" s="487"/>
      <c r="S32" s="487"/>
      <c r="T32" s="487"/>
      <c r="U32" s="487"/>
      <c r="V32" s="487"/>
      <c r="W32" s="487"/>
      <c r="X32" s="487"/>
      <c r="Y32" s="487"/>
      <c r="Z32" s="509"/>
    </row>
    <row r="33" spans="1:26" ht="15" customHeight="1" x14ac:dyDescent="0.3">
      <c r="A33" s="18"/>
      <c r="B33" s="21"/>
      <c r="C33" s="21"/>
      <c r="D33" s="21"/>
      <c r="E33" s="21"/>
      <c r="F33" s="21"/>
      <c r="G33" s="21"/>
      <c r="H33" s="21"/>
      <c r="I33" s="21"/>
      <c r="J33" s="21"/>
      <c r="K33" s="21"/>
      <c r="L33" s="21"/>
      <c r="M33" s="21"/>
      <c r="N33" s="21"/>
      <c r="O33" s="20"/>
      <c r="Q33" s="487"/>
      <c r="R33" s="487"/>
      <c r="S33" s="487"/>
      <c r="T33" s="487"/>
      <c r="U33" s="487"/>
      <c r="V33" s="487"/>
      <c r="W33" s="487"/>
      <c r="X33" s="487"/>
      <c r="Y33" s="487"/>
      <c r="Z33" s="509"/>
    </row>
    <row r="34" spans="1:26" x14ac:dyDescent="0.3">
      <c r="A34" s="18"/>
      <c r="B34" s="21"/>
      <c r="C34" s="21"/>
      <c r="D34" s="21"/>
      <c r="E34" s="21"/>
      <c r="F34" s="21"/>
      <c r="G34" s="21"/>
      <c r="H34" s="21"/>
      <c r="I34" s="21"/>
      <c r="J34" s="21"/>
      <c r="K34" s="21"/>
      <c r="L34" s="21"/>
      <c r="M34" s="21"/>
      <c r="N34" s="21"/>
      <c r="O34" s="20"/>
      <c r="Q34" s="484" t="s">
        <v>886</v>
      </c>
      <c r="R34" s="484"/>
      <c r="S34" s="484" t="s">
        <v>1776</v>
      </c>
      <c r="T34" s="484"/>
      <c r="U34" s="484"/>
      <c r="V34" s="484"/>
      <c r="W34" s="484"/>
      <c r="X34" s="484"/>
      <c r="Y34" s="484"/>
      <c r="Z34" s="485" t="s">
        <v>326</v>
      </c>
    </row>
    <row r="35" spans="1:26" x14ac:dyDescent="0.3">
      <c r="A35" s="18"/>
      <c r="B35" s="21"/>
      <c r="C35" s="21"/>
      <c r="D35" s="21"/>
      <c r="E35" s="21"/>
      <c r="F35" s="21"/>
      <c r="G35" s="21"/>
      <c r="H35" s="21"/>
      <c r="I35" s="21"/>
      <c r="J35" s="21"/>
      <c r="K35" s="21"/>
      <c r="L35" s="21"/>
      <c r="M35" s="21"/>
      <c r="N35" s="21"/>
      <c r="O35" s="20"/>
      <c r="Q35" s="484"/>
      <c r="R35" s="484"/>
      <c r="S35" s="484"/>
      <c r="T35" s="484"/>
      <c r="U35" s="484"/>
      <c r="V35" s="484"/>
      <c r="W35" s="484"/>
      <c r="X35" s="484"/>
      <c r="Y35" s="484"/>
      <c r="Z35" s="485"/>
    </row>
    <row r="36" spans="1:26" x14ac:dyDescent="0.3">
      <c r="A36" s="18"/>
      <c r="B36" s="21"/>
      <c r="C36" s="21"/>
      <c r="D36" s="21"/>
      <c r="E36" s="21"/>
      <c r="F36" s="21"/>
      <c r="G36" s="21"/>
      <c r="H36" s="21"/>
      <c r="I36" s="21"/>
      <c r="J36" s="21"/>
      <c r="K36" s="21"/>
      <c r="L36" s="21"/>
      <c r="M36" s="21"/>
      <c r="N36" s="21"/>
      <c r="O36" s="20"/>
      <c r="Q36" s="484"/>
      <c r="R36" s="484"/>
      <c r="S36" s="484"/>
      <c r="T36" s="484"/>
      <c r="U36" s="484"/>
      <c r="V36" s="484"/>
      <c r="W36" s="484"/>
      <c r="X36" s="484"/>
      <c r="Y36" s="484"/>
      <c r="Z36" s="485"/>
    </row>
    <row r="37" spans="1:26" ht="15" customHeight="1" x14ac:dyDescent="0.3">
      <c r="A37" s="18"/>
      <c r="B37" s="21"/>
      <c r="C37" s="21"/>
      <c r="D37" s="21"/>
      <c r="E37" s="21"/>
      <c r="F37" s="21"/>
      <c r="G37" s="21"/>
      <c r="H37" s="21"/>
      <c r="I37" s="21"/>
      <c r="J37" s="21"/>
      <c r="K37" s="21"/>
      <c r="L37" s="21"/>
      <c r="M37" s="21"/>
      <c r="N37" s="21"/>
      <c r="O37" s="20"/>
      <c r="Q37" s="484" t="s">
        <v>1777</v>
      </c>
      <c r="R37" s="484"/>
      <c r="S37" s="484" t="s">
        <v>1778</v>
      </c>
      <c r="T37" s="484"/>
      <c r="U37" s="484"/>
      <c r="V37" s="484"/>
      <c r="W37" s="484"/>
      <c r="X37" s="484"/>
      <c r="Y37" s="484"/>
      <c r="Z37" s="485" t="s">
        <v>326</v>
      </c>
    </row>
    <row r="38" spans="1:26" x14ac:dyDescent="0.3">
      <c r="A38" s="18"/>
      <c r="B38" s="21"/>
      <c r="C38" s="21"/>
      <c r="D38" s="101" t="s">
        <v>1666</v>
      </c>
      <c r="E38" s="101" t="s">
        <v>1676</v>
      </c>
      <c r="F38" s="101" t="s">
        <v>1670</v>
      </c>
      <c r="G38" s="21"/>
      <c r="H38" s="21"/>
      <c r="I38" s="101" t="s">
        <v>3454</v>
      </c>
      <c r="J38" s="21"/>
      <c r="K38" s="21"/>
      <c r="L38" s="21"/>
      <c r="M38" s="21"/>
      <c r="N38" s="21"/>
      <c r="O38" s="20"/>
      <c r="Q38" s="484"/>
      <c r="R38" s="484"/>
      <c r="S38" s="484"/>
      <c r="T38" s="484"/>
      <c r="U38" s="484"/>
      <c r="V38" s="484"/>
      <c r="W38" s="484"/>
      <c r="X38" s="484"/>
      <c r="Y38" s="484"/>
      <c r="Z38" s="485"/>
    </row>
    <row r="39" spans="1:26" x14ac:dyDescent="0.3">
      <c r="A39" s="18"/>
      <c r="B39" s="21"/>
      <c r="C39" s="21"/>
      <c r="D39" s="42" t="s">
        <v>1663</v>
      </c>
      <c r="E39" s="300" t="s">
        <v>39</v>
      </c>
      <c r="F39" s="42" t="b">
        <v>1</v>
      </c>
      <c r="G39" s="21"/>
      <c r="H39" s="21"/>
      <c r="I39" s="30" t="str" cm="1">
        <f t="array" ref="I39">_xll.U.REGEX(B22,D39:F39)</f>
        <v>Tom eats blah for lunch</v>
      </c>
      <c r="J39" s="21"/>
      <c r="K39" s="21"/>
      <c r="L39" s="21"/>
      <c r="M39" s="21"/>
      <c r="N39" s="21"/>
      <c r="O39" s="20"/>
      <c r="Q39" s="484"/>
      <c r="R39" s="484"/>
      <c r="S39" s="484"/>
      <c r="T39" s="484"/>
      <c r="U39" s="484"/>
      <c r="V39" s="484"/>
      <c r="W39" s="484"/>
      <c r="X39" s="484"/>
      <c r="Y39" s="484"/>
      <c r="Z39" s="485"/>
    </row>
    <row r="40" spans="1:26" ht="15" customHeight="1" x14ac:dyDescent="0.3">
      <c r="A40" s="18"/>
      <c r="B40" s="21"/>
      <c r="C40" s="21"/>
      <c r="D40" s="42" t="s">
        <v>1677</v>
      </c>
      <c r="E40" s="299" t="s">
        <v>1795</v>
      </c>
      <c r="F40" s="42" t="b">
        <v>1</v>
      </c>
      <c r="G40" s="21"/>
      <c r="H40" s="21"/>
      <c r="I40" s="30" t="str" cm="1">
        <f t="array" ref="I40">_xll.U.REGEX(B23,D40:F40)</f>
        <v>Cindy eats 3 pears for lunch</v>
      </c>
      <c r="J40" s="21"/>
      <c r="K40" s="21"/>
      <c r="L40" s="21"/>
      <c r="M40" s="21"/>
      <c r="N40" s="21"/>
      <c r="O40" s="20"/>
      <c r="Q40" s="484" t="s">
        <v>1779</v>
      </c>
      <c r="R40" s="484"/>
      <c r="S40" s="484" t="s">
        <v>1780</v>
      </c>
      <c r="T40" s="484"/>
      <c r="U40" s="484"/>
      <c r="V40" s="484"/>
      <c r="W40" s="484"/>
      <c r="X40" s="484"/>
      <c r="Y40" s="484"/>
      <c r="Z40" s="485" t="s">
        <v>326</v>
      </c>
    </row>
    <row r="41" spans="1:26" x14ac:dyDescent="0.3">
      <c r="A41" s="18"/>
      <c r="B41" s="21"/>
      <c r="C41" s="21"/>
      <c r="D41" s="21"/>
      <c r="E41" s="21"/>
      <c r="F41" s="21"/>
      <c r="G41" s="21"/>
      <c r="H41" s="21"/>
      <c r="I41" s="21"/>
      <c r="J41" s="21"/>
      <c r="K41" s="21"/>
      <c r="L41" s="21"/>
      <c r="M41" s="21"/>
      <c r="N41" s="21"/>
      <c r="O41" s="20"/>
      <c r="Q41" s="484"/>
      <c r="R41" s="484"/>
      <c r="S41" s="484"/>
      <c r="T41" s="484"/>
      <c r="U41" s="484"/>
      <c r="V41" s="484"/>
      <c r="W41" s="484"/>
      <c r="X41" s="484"/>
      <c r="Y41" s="484"/>
      <c r="Z41" s="485"/>
    </row>
    <row r="42" spans="1:26" x14ac:dyDescent="0.3">
      <c r="A42" s="18"/>
      <c r="B42" s="21"/>
      <c r="C42" s="21"/>
      <c r="D42" s="21"/>
      <c r="E42" s="21"/>
      <c r="F42" s="21"/>
      <c r="G42" s="21"/>
      <c r="H42" s="21"/>
      <c r="I42" s="21"/>
      <c r="J42" s="21"/>
      <c r="K42" s="21"/>
      <c r="L42" s="21"/>
      <c r="M42" s="21"/>
      <c r="N42" s="21"/>
      <c r="O42" s="20"/>
      <c r="Q42" s="484"/>
      <c r="R42" s="484"/>
      <c r="S42" s="484"/>
      <c r="T42" s="484"/>
      <c r="U42" s="484"/>
      <c r="V42" s="484"/>
      <c r="W42" s="484"/>
      <c r="X42" s="484"/>
      <c r="Y42" s="484"/>
      <c r="Z42" s="485"/>
    </row>
    <row r="43" spans="1:26" x14ac:dyDescent="0.3">
      <c r="A43" s="18"/>
      <c r="B43" s="21"/>
      <c r="C43" s="21"/>
      <c r="D43" s="21"/>
      <c r="E43" s="21"/>
      <c r="F43" s="21"/>
      <c r="G43" s="21"/>
      <c r="H43" s="21"/>
      <c r="I43" s="21"/>
      <c r="J43" s="21"/>
      <c r="K43" s="21"/>
      <c r="L43" s="21"/>
      <c r="M43" s="21"/>
      <c r="N43" s="21"/>
      <c r="O43" s="20"/>
      <c r="Q43" s="126" t="s">
        <v>328</v>
      </c>
    </row>
    <row r="44" spans="1:26" x14ac:dyDescent="0.3">
      <c r="A44" s="18"/>
      <c r="B44" s="21"/>
      <c r="C44" s="21"/>
      <c r="D44" s="21"/>
      <c r="E44" s="21"/>
      <c r="F44" s="21"/>
      <c r="G44" s="21"/>
      <c r="H44" s="21"/>
      <c r="I44" s="21"/>
      <c r="J44" s="21"/>
      <c r="K44" s="21"/>
      <c r="L44" s="21"/>
      <c r="M44" s="21"/>
      <c r="N44" s="21"/>
      <c r="O44" s="20"/>
    </row>
    <row r="45" spans="1:26" x14ac:dyDescent="0.3">
      <c r="A45" s="18"/>
      <c r="B45" s="21"/>
      <c r="C45" s="21"/>
      <c r="D45" s="21"/>
      <c r="E45" s="21"/>
      <c r="F45" s="21"/>
      <c r="G45" s="21"/>
      <c r="H45" s="21"/>
      <c r="I45" s="21"/>
      <c r="J45" s="21"/>
      <c r="K45" s="21"/>
      <c r="L45" s="21"/>
      <c r="M45" s="21"/>
      <c r="N45" s="21"/>
      <c r="O45" s="20"/>
    </row>
    <row r="46" spans="1:26" x14ac:dyDescent="0.3">
      <c r="A46" s="18"/>
      <c r="B46" s="21"/>
      <c r="C46" s="21"/>
      <c r="D46" s="21"/>
      <c r="E46" s="21"/>
      <c r="F46" s="21"/>
      <c r="G46" s="21"/>
      <c r="H46" s="21"/>
      <c r="I46" s="21"/>
      <c r="J46" s="21"/>
      <c r="K46" s="21"/>
      <c r="L46" s="21"/>
      <c r="M46" s="21"/>
      <c r="N46" s="21"/>
      <c r="O46" s="20"/>
    </row>
    <row r="47" spans="1:26" x14ac:dyDescent="0.3">
      <c r="A47" s="18"/>
      <c r="B47" s="21"/>
      <c r="C47" s="21"/>
      <c r="D47" s="21"/>
      <c r="E47" s="21"/>
      <c r="F47" s="21"/>
      <c r="G47" s="21"/>
      <c r="H47" s="21"/>
      <c r="I47" s="21"/>
      <c r="J47" s="21"/>
      <c r="K47" s="21"/>
      <c r="L47" s="21"/>
      <c r="M47" s="21"/>
      <c r="N47" s="21"/>
      <c r="O47" s="20"/>
    </row>
    <row r="48" spans="1:26" x14ac:dyDescent="0.3">
      <c r="A48" s="18"/>
      <c r="B48" s="21"/>
      <c r="C48" s="21"/>
      <c r="D48" s="21"/>
      <c r="E48" s="21"/>
      <c r="F48" s="21"/>
      <c r="G48" s="21"/>
      <c r="H48" s="21"/>
      <c r="I48" s="21"/>
      <c r="J48" s="21"/>
      <c r="K48" s="21"/>
      <c r="L48" s="21"/>
      <c r="M48" s="21"/>
      <c r="N48" s="21"/>
      <c r="O48" s="20"/>
    </row>
    <row r="49" spans="1:15" x14ac:dyDescent="0.3">
      <c r="A49" s="18"/>
      <c r="B49" s="101" t="s">
        <v>305</v>
      </c>
      <c r="C49" s="21"/>
      <c r="D49" s="101" t="s">
        <v>1662</v>
      </c>
      <c r="E49" s="21"/>
      <c r="F49" s="21"/>
      <c r="G49" s="21"/>
      <c r="H49" s="21"/>
      <c r="I49" s="101" t="s">
        <v>3454</v>
      </c>
      <c r="J49" s="21"/>
      <c r="K49" s="21"/>
      <c r="L49" s="21"/>
      <c r="M49" s="21"/>
      <c r="N49" s="21"/>
      <c r="O49" s="20"/>
    </row>
    <row r="50" spans="1:15" x14ac:dyDescent="0.3">
      <c r="A50" s="18"/>
      <c r="B50" s="42" t="s">
        <v>1683</v>
      </c>
      <c r="C50" s="21"/>
      <c r="D50" s="42" t="s">
        <v>1684</v>
      </c>
      <c r="E50" s="21"/>
      <c r="F50" s="21"/>
      <c r="G50" s="21"/>
      <c r="H50" s="21"/>
      <c r="I50" s="30" t="str" cm="1">
        <f t="array" ref="I50">_xll.U.REGEX(B50,D50)</f>
        <v>big</v>
      </c>
      <c r="J50" s="21"/>
      <c r="K50" s="21"/>
      <c r="L50" s="21"/>
      <c r="M50" s="21"/>
      <c r="N50" s="21"/>
      <c r="O50" s="20"/>
    </row>
    <row r="51" spans="1:15" x14ac:dyDescent="0.3">
      <c r="A51" s="18"/>
      <c r="B51" s="42" t="s">
        <v>1683</v>
      </c>
      <c r="C51" s="21"/>
      <c r="D51" s="42" t="s">
        <v>1685</v>
      </c>
      <c r="E51" s="21"/>
      <c r="F51" s="21"/>
      <c r="G51" s="21"/>
      <c r="H51" s="21"/>
      <c r="I51" s="30" t="str" cm="1">
        <f t="array" ref="I51">_xll.U.REGEX(B51,D51)</f>
        <v/>
      </c>
      <c r="J51" s="21"/>
      <c r="K51" s="21"/>
      <c r="L51" s="21"/>
      <c r="M51" s="21"/>
      <c r="N51" s="21"/>
      <c r="O51" s="20"/>
    </row>
    <row r="52" spans="1:15" x14ac:dyDescent="0.3">
      <c r="A52" s="18"/>
      <c r="B52" s="21"/>
      <c r="C52" s="21"/>
      <c r="D52" s="21"/>
      <c r="E52" s="21"/>
      <c r="F52" s="21"/>
      <c r="G52" s="21"/>
      <c r="H52" s="21"/>
      <c r="I52" s="21"/>
      <c r="J52" s="21"/>
      <c r="K52" s="21"/>
      <c r="L52" s="21"/>
      <c r="M52" s="21"/>
      <c r="N52" s="21"/>
      <c r="O52" s="20"/>
    </row>
    <row r="53" spans="1:15" x14ac:dyDescent="0.3">
      <c r="A53" s="18"/>
      <c r="B53" s="21"/>
      <c r="C53" s="21"/>
      <c r="D53" s="21"/>
      <c r="E53" s="21"/>
      <c r="F53" s="21"/>
      <c r="G53" s="21"/>
      <c r="H53" s="21"/>
      <c r="I53" s="21"/>
      <c r="J53" s="21"/>
      <c r="K53" s="21"/>
      <c r="L53" s="21"/>
      <c r="M53" s="21"/>
      <c r="N53" s="21"/>
      <c r="O53" s="20"/>
    </row>
    <row r="54" spans="1:15" x14ac:dyDescent="0.3">
      <c r="A54" s="18"/>
      <c r="B54" s="101" t="s">
        <v>305</v>
      </c>
      <c r="C54" s="21"/>
      <c r="D54" s="101" t="s">
        <v>1662</v>
      </c>
      <c r="E54" s="21"/>
      <c r="F54" s="21"/>
      <c r="G54" s="21"/>
      <c r="H54" s="21"/>
      <c r="I54" s="101" t="s">
        <v>3454</v>
      </c>
      <c r="J54" s="343" t="s">
        <v>2486</v>
      </c>
      <c r="K54" s="21"/>
      <c r="L54" s="21"/>
      <c r="M54" s="21"/>
      <c r="N54" s="21"/>
      <c r="O54" s="20"/>
    </row>
    <row r="55" spans="1:15" x14ac:dyDescent="0.3">
      <c r="A55" s="18"/>
      <c r="B55" s="42" t="s">
        <v>2484</v>
      </c>
      <c r="C55" s="21"/>
      <c r="D55" s="42" t="s">
        <v>2485</v>
      </c>
      <c r="E55" s="21"/>
      <c r="F55" s="21"/>
      <c r="G55" s="21"/>
      <c r="H55" s="21"/>
      <c r="I55" s="30" t="str" cm="1">
        <f t="array" ref="I55">_xll.U.REGEX(B55,D55)</f>
        <v>2</v>
      </c>
      <c r="J55" s="30" t="b">
        <f>ISNUMBER(I55)</f>
        <v>0</v>
      </c>
      <c r="K55" s="21"/>
      <c r="L55" s="21"/>
      <c r="M55" s="21"/>
      <c r="N55" s="21"/>
      <c r="O55" s="20"/>
    </row>
    <row r="56" spans="1:15" x14ac:dyDescent="0.3">
      <c r="A56" s="18"/>
      <c r="B56" s="21"/>
      <c r="C56" s="21"/>
      <c r="D56" s="21"/>
      <c r="E56" s="21"/>
      <c r="F56" s="21"/>
      <c r="G56" s="21"/>
      <c r="H56" s="21"/>
      <c r="I56" s="21"/>
      <c r="J56" s="21"/>
      <c r="K56" s="21"/>
      <c r="L56" s="21"/>
      <c r="M56" s="21"/>
      <c r="N56" s="21"/>
      <c r="O56" s="20"/>
    </row>
    <row r="57" spans="1:15" x14ac:dyDescent="0.3">
      <c r="A57" s="18"/>
      <c r="B57" s="21"/>
      <c r="C57" s="21"/>
      <c r="D57" s="21"/>
      <c r="E57" s="21"/>
      <c r="F57" s="21"/>
      <c r="G57" s="21"/>
      <c r="H57" s="21"/>
      <c r="I57" s="30" cm="1">
        <f t="array" ref="I57">_xll.U.REGEX(B55,D55,,,TRUE)</f>
        <v>2</v>
      </c>
      <c r="J57" s="30" t="b">
        <f>ISNUMBER(I57)</f>
        <v>1</v>
      </c>
      <c r="K57" s="21"/>
      <c r="L57" s="21"/>
      <c r="M57" s="21"/>
      <c r="N57" s="21"/>
      <c r="O57" s="20"/>
    </row>
    <row r="58" spans="1:15" x14ac:dyDescent="0.3">
      <c r="A58" s="18"/>
      <c r="B58" s="21"/>
      <c r="C58" s="21"/>
      <c r="D58" s="21"/>
      <c r="E58" s="21"/>
      <c r="F58" s="21"/>
      <c r="G58" s="21"/>
      <c r="H58" s="21"/>
      <c r="I58" s="21"/>
      <c r="J58" s="21"/>
      <c r="K58" s="21"/>
      <c r="L58" s="21"/>
      <c r="M58" s="21"/>
      <c r="N58" s="21"/>
      <c r="O58" s="20"/>
    </row>
    <row r="59" spans="1:15" x14ac:dyDescent="0.3">
      <c r="A59" s="18"/>
      <c r="B59" s="21"/>
      <c r="C59" s="21"/>
      <c r="D59" s="301" t="str">
        <f t="array" ref="D59:F80">_xll.U.REGEX(,,,TRUE)</f>
        <v>Name</v>
      </c>
      <c r="E59" s="301" t="str">
        <v>Value</v>
      </c>
      <c r="F59" s="301" t="str">
        <v>Description</v>
      </c>
      <c r="G59" s="160"/>
      <c r="H59" s="160"/>
      <c r="I59" s="160"/>
      <c r="J59" s="160"/>
      <c r="K59" s="160"/>
      <c r="L59" s="21"/>
      <c r="M59" s="21"/>
      <c r="N59" s="21"/>
      <c r="O59" s="20"/>
    </row>
    <row r="60" spans="1:15" x14ac:dyDescent="0.3">
      <c r="A60" s="18"/>
      <c r="B60" s="21"/>
      <c r="C60" s="21"/>
      <c r="D60" s="160" t="str">
        <v>none</v>
      </c>
      <c r="E60" s="160" t="str">
        <v>0</v>
      </c>
      <c r="F60" s="160" t="str">
        <v>do not override output (default)</v>
      </c>
      <c r="G60" s="160"/>
      <c r="H60" s="160"/>
      <c r="I60" s="160"/>
      <c r="J60" s="160"/>
      <c r="K60" s="160"/>
      <c r="L60" s="21"/>
      <c r="M60" s="21"/>
      <c r="N60" s="21"/>
      <c r="O60" s="20"/>
    </row>
    <row r="61" spans="1:15" x14ac:dyDescent="0.3">
      <c r="A61" s="18"/>
      <c r="B61" s="21"/>
      <c r="C61" s="21"/>
      <c r="D61" s="160" t="str">
        <v>true_false</v>
      </c>
      <c r="E61" s="160" t="str">
        <v>1</v>
      </c>
      <c r="F61" s="160" t="str">
        <v>return TRUE if any match is found, else return FALSE</v>
      </c>
      <c r="G61" s="160"/>
      <c r="H61" s="160"/>
      <c r="I61" s="160"/>
      <c r="J61" s="160"/>
      <c r="K61" s="160"/>
      <c r="L61" s="21"/>
      <c r="M61" s="21"/>
      <c r="N61" s="21"/>
      <c r="O61" s="20"/>
    </row>
    <row r="62" spans="1:15" x14ac:dyDescent="0.3">
      <c r="A62" s="18"/>
      <c r="B62" s="21"/>
      <c r="C62" s="21"/>
      <c r="D62" s="160" t="str">
        <v>match</v>
      </c>
      <c r="E62" s="160" t="str">
        <v>2</v>
      </c>
      <c r="F62" s="160" t="str">
        <v>return the first matched portion of the input</v>
      </c>
      <c r="G62" s="160"/>
      <c r="H62" s="160"/>
      <c r="I62" s="160"/>
      <c r="J62" s="160"/>
      <c r="K62" s="160"/>
      <c r="L62" s="21"/>
      <c r="M62" s="21"/>
      <c r="N62" s="21"/>
      <c r="O62" s="20"/>
    </row>
    <row r="63" spans="1:15" x14ac:dyDescent="0.3">
      <c r="A63" s="18"/>
      <c r="B63" s="21"/>
      <c r="C63" s="21"/>
      <c r="D63" s="160" t="str">
        <v>match_index</v>
      </c>
      <c r="E63" s="160" t="str">
        <v>3</v>
      </c>
      <c r="F63" s="160" t="str">
        <v>return the starting index of the first matched portion of the input</v>
      </c>
      <c r="G63" s="160"/>
      <c r="H63" s="160"/>
      <c r="I63" s="160"/>
      <c r="J63" s="160"/>
      <c r="K63" s="160"/>
      <c r="L63" s="21"/>
      <c r="M63" s="21"/>
      <c r="N63" s="21"/>
      <c r="O63" s="20"/>
    </row>
    <row r="64" spans="1:15" x14ac:dyDescent="0.3">
      <c r="A64" s="18"/>
      <c r="B64" s="21"/>
      <c r="C64" s="21"/>
      <c r="D64" s="160" t="str">
        <v>match_and_groups</v>
      </c>
      <c r="E64" s="160" t="str">
        <v>4</v>
      </c>
      <c r="F64" s="160" t="str">
        <v>return the full first match and any capture group values as a row vector</v>
      </c>
      <c r="G64" s="160"/>
      <c r="H64" s="160"/>
      <c r="I64" s="160"/>
      <c r="J64" s="160"/>
      <c r="K64" s="160"/>
      <c r="L64" s="21"/>
      <c r="M64" s="21"/>
      <c r="N64" s="21"/>
      <c r="O64" s="20"/>
    </row>
    <row r="65" spans="1:15" x14ac:dyDescent="0.3">
      <c r="A65" s="18"/>
      <c r="B65" s="21"/>
      <c r="C65" s="21"/>
      <c r="D65" s="160" t="str">
        <v>match_and_groups_indexes</v>
      </c>
      <c r="E65" s="160" t="str">
        <v>5</v>
      </c>
      <c r="F65" s="160" t="str">
        <v>return the full first match and any capture group starting indexes as a row vector</v>
      </c>
      <c r="G65" s="160"/>
      <c r="H65" s="160"/>
      <c r="I65" s="160"/>
      <c r="J65" s="160"/>
      <c r="K65" s="160"/>
      <c r="L65" s="21"/>
      <c r="M65" s="21"/>
      <c r="N65" s="21"/>
      <c r="O65" s="20"/>
    </row>
    <row r="66" spans="1:15" x14ac:dyDescent="0.3">
      <c r="A66" s="18"/>
      <c r="B66" s="21"/>
      <c r="C66" s="21"/>
      <c r="D66" s="160" t="str">
        <v>match_and_groups_table</v>
      </c>
      <c r="E66" s="160" t="str">
        <v>6</v>
      </c>
      <c r="F66" s="160" t="str">
        <v>return a table with full first match and any capture groups that includes values and starting indexes</v>
      </c>
      <c r="G66" s="160"/>
      <c r="H66" s="160"/>
      <c r="I66" s="160"/>
      <c r="J66" s="160"/>
      <c r="K66" s="160"/>
      <c r="L66" s="21"/>
      <c r="M66" s="21"/>
      <c r="N66" s="21"/>
      <c r="O66" s="20"/>
    </row>
    <row r="67" spans="1:15" x14ac:dyDescent="0.3">
      <c r="A67" s="18"/>
      <c r="B67" s="21"/>
      <c r="C67" s="21"/>
      <c r="D67" s="160" t="str">
        <v>groups</v>
      </c>
      <c r="E67" s="160" t="str">
        <v>7</v>
      </c>
      <c r="F67" s="160" t="str">
        <v>return capture group values of first match as a row vector</v>
      </c>
      <c r="G67" s="160"/>
      <c r="H67" s="160"/>
      <c r="I67" s="160"/>
      <c r="J67" s="160"/>
      <c r="K67" s="160"/>
      <c r="L67" s="21"/>
      <c r="M67" s="21"/>
      <c r="N67" s="21"/>
      <c r="O67" s="20"/>
    </row>
    <row r="68" spans="1:15" x14ac:dyDescent="0.3">
      <c r="A68" s="18"/>
      <c r="B68" s="21"/>
      <c r="C68" s="21"/>
      <c r="D68" s="160" t="str">
        <v>groups_indexes</v>
      </c>
      <c r="E68" s="160" t="str">
        <v>8</v>
      </c>
      <c r="F68" s="160" t="str">
        <v>return capture group start indexes of first match as a row vector</v>
      </c>
      <c r="G68" s="160"/>
      <c r="H68" s="160"/>
      <c r="I68" s="160"/>
      <c r="J68" s="160"/>
      <c r="K68" s="160"/>
      <c r="L68" s="21"/>
      <c r="M68" s="21"/>
      <c r="N68" s="21"/>
      <c r="O68" s="20"/>
    </row>
    <row r="69" spans="1:15" x14ac:dyDescent="0.3">
      <c r="A69" s="18"/>
      <c r="B69" s="21"/>
      <c r="C69" s="21"/>
      <c r="D69" s="160" t="str">
        <v>groups_table</v>
      </c>
      <c r="E69" s="160" t="str">
        <v>9</v>
      </c>
      <c r="F69" s="160" t="str">
        <v>return a table with any capture groups of first match that includes values and starting indexes</v>
      </c>
      <c r="G69" s="160"/>
      <c r="H69" s="160"/>
      <c r="I69" s="160"/>
      <c r="J69" s="160"/>
      <c r="K69" s="160"/>
      <c r="L69" s="21"/>
      <c r="M69" s="21"/>
      <c r="N69" s="21"/>
      <c r="O69" s="20"/>
    </row>
    <row r="70" spans="1:15" x14ac:dyDescent="0.3">
      <c r="A70" s="18"/>
      <c r="B70" s="21"/>
      <c r="C70" s="21"/>
      <c r="D70" s="160" t="str">
        <v>num_matches</v>
      </c>
      <c r="E70" s="160" t="str">
        <v>10</v>
      </c>
      <c r="F70" s="160" t="str">
        <v>return the number of full matches found in the input</v>
      </c>
      <c r="G70" s="160"/>
      <c r="H70" s="160"/>
      <c r="I70" s="160"/>
      <c r="J70" s="160"/>
      <c r="K70" s="160"/>
      <c r="L70" s="21"/>
      <c r="M70" s="21"/>
      <c r="N70" s="21"/>
      <c r="O70" s="20"/>
    </row>
    <row r="71" spans="1:15" x14ac:dyDescent="0.3">
      <c r="A71" s="18"/>
      <c r="B71" s="21"/>
      <c r="C71" s="21"/>
      <c r="D71" s="160" t="str">
        <v>all_matches</v>
      </c>
      <c r="E71" s="160" t="str">
        <v>11</v>
      </c>
      <c r="F71" s="160" t="str">
        <v>return all full match values as a row vector</v>
      </c>
      <c r="G71" s="160"/>
      <c r="H71" s="160"/>
      <c r="I71" s="160"/>
      <c r="J71" s="160"/>
      <c r="K71" s="160"/>
      <c r="L71" s="21"/>
      <c r="M71" s="21"/>
      <c r="N71" s="21"/>
      <c r="O71" s="20"/>
    </row>
    <row r="72" spans="1:15" x14ac:dyDescent="0.3">
      <c r="A72" s="18"/>
      <c r="B72" s="21"/>
      <c r="C72" s="21"/>
      <c r="D72" s="160" t="str">
        <v>all_match_indexes</v>
      </c>
      <c r="E72" s="160" t="str">
        <v>12</v>
      </c>
      <c r="F72" s="160" t="str">
        <v>return all full match starting indexes as a row vector</v>
      </c>
      <c r="G72" s="160"/>
      <c r="H72" s="160"/>
      <c r="I72" s="160"/>
      <c r="J72" s="160"/>
      <c r="K72" s="160"/>
      <c r="L72" s="21"/>
      <c r="M72" s="21"/>
      <c r="N72" s="21"/>
      <c r="O72" s="20"/>
    </row>
    <row r="73" spans="1:15" x14ac:dyDescent="0.3">
      <c r="A73" s="18"/>
      <c r="B73" s="21"/>
      <c r="C73" s="21"/>
      <c r="D73" s="160" t="str">
        <v>all_matches_table</v>
      </c>
      <c r="E73" s="160" t="str">
        <v>13</v>
      </c>
      <c r="F73" s="160" t="str">
        <v>return a table with all full matches that includes values and starting indexes</v>
      </c>
      <c r="G73" s="160"/>
      <c r="H73" s="160"/>
      <c r="I73" s="160"/>
      <c r="J73" s="160"/>
      <c r="K73" s="160"/>
      <c r="L73" s="21"/>
      <c r="M73" s="21"/>
      <c r="N73" s="21"/>
      <c r="O73" s="20"/>
    </row>
    <row r="74" spans="1:15" x14ac:dyDescent="0.3">
      <c r="A74" s="18"/>
      <c r="B74" s="21"/>
      <c r="C74" s="21"/>
      <c r="D74" s="160" t="str">
        <v>all_matches_and_groups_table</v>
      </c>
      <c r="E74" s="160" t="str">
        <v>14</v>
      </c>
      <c r="F74" s="160" t="str">
        <v>return a table with all full matches and their capture groups that includes values and starting indexes</v>
      </c>
      <c r="G74" s="160"/>
      <c r="H74" s="160"/>
      <c r="I74" s="160"/>
      <c r="J74" s="160"/>
      <c r="K74" s="160"/>
      <c r="L74" s="21"/>
      <c r="M74" s="21"/>
      <c r="N74" s="21"/>
      <c r="O74" s="20"/>
    </row>
    <row r="75" spans="1:15" x14ac:dyDescent="0.3">
      <c r="A75" s="18"/>
      <c r="B75" s="21"/>
      <c r="C75" s="21"/>
      <c r="D75" s="160" t="str">
        <v>all_groups</v>
      </c>
      <c r="E75" s="160" t="str">
        <v>15</v>
      </c>
      <c r="F75" s="160" t="str">
        <v>return all group values for all matches as a row vector</v>
      </c>
      <c r="G75" s="160"/>
      <c r="H75" s="160"/>
      <c r="I75" s="160"/>
      <c r="J75" s="160"/>
      <c r="K75" s="160"/>
      <c r="L75" s="21"/>
      <c r="M75" s="21"/>
      <c r="N75" s="21"/>
      <c r="O75" s="20"/>
    </row>
    <row r="76" spans="1:15" x14ac:dyDescent="0.3">
      <c r="A76" s="18"/>
      <c r="B76" s="21"/>
      <c r="C76" s="21"/>
      <c r="D76" s="160" t="str">
        <v>all_group_indexes</v>
      </c>
      <c r="E76" s="160" t="str">
        <v>16</v>
      </c>
      <c r="F76" s="160" t="str">
        <v>return all group starting indexes for all matches as a row vector</v>
      </c>
      <c r="G76" s="160"/>
      <c r="H76" s="160"/>
      <c r="I76" s="160"/>
      <c r="J76" s="160"/>
      <c r="K76" s="160"/>
      <c r="L76" s="21"/>
      <c r="M76" s="21"/>
      <c r="N76" s="21"/>
      <c r="O76" s="20"/>
    </row>
    <row r="77" spans="1:15" x14ac:dyDescent="0.3">
      <c r="A77" s="18"/>
      <c r="B77" s="21"/>
      <c r="C77" s="21"/>
      <c r="D77" s="160" t="str">
        <v>all_groups_table</v>
      </c>
      <c r="E77" s="160" t="str">
        <v>17</v>
      </c>
      <c r="F77" s="160" t="str">
        <v>return a table with all groups for all matches that includes values and starting indexes</v>
      </c>
      <c r="G77" s="160"/>
      <c r="H77" s="160"/>
      <c r="I77" s="160"/>
      <c r="J77" s="160"/>
      <c r="K77" s="160"/>
      <c r="L77" s="21"/>
      <c r="M77" s="21"/>
      <c r="N77" s="21"/>
      <c r="O77" s="20"/>
    </row>
    <row r="78" spans="1:15" x14ac:dyDescent="0.3">
      <c r="A78" s="18"/>
      <c r="B78" s="21"/>
      <c r="C78" s="21"/>
      <c r="D78" s="160" t="str">
        <v>matched_inputs</v>
      </c>
      <c r="E78" s="160" t="str">
        <v>-1</v>
      </c>
      <c r="F78" s="160" t="str">
        <v>returns a list of inputs for which any match was found as a column vector</v>
      </c>
      <c r="G78" s="160"/>
      <c r="H78" s="160"/>
      <c r="I78" s="160"/>
      <c r="J78" s="160"/>
      <c r="K78" s="160"/>
      <c r="L78" s="21"/>
      <c r="M78" s="21"/>
      <c r="N78" s="21"/>
      <c r="O78" s="20"/>
    </row>
    <row r="79" spans="1:15" x14ac:dyDescent="0.3">
      <c r="A79" s="18"/>
      <c r="B79" s="21"/>
      <c r="C79" s="21"/>
      <c r="D79" s="160" t="str">
        <v>matched_inputs_in_place</v>
      </c>
      <c r="E79" s="160" t="str">
        <v>-2</v>
      </c>
      <c r="F79" s="160" t="str">
        <v>returns a list of inputs for which any match was found placed in the same location as the inputs array</v>
      </c>
      <c r="G79" s="160"/>
      <c r="H79" s="160"/>
      <c r="I79" s="160"/>
      <c r="J79" s="160"/>
      <c r="K79" s="160"/>
      <c r="L79" s="21"/>
      <c r="M79" s="21"/>
      <c r="N79" s="21"/>
      <c r="O79" s="20"/>
    </row>
    <row r="80" spans="1:15" x14ac:dyDescent="0.3">
      <c r="A80" s="18"/>
      <c r="B80" s="21"/>
      <c r="C80" s="21"/>
      <c r="D80" s="160" t="str">
        <v>inputs_all_substitutions_applied</v>
      </c>
      <c r="E80" s="160" t="str">
        <v>-3</v>
      </c>
      <c r="F80" s="160" t="str">
        <v>returns the input value after every regex substitution is applied to it</v>
      </c>
      <c r="G80" s="160"/>
      <c r="H80" s="160"/>
      <c r="I80" s="160"/>
      <c r="J80" s="160"/>
      <c r="K80" s="160"/>
      <c r="L80" s="21"/>
      <c r="M80" s="21"/>
      <c r="N80" s="21"/>
      <c r="O80" s="20"/>
    </row>
    <row r="81" spans="1:15" x14ac:dyDescent="0.3">
      <c r="A81" s="18"/>
      <c r="B81" s="21"/>
      <c r="C81" s="21"/>
      <c r="D81" s="21"/>
      <c r="E81" s="21"/>
      <c r="F81" s="21"/>
      <c r="G81" s="21"/>
      <c r="H81" s="21"/>
      <c r="I81" s="21"/>
      <c r="J81" s="21"/>
      <c r="K81" s="21"/>
      <c r="L81" s="21"/>
      <c r="M81" s="21"/>
      <c r="N81" s="21"/>
      <c r="O81" s="20"/>
    </row>
    <row r="82" spans="1:15" x14ac:dyDescent="0.3">
      <c r="A82" s="18"/>
      <c r="B82" s="21"/>
      <c r="C82" s="21"/>
      <c r="D82" s="21"/>
      <c r="E82" s="21"/>
      <c r="F82" s="21"/>
      <c r="G82" s="21"/>
      <c r="H82" s="21"/>
      <c r="I82" s="21"/>
      <c r="J82" s="21"/>
      <c r="K82" s="21"/>
      <c r="L82" s="21"/>
      <c r="M82" s="21"/>
      <c r="N82" s="21"/>
      <c r="O82" s="20"/>
    </row>
    <row r="83" spans="1:15" x14ac:dyDescent="0.3">
      <c r="A83" s="18"/>
      <c r="B83" s="21"/>
      <c r="C83" s="21"/>
      <c r="D83" s="21"/>
      <c r="E83" s="21"/>
      <c r="F83" s="21"/>
      <c r="G83" s="21"/>
      <c r="H83" s="21"/>
      <c r="I83" s="21"/>
      <c r="J83" s="21"/>
      <c r="K83" s="21"/>
      <c r="L83" s="21"/>
      <c r="M83" s="21"/>
      <c r="N83" s="21"/>
      <c r="O83" s="20"/>
    </row>
    <row r="84" spans="1:15" x14ac:dyDescent="0.3">
      <c r="A84" s="18"/>
      <c r="B84" s="101" t="s">
        <v>305</v>
      </c>
      <c r="C84" s="21"/>
      <c r="D84" s="101" t="s">
        <v>1662</v>
      </c>
      <c r="E84" s="21"/>
      <c r="F84" s="21"/>
      <c r="G84" s="21"/>
      <c r="H84" s="21"/>
      <c r="I84" s="101" t="s">
        <v>3454</v>
      </c>
      <c r="J84" s="21"/>
      <c r="K84" s="21"/>
      <c r="L84" s="21"/>
      <c r="M84" s="21"/>
      <c r="N84" s="21"/>
      <c r="O84" s="20"/>
    </row>
    <row r="85" spans="1:15" x14ac:dyDescent="0.3">
      <c r="A85" s="18"/>
      <c r="B85" s="42" t="s">
        <v>1654</v>
      </c>
      <c r="C85" s="21"/>
      <c r="D85" s="42" t="s">
        <v>1663</v>
      </c>
      <c r="E85" s="21"/>
      <c r="F85" s="21"/>
      <c r="G85" s="21"/>
      <c r="H85" s="21"/>
      <c r="I85" s="161">
        <f t="array" ref="I85:I87">_xll.U.REGEX(B85:B87,D85,"*","match_index")</f>
        <v>10</v>
      </c>
      <c r="J85" s="21"/>
      <c r="K85" s="21"/>
      <c r="L85" s="21"/>
      <c r="M85" s="21"/>
      <c r="N85" s="21"/>
      <c r="O85" s="20"/>
    </row>
    <row r="86" spans="1:15" x14ac:dyDescent="0.3">
      <c r="A86" s="18"/>
      <c r="B86" s="42" t="s">
        <v>1664</v>
      </c>
      <c r="C86" s="21"/>
      <c r="D86" s="21"/>
      <c r="E86" s="21"/>
      <c r="F86" s="21"/>
      <c r="G86" s="21"/>
      <c r="H86" s="21"/>
      <c r="I86" s="161">
        <v>12</v>
      </c>
      <c r="J86" s="21"/>
      <c r="K86" s="21"/>
      <c r="L86" s="21"/>
      <c r="M86" s="21"/>
      <c r="N86" s="21"/>
      <c r="O86" s="20"/>
    </row>
    <row r="87" spans="1:15" x14ac:dyDescent="0.3">
      <c r="A87" s="18"/>
      <c r="B87" s="42" t="s">
        <v>1665</v>
      </c>
      <c r="C87" s="21"/>
      <c r="D87" s="21"/>
      <c r="E87" s="21"/>
      <c r="F87" s="21"/>
      <c r="G87" s="21"/>
      <c r="H87" s="21"/>
      <c r="I87" s="161" t="str">
        <v>Andy eats burgers for lunch</v>
      </c>
      <c r="J87" s="21"/>
      <c r="K87" s="21"/>
      <c r="L87" s="21"/>
      <c r="M87" s="21"/>
      <c r="N87" s="21"/>
      <c r="O87" s="20"/>
    </row>
    <row r="88" spans="1:15" x14ac:dyDescent="0.3">
      <c r="A88" s="18"/>
      <c r="B88" s="21"/>
      <c r="C88" s="21"/>
      <c r="D88" s="21"/>
      <c r="E88" s="21"/>
      <c r="F88" s="21"/>
      <c r="G88" s="21"/>
      <c r="H88" s="21"/>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x14ac:dyDescent="0.3">
      <c r="A90" s="18"/>
      <c r="B90" s="101" t="s">
        <v>305</v>
      </c>
      <c r="C90" s="21"/>
      <c r="D90" s="101" t="s">
        <v>1662</v>
      </c>
      <c r="E90" s="21"/>
      <c r="F90" s="21"/>
      <c r="G90" s="21"/>
      <c r="H90" s="21"/>
      <c r="I90" s="101" t="s">
        <v>3454</v>
      </c>
      <c r="J90" s="21"/>
      <c r="K90" s="21"/>
      <c r="L90" s="21"/>
      <c r="M90" s="21"/>
      <c r="N90" s="21"/>
      <c r="O90" s="20"/>
    </row>
    <row r="91" spans="1:15" x14ac:dyDescent="0.3">
      <c r="A91" s="18"/>
      <c r="B91" s="42" t="s">
        <v>1680</v>
      </c>
      <c r="C91" s="21"/>
      <c r="D91" s="42" t="s">
        <v>1682</v>
      </c>
      <c r="E91" s="21"/>
      <c r="F91" s="21"/>
      <c r="G91" s="21"/>
      <c r="H91" s="21"/>
      <c r="I91" s="161" t="b">
        <f t="array" ref="I91:I92">_xll.U.REGEX(B91:B92,D91,,1)</f>
        <v>1</v>
      </c>
      <c r="J91" s="21"/>
      <c r="K91" s="21"/>
      <c r="L91" s="21"/>
      <c r="M91" s="21"/>
      <c r="N91" s="21"/>
      <c r="O91" s="20"/>
    </row>
    <row r="92" spans="1:15" x14ac:dyDescent="0.3">
      <c r="A92" s="18"/>
      <c r="B92" s="42" t="s">
        <v>1681</v>
      </c>
      <c r="C92" s="21"/>
      <c r="D92" s="21"/>
      <c r="E92" s="21"/>
      <c r="F92" s="21"/>
      <c r="G92" s="21"/>
      <c r="H92" s="21"/>
      <c r="I92" s="30" t="b">
        <v>0</v>
      </c>
      <c r="J92" s="21"/>
      <c r="K92" s="21"/>
      <c r="L92" s="21"/>
      <c r="M92" s="21"/>
      <c r="N92" s="21"/>
      <c r="O92" s="20"/>
    </row>
    <row r="93" spans="1:15" x14ac:dyDescent="0.3">
      <c r="A93" s="18"/>
      <c r="B93" s="21"/>
      <c r="C93" s="21"/>
      <c r="D93" s="21"/>
      <c r="E93" s="21"/>
      <c r="F93" s="21"/>
      <c r="G93" s="21"/>
      <c r="H93" s="21"/>
      <c r="I93" s="21"/>
      <c r="J93" s="21"/>
      <c r="K93" s="21"/>
      <c r="L93" s="21"/>
      <c r="M93" s="21"/>
      <c r="N93" s="21"/>
      <c r="O93" s="20"/>
    </row>
    <row r="94" spans="1:15" x14ac:dyDescent="0.3">
      <c r="A94" s="18"/>
      <c r="B94" s="21"/>
      <c r="C94" s="21"/>
      <c r="D94" s="21"/>
      <c r="E94" s="21"/>
      <c r="F94" s="21"/>
      <c r="G94" s="21"/>
      <c r="H94" s="21"/>
      <c r="I94" s="21"/>
      <c r="J94" s="21"/>
      <c r="K94" s="21"/>
      <c r="L94" s="21"/>
      <c r="M94" s="21"/>
      <c r="N94" s="21"/>
      <c r="O94" s="20"/>
    </row>
    <row r="95" spans="1:15" x14ac:dyDescent="0.3">
      <c r="A95" s="18"/>
      <c r="B95" s="101" t="s">
        <v>237</v>
      </c>
      <c r="C95" s="21"/>
      <c r="D95" s="101" t="s">
        <v>1662</v>
      </c>
      <c r="E95" s="21"/>
      <c r="F95" s="21"/>
      <c r="G95" s="21"/>
      <c r="H95" s="21"/>
      <c r="I95" s="475" t="s">
        <v>3454</v>
      </c>
      <c r="J95" s="475"/>
      <c r="K95" s="475"/>
      <c r="L95" s="21"/>
      <c r="M95" s="21"/>
      <c r="N95" s="21"/>
      <c r="O95" s="20"/>
    </row>
    <row r="96" spans="1:15" x14ac:dyDescent="0.3">
      <c r="A96" s="18"/>
      <c r="B96" s="42" t="s">
        <v>1687</v>
      </c>
      <c r="C96" s="21"/>
      <c r="D96" s="42" t="s">
        <v>1688</v>
      </c>
      <c r="E96" s="21"/>
      <c r="F96" s="21"/>
      <c r="G96" s="21"/>
      <c r="H96" s="21"/>
      <c r="I96" s="30" t="str">
        <f t="array" ref="I96:K96">_xll.U.REGEX(B96,D96,,"all_matches")</f>
        <v>A1</v>
      </c>
      <c r="J96" s="30" t="str">
        <v>B1</v>
      </c>
      <c r="K96" s="30" t="str">
        <v>C1</v>
      </c>
      <c r="L96" s="21"/>
      <c r="M96" s="21"/>
      <c r="N96" s="21"/>
      <c r="O96" s="20"/>
    </row>
    <row r="97" spans="1:15" x14ac:dyDescent="0.3">
      <c r="A97" s="18"/>
      <c r="B97" s="21"/>
      <c r="C97" s="21"/>
      <c r="D97" s="21"/>
      <c r="E97" s="21"/>
      <c r="F97" s="21"/>
      <c r="G97" s="21"/>
      <c r="H97" s="21"/>
      <c r="I97" s="30">
        <f t="array" ref="I97:K97">_xll.U.REGEX(B96,D96,,"all_match_indexes")</f>
        <v>1</v>
      </c>
      <c r="J97" s="30">
        <v>6</v>
      </c>
      <c r="K97" s="30">
        <v>11</v>
      </c>
      <c r="L97" s="21"/>
      <c r="M97" s="21"/>
      <c r="N97" s="21"/>
      <c r="O97" s="20"/>
    </row>
    <row r="98" spans="1:15" x14ac:dyDescent="0.3">
      <c r="A98" s="18"/>
      <c r="B98" s="21"/>
      <c r="C98" s="21"/>
      <c r="D98" s="21"/>
      <c r="E98" s="21"/>
      <c r="F98" s="21"/>
      <c r="G98" s="21"/>
      <c r="H98" s="21"/>
      <c r="I98" s="30" cm="1">
        <f t="array" ref="I98">_xll.U.REGEX(B96,D96,,"num_matches")</f>
        <v>3</v>
      </c>
      <c r="J98" s="21"/>
      <c r="K98" s="21"/>
      <c r="L98" s="21"/>
      <c r="M98" s="21"/>
      <c r="N98" s="21"/>
      <c r="O98" s="20"/>
    </row>
    <row r="99" spans="1:15" x14ac:dyDescent="0.3">
      <c r="A99" s="18"/>
      <c r="B99" s="21"/>
      <c r="C99" s="21"/>
      <c r="D99" s="21"/>
      <c r="E99" s="21"/>
      <c r="F99" s="21"/>
      <c r="G99" s="21"/>
      <c r="H99" s="21"/>
      <c r="I99" s="21"/>
      <c r="J99" s="21"/>
      <c r="K99" s="21"/>
      <c r="L99" s="21"/>
      <c r="M99" s="21"/>
      <c r="N99" s="21"/>
      <c r="O99" s="20"/>
    </row>
    <row r="100" spans="1:15" x14ac:dyDescent="0.3">
      <c r="A100" s="18"/>
      <c r="B100" s="21"/>
      <c r="C100" s="21"/>
      <c r="D100" s="21"/>
      <c r="E100" s="21"/>
      <c r="F100" s="21"/>
      <c r="G100" s="21"/>
      <c r="H100" s="21"/>
      <c r="I100" s="21"/>
      <c r="J100" s="21"/>
      <c r="K100" s="21"/>
      <c r="L100" s="21"/>
      <c r="M100" s="21"/>
      <c r="N100" s="21"/>
      <c r="O100" s="20"/>
    </row>
    <row r="101" spans="1:15" x14ac:dyDescent="0.3">
      <c r="A101" s="18"/>
      <c r="B101" s="21"/>
      <c r="C101" s="21"/>
      <c r="D101" s="21"/>
      <c r="E101" s="21"/>
      <c r="F101" s="21"/>
      <c r="G101" s="21"/>
      <c r="H101" s="21"/>
      <c r="I101" s="21"/>
      <c r="J101" s="21"/>
      <c r="K101" s="21"/>
      <c r="L101" s="21"/>
      <c r="M101" s="21"/>
      <c r="N101" s="21"/>
      <c r="O101" s="20"/>
    </row>
    <row r="102" spans="1:15" x14ac:dyDescent="0.3">
      <c r="A102" s="18"/>
      <c r="B102" s="21"/>
      <c r="C102" s="21"/>
      <c r="D102" s="21"/>
      <c r="E102" s="21"/>
      <c r="F102" s="21"/>
      <c r="G102" s="21"/>
      <c r="H102" s="21"/>
      <c r="I102" s="21"/>
      <c r="J102" s="21"/>
      <c r="K102" s="21"/>
      <c r="L102" s="21"/>
      <c r="M102" s="21"/>
      <c r="N102" s="21"/>
      <c r="O102" s="20"/>
    </row>
    <row r="103" spans="1:15" x14ac:dyDescent="0.3">
      <c r="A103" s="18"/>
      <c r="B103" s="21"/>
      <c r="C103" s="21"/>
      <c r="D103" s="21"/>
      <c r="E103" s="21"/>
      <c r="F103" s="21"/>
      <c r="G103" s="21"/>
      <c r="H103" s="21"/>
      <c r="I103" s="21"/>
      <c r="J103" s="21"/>
      <c r="K103" s="21"/>
      <c r="L103" s="21"/>
      <c r="M103" s="21"/>
      <c r="N103" s="21"/>
      <c r="O103" s="20"/>
    </row>
    <row r="104" spans="1:15" x14ac:dyDescent="0.3">
      <c r="A104" s="18"/>
      <c r="B104" s="101" t="s">
        <v>237</v>
      </c>
      <c r="C104" s="21"/>
      <c r="D104" s="101" t="s">
        <v>1662</v>
      </c>
      <c r="E104" s="21"/>
      <c r="F104" s="21"/>
      <c r="G104" s="21"/>
      <c r="H104" s="21"/>
      <c r="I104" s="475" t="s">
        <v>3454</v>
      </c>
      <c r="J104" s="475"/>
      <c r="K104" s="475"/>
      <c r="L104" s="21"/>
      <c r="M104" s="21"/>
      <c r="N104" s="21"/>
      <c r="O104" s="20"/>
    </row>
    <row r="105" spans="1:15" x14ac:dyDescent="0.3">
      <c r="A105" s="18"/>
      <c r="B105" s="42" t="s">
        <v>1689</v>
      </c>
      <c r="C105" s="21"/>
      <c r="D105" s="42" t="s">
        <v>1690</v>
      </c>
      <c r="E105" s="21"/>
      <c r="F105" s="21"/>
      <c r="G105" s="21"/>
      <c r="H105" s="21"/>
      <c r="I105" s="30" t="str">
        <f t="array" ref="I105:K105">_xll.U.REGEX(B105,D105,,4)</f>
        <v>likes dogs and cats</v>
      </c>
      <c r="J105" s="30" t="str">
        <v>dogs</v>
      </c>
      <c r="K105" s="30" t="str">
        <v>cats</v>
      </c>
      <c r="L105" s="21"/>
      <c r="M105" s="21"/>
      <c r="N105" s="21"/>
      <c r="O105" s="20"/>
    </row>
    <row r="106" spans="1:15" x14ac:dyDescent="0.3">
      <c r="A106" s="18"/>
      <c r="B106" s="21"/>
      <c r="C106" s="21"/>
      <c r="D106" s="21"/>
      <c r="E106" s="21"/>
      <c r="F106" s="21"/>
      <c r="G106" s="21"/>
      <c r="H106" s="21"/>
      <c r="I106" s="30" t="str">
        <f t="array" ref="I106:J106">_xll.U.REGEX(B105,D105,,7)</f>
        <v>dogs</v>
      </c>
      <c r="J106" s="30" t="str">
        <v>cats</v>
      </c>
      <c r="K106" s="21"/>
      <c r="L106" s="21"/>
      <c r="M106" s="21"/>
      <c r="N106" s="21"/>
      <c r="O106" s="20"/>
    </row>
    <row r="107" spans="1:15" x14ac:dyDescent="0.3">
      <c r="A107" s="18"/>
      <c r="B107" s="21"/>
      <c r="C107" s="21"/>
      <c r="D107" s="21"/>
      <c r="E107" s="21"/>
      <c r="F107" s="21"/>
      <c r="G107" s="21"/>
      <c r="H107" s="21"/>
      <c r="I107" s="21"/>
      <c r="J107" s="21"/>
      <c r="K107" s="21"/>
      <c r="L107" s="21"/>
      <c r="M107" s="21"/>
      <c r="N107" s="21"/>
      <c r="O107" s="20"/>
    </row>
    <row r="108" spans="1:15" x14ac:dyDescent="0.3">
      <c r="A108" s="18"/>
      <c r="B108" s="101" t="s">
        <v>237</v>
      </c>
      <c r="C108" s="21"/>
      <c r="D108" s="101" t="s">
        <v>1662</v>
      </c>
      <c r="E108" s="21"/>
      <c r="F108" s="21"/>
      <c r="G108" s="21"/>
      <c r="H108" s="21"/>
      <c r="I108" s="475" t="s">
        <v>3454</v>
      </c>
      <c r="J108" s="475"/>
      <c r="K108" s="475"/>
      <c r="L108" s="21"/>
      <c r="M108" s="21"/>
      <c r="N108" s="21"/>
      <c r="O108" s="20"/>
    </row>
    <row r="109" spans="1:15" x14ac:dyDescent="0.3">
      <c r="A109" s="18"/>
      <c r="B109" s="42" t="s">
        <v>2503</v>
      </c>
      <c r="C109" s="21"/>
      <c r="D109" s="42" t="s">
        <v>2502</v>
      </c>
      <c r="E109" s="21"/>
      <c r="F109" s="21"/>
      <c r="G109" s="21"/>
      <c r="H109" s="21"/>
      <c r="I109" s="30">
        <f t="array" ref="I109:K109">_xll.U.REGEX(B109,D109,,15,TRUE)</f>
        <v>25</v>
      </c>
      <c r="J109" s="30">
        <v>7</v>
      </c>
      <c r="K109" s="30">
        <v>45</v>
      </c>
      <c r="L109" s="21"/>
      <c r="M109" s="21"/>
      <c r="N109" s="21"/>
      <c r="O109" s="20"/>
    </row>
    <row r="110" spans="1:15" x14ac:dyDescent="0.3">
      <c r="A110" s="18"/>
      <c r="B110" s="21"/>
      <c r="C110" s="21"/>
      <c r="D110" s="21"/>
      <c r="E110" s="21"/>
      <c r="F110" s="21"/>
      <c r="G110" s="21"/>
      <c r="H110" s="21"/>
      <c r="I110" s="21"/>
      <c r="J110" s="21"/>
      <c r="K110" s="21"/>
      <c r="L110" s="21"/>
      <c r="M110" s="21"/>
      <c r="N110" s="21"/>
      <c r="O110" s="20"/>
    </row>
    <row r="111" spans="1:15" x14ac:dyDescent="0.3">
      <c r="A111" s="18"/>
      <c r="B111" s="21"/>
      <c r="C111" s="21"/>
      <c r="D111" s="21"/>
      <c r="E111" s="21"/>
      <c r="F111" s="21"/>
      <c r="G111" s="21"/>
      <c r="H111" s="21"/>
      <c r="I111" s="21"/>
      <c r="J111" s="21"/>
      <c r="K111" s="21"/>
      <c r="L111" s="21"/>
      <c r="M111" s="21"/>
      <c r="N111" s="21"/>
      <c r="O111" s="20"/>
    </row>
    <row r="112" spans="1:15" x14ac:dyDescent="0.3">
      <c r="A112" s="18"/>
      <c r="B112" s="21"/>
      <c r="C112" s="21"/>
      <c r="D112" s="21"/>
      <c r="E112" s="21"/>
      <c r="F112" s="21"/>
      <c r="G112" s="21"/>
      <c r="H112" s="21"/>
      <c r="I112" s="21"/>
      <c r="J112" s="21"/>
      <c r="K112" s="21"/>
      <c r="L112" s="21"/>
      <c r="M112" s="21"/>
      <c r="N112" s="21"/>
      <c r="O112" s="20"/>
    </row>
    <row r="113" spans="1:15" x14ac:dyDescent="0.3">
      <c r="A113" s="18"/>
      <c r="B113" s="101" t="s">
        <v>305</v>
      </c>
      <c r="C113" s="21"/>
      <c r="D113" s="101" t="s">
        <v>1662</v>
      </c>
      <c r="E113" s="21"/>
      <c r="F113" s="21"/>
      <c r="G113" s="21"/>
      <c r="H113" s="21"/>
      <c r="I113" s="475" t="s">
        <v>3454</v>
      </c>
      <c r="J113" s="475"/>
      <c r="K113" s="475"/>
      <c r="L113" s="21"/>
      <c r="M113" s="21"/>
      <c r="N113" s="21"/>
      <c r="O113" s="20"/>
    </row>
    <row r="114" spans="1:15" x14ac:dyDescent="0.3">
      <c r="A114" s="18"/>
      <c r="B114" s="42" t="s">
        <v>1687</v>
      </c>
      <c r="C114" s="21"/>
      <c r="D114" s="42" t="s">
        <v>1688</v>
      </c>
      <c r="E114" s="21"/>
      <c r="F114" s="21"/>
      <c r="G114" s="21"/>
      <c r="H114" s="21"/>
      <c r="I114" s="30" t="str">
        <f t="array" ref="I114:K115">_xll.U.REGEX(B114:B115,D114,,11)</f>
        <v>A1</v>
      </c>
      <c r="J114" s="30" t="str">
        <v>B1</v>
      </c>
      <c r="K114" s="30" t="str">
        <v>C1</v>
      </c>
      <c r="L114" s="21"/>
      <c r="M114" s="21"/>
      <c r="N114" s="21"/>
      <c r="O114" s="20"/>
    </row>
    <row r="115" spans="1:15" x14ac:dyDescent="0.3">
      <c r="A115" s="18"/>
      <c r="B115" s="42" t="s">
        <v>1691</v>
      </c>
      <c r="C115" s="21"/>
      <c r="D115" s="21"/>
      <c r="E115" s="21"/>
      <c r="F115" s="21"/>
      <c r="G115" s="21"/>
      <c r="H115" s="21"/>
      <c r="I115" s="30" t="str">
        <v>X1</v>
      </c>
      <c r="J115" s="30" t="str">
        <v>Y1</v>
      </c>
      <c r="K115" s="30" t="str">
        <v>Z1</v>
      </c>
      <c r="L115" s="21"/>
      <c r="M115" s="21"/>
      <c r="N115" s="21"/>
      <c r="O115" s="20"/>
    </row>
    <row r="116" spans="1:15" x14ac:dyDescent="0.3">
      <c r="A116" s="18"/>
      <c r="B116" s="21"/>
      <c r="C116" s="21"/>
      <c r="D116" s="21"/>
      <c r="E116" s="21"/>
      <c r="F116" s="21"/>
      <c r="G116" s="21"/>
      <c r="H116" s="21"/>
      <c r="I116" s="21"/>
      <c r="J116" s="21"/>
      <c r="K116" s="21"/>
      <c r="L116" s="21"/>
      <c r="M116" s="21"/>
      <c r="N116" s="21"/>
      <c r="O116" s="20"/>
    </row>
    <row r="117" spans="1:15" x14ac:dyDescent="0.3">
      <c r="A117" s="18"/>
      <c r="B117" s="21"/>
      <c r="C117" s="21"/>
      <c r="D117" s="21"/>
      <c r="E117" s="21"/>
      <c r="F117" s="21"/>
      <c r="G117" s="21"/>
      <c r="H117" s="21"/>
      <c r="I117" s="475" t="s">
        <v>3454</v>
      </c>
      <c r="J117" s="475"/>
      <c r="K117" s="475"/>
      <c r="L117" s="21"/>
      <c r="M117" s="21"/>
      <c r="N117" s="21"/>
      <c r="O117" s="20"/>
    </row>
    <row r="118" spans="1:15" x14ac:dyDescent="0.3">
      <c r="A118" s="18"/>
      <c r="B118" s="21"/>
      <c r="C118" s="21"/>
      <c r="D118" s="21"/>
      <c r="E118" s="21"/>
      <c r="F118" s="21"/>
      <c r="G118" s="21"/>
      <c r="H118" s="21"/>
      <c r="I118" s="30" t="str">
        <f t="array" ref="I118:K119">_xll.U.PAD(_xll.U.REGEX(B114:C115,D114,,11))</f>
        <v>A1</v>
      </c>
      <c r="J118" s="30" t="str">
        <v>B1</v>
      </c>
      <c r="K118" s="30" t="str">
        <v>C1</v>
      </c>
      <c r="L118" s="21"/>
      <c r="M118" s="21"/>
      <c r="N118" s="21"/>
      <c r="O118" s="20"/>
    </row>
    <row r="119" spans="1:15" x14ac:dyDescent="0.3">
      <c r="A119" s="18"/>
      <c r="B119" s="21"/>
      <c r="C119" s="21"/>
      <c r="D119" s="21"/>
      <c r="E119" s="21"/>
      <c r="F119" s="21"/>
      <c r="G119" s="21"/>
      <c r="H119" s="21"/>
      <c r="I119" s="30" t="str">
        <v/>
      </c>
      <c r="J119" s="30" t="str">
        <v/>
      </c>
      <c r="K119" s="30" t="str">
        <v/>
      </c>
      <c r="L119" s="21"/>
      <c r="M119" s="21"/>
      <c r="N119" s="21"/>
      <c r="O119" s="20"/>
    </row>
    <row r="120" spans="1:15" x14ac:dyDescent="0.3">
      <c r="A120" s="18"/>
      <c r="B120" s="21"/>
      <c r="C120" s="21"/>
      <c r="D120" s="21"/>
      <c r="E120" s="21"/>
      <c r="F120" s="21"/>
      <c r="G120" s="21"/>
      <c r="H120" s="21"/>
      <c r="I120" s="21"/>
      <c r="J120" s="21"/>
      <c r="K120" s="21"/>
      <c r="L120" s="21"/>
      <c r="M120" s="21"/>
      <c r="N120" s="21"/>
      <c r="O120" s="20"/>
    </row>
    <row r="121" spans="1:15" x14ac:dyDescent="0.3">
      <c r="A121" s="18"/>
      <c r="B121" s="21"/>
      <c r="C121" s="21"/>
      <c r="D121" s="21"/>
      <c r="E121" s="21"/>
      <c r="F121" s="21"/>
      <c r="G121" s="21"/>
      <c r="H121" s="21"/>
      <c r="I121" s="21"/>
      <c r="J121" s="21"/>
      <c r="K121" s="21"/>
      <c r="L121" s="21"/>
      <c r="M121" s="21"/>
      <c r="N121" s="21"/>
      <c r="O121" s="20"/>
    </row>
    <row r="122" spans="1:15" x14ac:dyDescent="0.3">
      <c r="A122" s="18"/>
      <c r="B122" s="101" t="s">
        <v>237</v>
      </c>
      <c r="C122" s="21"/>
      <c r="D122" s="101" t="s">
        <v>1662</v>
      </c>
      <c r="E122" s="21"/>
      <c r="F122" s="21"/>
      <c r="G122" s="21"/>
      <c r="H122" s="21"/>
      <c r="I122" s="475" t="s">
        <v>3454</v>
      </c>
      <c r="J122" s="475"/>
      <c r="K122" s="475"/>
      <c r="L122" s="21"/>
      <c r="M122" s="21"/>
      <c r="N122" s="21"/>
      <c r="O122" s="20"/>
    </row>
    <row r="123" spans="1:15" x14ac:dyDescent="0.3">
      <c r="A123" s="18"/>
      <c r="B123" s="42" t="s">
        <v>1689</v>
      </c>
      <c r="C123" s="21"/>
      <c r="D123" s="42" t="s">
        <v>1690</v>
      </c>
      <c r="E123" s="21"/>
      <c r="F123" s="21"/>
      <c r="G123" s="21"/>
      <c r="H123" s="21"/>
      <c r="I123" s="3" t="str">
        <f t="array" ref="I123:K126">_xll.U.REGEX(B123,D123,,6)</f>
        <v>MatchGroup</v>
      </c>
      <c r="J123" s="3" t="str">
        <v>GroupValue</v>
      </c>
      <c r="K123" s="3" t="str">
        <v>StartIndex</v>
      </c>
      <c r="L123" s="21"/>
      <c r="M123" s="21"/>
      <c r="N123" s="21"/>
      <c r="O123" s="20"/>
    </row>
    <row r="124" spans="1:15" x14ac:dyDescent="0.3">
      <c r="A124" s="18"/>
      <c r="B124" s="21"/>
      <c r="C124" s="21"/>
      <c r="D124" s="21"/>
      <c r="E124" s="21"/>
      <c r="F124" s="21"/>
      <c r="G124" s="21"/>
      <c r="H124" s="21"/>
      <c r="I124" s="30">
        <v>0</v>
      </c>
      <c r="J124" s="30" t="str">
        <v>likes dogs and cats</v>
      </c>
      <c r="K124" s="30">
        <v>5</v>
      </c>
      <c r="L124" s="21"/>
      <c r="M124" s="21"/>
      <c r="N124" s="21"/>
      <c r="O124" s="20"/>
    </row>
    <row r="125" spans="1:15" x14ac:dyDescent="0.3">
      <c r="A125" s="18"/>
      <c r="B125" s="21"/>
      <c r="C125" s="21"/>
      <c r="D125" s="21"/>
      <c r="E125" s="21"/>
      <c r="F125" s="21"/>
      <c r="G125" s="21"/>
      <c r="H125" s="21"/>
      <c r="I125" s="30">
        <v>1</v>
      </c>
      <c r="J125" s="30" t="str">
        <v>dogs</v>
      </c>
      <c r="K125" s="30">
        <v>11</v>
      </c>
      <c r="L125" s="21"/>
      <c r="M125" s="21"/>
      <c r="N125" s="21"/>
      <c r="O125" s="20"/>
    </row>
    <row r="126" spans="1:15" x14ac:dyDescent="0.3">
      <c r="A126" s="18"/>
      <c r="B126" s="21"/>
      <c r="C126" s="21"/>
      <c r="D126" s="21"/>
      <c r="E126" s="21"/>
      <c r="F126" s="21"/>
      <c r="G126" s="21"/>
      <c r="H126" s="21"/>
      <c r="I126" s="30">
        <v>2</v>
      </c>
      <c r="J126" s="30" t="str">
        <v>cats</v>
      </c>
      <c r="K126" s="30">
        <v>20</v>
      </c>
      <c r="L126" s="21"/>
      <c r="M126" s="21"/>
      <c r="N126" s="21"/>
      <c r="O126" s="20"/>
    </row>
    <row r="127" spans="1:15" x14ac:dyDescent="0.3">
      <c r="A127" s="18"/>
      <c r="B127" s="21"/>
      <c r="C127" s="21"/>
      <c r="D127" s="21"/>
      <c r="E127" s="21"/>
      <c r="F127" s="21"/>
      <c r="G127" s="21"/>
      <c r="H127" s="21"/>
      <c r="I127" s="21"/>
      <c r="J127" s="21"/>
      <c r="K127" s="21"/>
      <c r="L127" s="21"/>
      <c r="M127" s="21"/>
      <c r="N127" s="21"/>
      <c r="O127" s="20"/>
    </row>
    <row r="128" spans="1:15" x14ac:dyDescent="0.3">
      <c r="A128" s="18"/>
      <c r="B128" s="101" t="s">
        <v>237</v>
      </c>
      <c r="C128" s="21"/>
      <c r="D128" s="101" t="s">
        <v>1662</v>
      </c>
      <c r="E128" s="21"/>
      <c r="F128" s="21"/>
      <c r="G128" s="21"/>
      <c r="H128" s="21"/>
      <c r="I128" s="475" t="s">
        <v>3454</v>
      </c>
      <c r="J128" s="475"/>
      <c r="K128" s="475"/>
      <c r="L128" s="475"/>
      <c r="M128" s="21"/>
      <c r="N128" s="21"/>
      <c r="O128" s="20"/>
    </row>
    <row r="129" spans="1:15" x14ac:dyDescent="0.3">
      <c r="A129" s="18"/>
      <c r="B129" s="42" t="s">
        <v>1707</v>
      </c>
      <c r="C129" s="21"/>
      <c r="D129" s="42" t="s">
        <v>1706</v>
      </c>
      <c r="E129" s="21"/>
      <c r="F129" s="21"/>
      <c r="G129" s="21"/>
      <c r="H129" s="21"/>
      <c r="I129" s="3" t="str">
        <f t="array" ref="I129:L141">_xll.U.REGEX(B129,D129,,14)</f>
        <v>MatchNum</v>
      </c>
      <c r="J129" s="3" t="str">
        <v>MatchGroup</v>
      </c>
      <c r="K129" s="3" t="str">
        <v>GroupValue</v>
      </c>
      <c r="L129" s="3" t="str">
        <v>StartIndex</v>
      </c>
      <c r="M129" s="21"/>
      <c r="N129" s="21"/>
      <c r="O129" s="20"/>
    </row>
    <row r="130" spans="1:15" x14ac:dyDescent="0.3">
      <c r="A130" s="18"/>
      <c r="B130" s="21"/>
      <c r="C130" s="21"/>
      <c r="D130" s="21"/>
      <c r="E130" s="21"/>
      <c r="F130" s="21"/>
      <c r="G130" s="21"/>
      <c r="H130" s="21"/>
      <c r="I130" s="30">
        <v>1</v>
      </c>
      <c r="J130" s="30">
        <v>0</v>
      </c>
      <c r="K130" s="30" t="str">
        <v>A85X2</v>
      </c>
      <c r="L130" s="30">
        <v>10</v>
      </c>
      <c r="M130" s="21"/>
      <c r="N130" s="21"/>
      <c r="O130" s="20"/>
    </row>
    <row r="131" spans="1:15" x14ac:dyDescent="0.3">
      <c r="A131" s="18"/>
      <c r="B131" s="21"/>
      <c r="C131" s="21"/>
      <c r="D131" s="21"/>
      <c r="E131" s="21"/>
      <c r="F131" s="21"/>
      <c r="G131" s="21"/>
      <c r="H131" s="21"/>
      <c r="I131" s="30">
        <v>1</v>
      </c>
      <c r="J131" s="30" t="str">
        <v>code</v>
      </c>
      <c r="K131" s="30" t="str">
        <v>A</v>
      </c>
      <c r="L131" s="30">
        <v>10</v>
      </c>
      <c r="M131" s="21"/>
      <c r="N131" s="21"/>
      <c r="O131" s="20"/>
    </row>
    <row r="132" spans="1:15" x14ac:dyDescent="0.3">
      <c r="A132" s="18"/>
      <c r="B132" s="21"/>
      <c r="C132" s="21"/>
      <c r="D132" s="21"/>
      <c r="E132" s="21"/>
      <c r="F132" s="21"/>
      <c r="G132" s="21"/>
      <c r="H132" s="21"/>
      <c r="I132" s="30">
        <v>1</v>
      </c>
      <c r="J132" s="30" t="str">
        <v>number</v>
      </c>
      <c r="K132" s="30" t="str">
        <v>85</v>
      </c>
      <c r="L132" s="30">
        <v>11</v>
      </c>
      <c r="M132" s="21"/>
      <c r="N132" s="21"/>
      <c r="O132" s="20"/>
    </row>
    <row r="133" spans="1:15" x14ac:dyDescent="0.3">
      <c r="A133" s="18"/>
      <c r="B133" s="21"/>
      <c r="C133" s="21"/>
      <c r="D133" s="21"/>
      <c r="E133" s="21"/>
      <c r="F133" s="21"/>
      <c r="G133" s="21"/>
      <c r="H133" s="21"/>
      <c r="I133" s="30">
        <v>1</v>
      </c>
      <c r="J133" s="30" t="str">
        <v>series</v>
      </c>
      <c r="K133" s="30" t="str">
        <v>X2</v>
      </c>
      <c r="L133" s="30">
        <v>13</v>
      </c>
      <c r="M133" s="21"/>
      <c r="N133" s="21"/>
      <c r="O133" s="20"/>
    </row>
    <row r="134" spans="1:15" x14ac:dyDescent="0.3">
      <c r="A134" s="18"/>
      <c r="B134" s="21"/>
      <c r="C134" s="21"/>
      <c r="D134" s="21"/>
      <c r="E134" s="21"/>
      <c r="F134" s="21"/>
      <c r="G134" s="21"/>
      <c r="H134" s="21"/>
      <c r="I134" s="30">
        <v>2</v>
      </c>
      <c r="J134" s="30">
        <v>0</v>
      </c>
      <c r="K134" s="30" t="str">
        <v>D77X1</v>
      </c>
      <c r="L134" s="30">
        <v>17</v>
      </c>
      <c r="M134" s="21"/>
      <c r="N134" s="21"/>
      <c r="O134" s="20"/>
    </row>
    <row r="135" spans="1:15" x14ac:dyDescent="0.3">
      <c r="A135" s="18"/>
      <c r="B135" s="21"/>
      <c r="C135" s="21"/>
      <c r="D135" s="21"/>
      <c r="E135" s="21"/>
      <c r="F135" s="21"/>
      <c r="G135" s="21"/>
      <c r="H135" s="21"/>
      <c r="I135" s="30">
        <v>2</v>
      </c>
      <c r="J135" s="30" t="str">
        <v>code</v>
      </c>
      <c r="K135" s="30" t="str">
        <v>D</v>
      </c>
      <c r="L135" s="30">
        <v>17</v>
      </c>
      <c r="M135" s="21"/>
      <c r="N135" s="21"/>
      <c r="O135" s="20"/>
    </row>
    <row r="136" spans="1:15" x14ac:dyDescent="0.3">
      <c r="A136" s="18"/>
      <c r="B136" s="21"/>
      <c r="C136" s="21"/>
      <c r="D136" s="21"/>
      <c r="E136" s="21"/>
      <c r="F136" s="21"/>
      <c r="G136" s="21"/>
      <c r="H136" s="21"/>
      <c r="I136" s="30">
        <v>2</v>
      </c>
      <c r="J136" s="30" t="str">
        <v>number</v>
      </c>
      <c r="K136" s="30" t="str">
        <v>77</v>
      </c>
      <c r="L136" s="30">
        <v>18</v>
      </c>
      <c r="M136" s="21"/>
      <c r="N136" s="21"/>
      <c r="O136" s="20"/>
    </row>
    <row r="137" spans="1:15" x14ac:dyDescent="0.3">
      <c r="A137" s="18"/>
      <c r="B137" s="21"/>
      <c r="C137" s="21"/>
      <c r="D137" s="21"/>
      <c r="E137" s="21"/>
      <c r="F137" s="21"/>
      <c r="G137" s="21"/>
      <c r="H137" s="21"/>
      <c r="I137" s="30">
        <v>2</v>
      </c>
      <c r="J137" s="30" t="str">
        <v>series</v>
      </c>
      <c r="K137" s="30" t="str">
        <v>X1</v>
      </c>
      <c r="L137" s="30">
        <v>20</v>
      </c>
      <c r="M137" s="21"/>
      <c r="N137" s="21"/>
      <c r="O137" s="20"/>
    </row>
    <row r="138" spans="1:15" x14ac:dyDescent="0.3">
      <c r="A138" s="18"/>
      <c r="B138" s="21"/>
      <c r="C138" s="21"/>
      <c r="D138" s="21"/>
      <c r="E138" s="21"/>
      <c r="F138" s="21"/>
      <c r="G138" s="21"/>
      <c r="H138" s="21"/>
      <c r="I138" s="30">
        <v>3</v>
      </c>
      <c r="J138" s="30">
        <v>0</v>
      </c>
      <c r="K138" s="30" t="str">
        <v>B41X2</v>
      </c>
      <c r="L138" s="30">
        <v>27</v>
      </c>
      <c r="M138" s="21"/>
      <c r="N138" s="21"/>
      <c r="O138" s="20"/>
    </row>
    <row r="139" spans="1:15" x14ac:dyDescent="0.3">
      <c r="A139" s="18"/>
      <c r="B139" s="21"/>
      <c r="C139" s="21"/>
      <c r="D139" s="21"/>
      <c r="E139" s="21"/>
      <c r="F139" s="21"/>
      <c r="G139" s="21"/>
      <c r="H139" s="21"/>
      <c r="I139" s="30">
        <v>3</v>
      </c>
      <c r="J139" s="30" t="str">
        <v>code</v>
      </c>
      <c r="K139" s="30" t="str">
        <v>B</v>
      </c>
      <c r="L139" s="30">
        <v>27</v>
      </c>
      <c r="M139" s="21"/>
      <c r="N139" s="21"/>
      <c r="O139" s="20"/>
    </row>
    <row r="140" spans="1:15" x14ac:dyDescent="0.3">
      <c r="A140" s="18"/>
      <c r="B140" s="21"/>
      <c r="C140" s="21"/>
      <c r="D140" s="21"/>
      <c r="E140" s="21"/>
      <c r="F140" s="21"/>
      <c r="G140" s="21"/>
      <c r="H140" s="21"/>
      <c r="I140" s="30">
        <v>3</v>
      </c>
      <c r="J140" s="30" t="str">
        <v>number</v>
      </c>
      <c r="K140" s="30" t="str">
        <v>41</v>
      </c>
      <c r="L140" s="30">
        <v>28</v>
      </c>
      <c r="M140" s="21"/>
      <c r="N140" s="21"/>
      <c r="O140" s="20"/>
    </row>
    <row r="141" spans="1:15" x14ac:dyDescent="0.3">
      <c r="A141" s="18"/>
      <c r="B141" s="21"/>
      <c r="C141" s="21"/>
      <c r="D141" s="21"/>
      <c r="E141" s="21"/>
      <c r="F141" s="21"/>
      <c r="G141" s="21"/>
      <c r="H141" s="21"/>
      <c r="I141" s="30">
        <v>3</v>
      </c>
      <c r="J141" s="30" t="str">
        <v>series</v>
      </c>
      <c r="K141" s="30" t="str">
        <v>X2</v>
      </c>
      <c r="L141" s="30">
        <v>30</v>
      </c>
      <c r="M141" s="21"/>
      <c r="N141" s="21"/>
      <c r="O141" s="20"/>
    </row>
    <row r="142" spans="1:15" x14ac:dyDescent="0.3">
      <c r="A142" s="18"/>
      <c r="B142" s="21"/>
      <c r="C142" s="21"/>
      <c r="D142" s="21"/>
      <c r="E142" s="21"/>
      <c r="F142" s="21"/>
      <c r="G142" s="21"/>
      <c r="H142" s="21"/>
      <c r="I142" s="21"/>
      <c r="J142" s="21"/>
      <c r="K142" s="21"/>
      <c r="L142" s="21"/>
      <c r="M142" s="21"/>
      <c r="N142" s="21"/>
      <c r="O142" s="20"/>
    </row>
    <row r="143" spans="1:15" x14ac:dyDescent="0.3">
      <c r="A143" s="18"/>
      <c r="B143" s="21"/>
      <c r="C143" s="21"/>
      <c r="D143" s="21"/>
      <c r="E143" s="21"/>
      <c r="F143" s="21"/>
      <c r="G143" s="21"/>
      <c r="H143" s="21"/>
      <c r="I143" s="21"/>
      <c r="J143" s="21"/>
      <c r="K143" s="21"/>
      <c r="L143" s="21"/>
      <c r="M143" s="21"/>
      <c r="N143" s="21"/>
      <c r="O143" s="20"/>
    </row>
    <row r="144" spans="1:15" x14ac:dyDescent="0.3">
      <c r="A144" s="18"/>
      <c r="B144" s="475" t="s">
        <v>305</v>
      </c>
      <c r="C144" s="475"/>
      <c r="D144" s="21"/>
      <c r="E144" s="101" t="s">
        <v>1662</v>
      </c>
      <c r="F144" s="21"/>
      <c r="G144" s="21"/>
      <c r="H144" s="21"/>
      <c r="I144" s="475" t="s">
        <v>3454</v>
      </c>
      <c r="J144" s="475"/>
      <c r="K144" s="21"/>
      <c r="L144" s="21"/>
      <c r="M144" s="21"/>
      <c r="N144" s="21"/>
      <c r="O144" s="20"/>
    </row>
    <row r="145" spans="1:15" x14ac:dyDescent="0.3">
      <c r="A145" s="18"/>
      <c r="B145" s="42" t="s">
        <v>1692</v>
      </c>
      <c r="C145" s="42" t="s">
        <v>1693</v>
      </c>
      <c r="D145" s="21"/>
      <c r="E145" s="42" t="s">
        <v>1688</v>
      </c>
      <c r="F145" s="21"/>
      <c r="G145" s="21"/>
      <c r="H145" s="21"/>
      <c r="I145" s="30" t="str">
        <f t="array" ref="I145:J148">_xll.U.REGEX(B145:C148,E145)</f>
        <v>A1</v>
      </c>
      <c r="J145" s="30" t="str">
        <v/>
      </c>
      <c r="K145" s="21"/>
      <c r="L145" s="21"/>
      <c r="M145" s="21"/>
      <c r="N145" s="21"/>
      <c r="O145" s="20"/>
    </row>
    <row r="146" spans="1:15" x14ac:dyDescent="0.3">
      <c r="A146" s="18"/>
      <c r="B146" s="42" t="s">
        <v>1694</v>
      </c>
      <c r="C146" s="42" t="s">
        <v>1692</v>
      </c>
      <c r="D146" s="21"/>
      <c r="E146" s="21"/>
      <c r="F146" s="21"/>
      <c r="G146" s="21"/>
      <c r="H146" s="21"/>
      <c r="I146" s="30" t="str">
        <v/>
      </c>
      <c r="J146" s="30" t="str">
        <v>A1</v>
      </c>
      <c r="K146" s="21"/>
      <c r="L146" s="21"/>
      <c r="M146" s="21"/>
      <c r="N146" s="21"/>
      <c r="O146" s="20"/>
    </row>
    <row r="147" spans="1:15" x14ac:dyDescent="0.3">
      <c r="A147" s="18"/>
      <c r="B147" s="42" t="s">
        <v>1695</v>
      </c>
      <c r="C147" s="42" t="s">
        <v>1696</v>
      </c>
      <c r="D147" s="21"/>
      <c r="E147" s="21"/>
      <c r="F147" s="21"/>
      <c r="G147" s="21"/>
      <c r="H147" s="21"/>
      <c r="I147" s="30" t="str">
        <v>B2</v>
      </c>
      <c r="J147" s="30" t="str">
        <v>N7</v>
      </c>
      <c r="K147" s="21"/>
      <c r="L147" s="21"/>
      <c r="M147" s="21"/>
      <c r="N147" s="21"/>
      <c r="O147" s="20"/>
    </row>
    <row r="148" spans="1:15" x14ac:dyDescent="0.3">
      <c r="A148" s="18"/>
      <c r="B148" s="42" t="s">
        <v>1697</v>
      </c>
      <c r="C148" s="42" t="s">
        <v>1698</v>
      </c>
      <c r="D148" s="21"/>
      <c r="E148" s="21"/>
      <c r="F148" s="21"/>
      <c r="G148" s="21"/>
      <c r="H148" s="21"/>
      <c r="I148" s="30" t="str">
        <v/>
      </c>
      <c r="J148" s="30" t="str">
        <v/>
      </c>
      <c r="K148" s="21"/>
      <c r="L148" s="21"/>
      <c r="M148" s="21"/>
      <c r="N148" s="21"/>
      <c r="O148" s="20"/>
    </row>
    <row r="149" spans="1:15" x14ac:dyDescent="0.3">
      <c r="A149" s="18"/>
      <c r="B149" s="21"/>
      <c r="C149" s="21"/>
      <c r="D149" s="21"/>
      <c r="E149" s="21"/>
      <c r="F149" s="21"/>
      <c r="G149" s="21"/>
      <c r="H149" s="21"/>
      <c r="I149" s="21"/>
      <c r="J149" s="21"/>
      <c r="K149" s="21"/>
      <c r="L149" s="21"/>
      <c r="M149" s="21"/>
      <c r="N149" s="21"/>
      <c r="O149" s="20"/>
    </row>
    <row r="150" spans="1:15" x14ac:dyDescent="0.3">
      <c r="A150" s="18"/>
      <c r="B150" s="21"/>
      <c r="C150" s="21"/>
      <c r="D150" s="21"/>
      <c r="E150" s="21"/>
      <c r="F150" s="21"/>
      <c r="G150" s="21"/>
      <c r="H150" s="21"/>
      <c r="I150" s="475" t="s">
        <v>3454</v>
      </c>
      <c r="J150" s="475"/>
      <c r="K150" s="21"/>
      <c r="L150" s="21"/>
      <c r="M150" s="21"/>
      <c r="N150" s="21"/>
      <c r="O150" s="20"/>
    </row>
    <row r="151" spans="1:15" x14ac:dyDescent="0.3">
      <c r="A151" s="18"/>
      <c r="B151" s="21"/>
      <c r="C151" s="21"/>
      <c r="D151" s="21"/>
      <c r="E151" s="21"/>
      <c r="F151" s="21"/>
      <c r="G151" s="21"/>
      <c r="H151" s="21"/>
      <c r="I151" s="30" t="str">
        <f t="array" ref="I151:J154">_xll.U.REGEX(B145:C148,E145,,-2)</f>
        <v>prefix_A1_suffix</v>
      </c>
      <c r="J151" s="30" t="str">
        <v/>
      </c>
      <c r="K151" s="21"/>
      <c r="L151" s="21"/>
      <c r="M151" s="21"/>
      <c r="N151" s="21"/>
      <c r="O151" s="20"/>
    </row>
    <row r="152" spans="1:15" x14ac:dyDescent="0.3">
      <c r="A152" s="18"/>
      <c r="B152" s="21"/>
      <c r="C152" s="21"/>
      <c r="D152" s="21"/>
      <c r="E152" s="21"/>
      <c r="F152" s="21"/>
      <c r="G152" s="21"/>
      <c r="H152" s="21"/>
      <c r="I152" s="30" t="str">
        <v/>
      </c>
      <c r="J152" s="30" t="str">
        <v>prefix_A1_suffix</v>
      </c>
      <c r="K152" s="21"/>
      <c r="L152" s="21"/>
      <c r="M152" s="21"/>
      <c r="N152" s="21"/>
      <c r="O152" s="20"/>
    </row>
    <row r="153" spans="1:15" x14ac:dyDescent="0.3">
      <c r="A153" s="18"/>
      <c r="B153" s="21"/>
      <c r="C153" s="21"/>
      <c r="D153" s="21"/>
      <c r="E153" s="21"/>
      <c r="F153" s="21"/>
      <c r="G153" s="21"/>
      <c r="H153" s="21"/>
      <c r="I153" s="30" t="str">
        <v>prefix_B2_suffix</v>
      </c>
      <c r="J153" s="30" t="str">
        <v>prefix_N7_suffix</v>
      </c>
      <c r="K153" s="21"/>
      <c r="L153" s="21"/>
      <c r="M153" s="21"/>
      <c r="N153" s="21"/>
      <c r="O153" s="20"/>
    </row>
    <row r="154" spans="1:15" x14ac:dyDescent="0.3">
      <c r="A154" s="18"/>
      <c r="B154" s="21"/>
      <c r="C154" s="21"/>
      <c r="D154" s="21"/>
      <c r="E154" s="21"/>
      <c r="F154" s="21"/>
      <c r="G154" s="21"/>
      <c r="H154" s="21"/>
      <c r="I154" s="30" t="str">
        <v/>
      </c>
      <c r="J154" s="30" t="str">
        <v/>
      </c>
      <c r="K154" s="21"/>
      <c r="L154" s="21"/>
      <c r="M154" s="21"/>
      <c r="N154" s="21"/>
      <c r="O154" s="20"/>
    </row>
    <row r="155" spans="1:15" x14ac:dyDescent="0.3">
      <c r="A155" s="18"/>
      <c r="B155" s="21"/>
      <c r="C155" s="21"/>
      <c r="D155" s="21"/>
      <c r="E155" s="21"/>
      <c r="F155" s="21"/>
      <c r="G155" s="21"/>
      <c r="H155" s="21"/>
      <c r="I155" s="21"/>
      <c r="J155" s="21"/>
      <c r="K155" s="21"/>
      <c r="L155" s="21"/>
      <c r="M155" s="21"/>
      <c r="N155" s="21"/>
      <c r="O155" s="20"/>
    </row>
    <row r="156" spans="1:15" x14ac:dyDescent="0.3">
      <c r="A156" s="18"/>
      <c r="B156" s="21"/>
      <c r="C156" s="21"/>
      <c r="D156" s="21"/>
      <c r="E156" s="21"/>
      <c r="F156" s="21"/>
      <c r="G156" s="21"/>
      <c r="H156" s="21"/>
      <c r="I156" s="21"/>
      <c r="J156" s="21"/>
      <c r="K156" s="21"/>
      <c r="L156" s="21"/>
      <c r="M156" s="21"/>
      <c r="N156" s="21"/>
      <c r="O156" s="20"/>
    </row>
    <row r="157" spans="1:15" x14ac:dyDescent="0.3">
      <c r="A157" s="18"/>
      <c r="B157" s="21"/>
      <c r="C157" s="21"/>
      <c r="D157" s="21"/>
      <c r="E157" s="21"/>
      <c r="F157" s="21"/>
      <c r="G157" s="21"/>
      <c r="H157" s="21"/>
      <c r="I157" s="101" t="s">
        <v>3454</v>
      </c>
      <c r="J157" s="21"/>
      <c r="K157" s="21"/>
      <c r="L157" s="101" t="s">
        <v>3454</v>
      </c>
      <c r="M157" s="21"/>
      <c r="N157" s="21"/>
      <c r="O157" s="20"/>
    </row>
    <row r="158" spans="1:15" x14ac:dyDescent="0.3">
      <c r="A158" s="18"/>
      <c r="B158" s="21"/>
      <c r="C158" s="21"/>
      <c r="D158" s="21"/>
      <c r="E158" s="21"/>
      <c r="F158" s="21"/>
      <c r="G158" s="21"/>
      <c r="H158" s="21"/>
      <c r="I158" s="30" t="str">
        <f t="array" ref="I158:I162">_xll.U.REGEX(B145:C148,E145,,-1)</f>
        <v>prefix_A1_suffix</v>
      </c>
      <c r="J158" s="21"/>
      <c r="K158" s="21"/>
      <c r="L158" s="30" t="str">
        <f t="array" ref="L158:L162">_xll.U.VFILTER(_xll.U.RESHAPE(_xll.U.REGEX(B145:C148,E145,,-2),1))</f>
        <v>prefix_A1_suffix</v>
      </c>
      <c r="M158" s="21"/>
      <c r="N158" s="21"/>
      <c r="O158" s="20"/>
    </row>
    <row r="159" spans="1:15" x14ac:dyDescent="0.3">
      <c r="A159" s="18"/>
      <c r="B159" s="21"/>
      <c r="C159" s="21"/>
      <c r="D159" s="21"/>
      <c r="E159" s="21"/>
      <c r="F159" s="21"/>
      <c r="G159" s="21"/>
      <c r="H159" s="21"/>
      <c r="I159" s="30" t="str">
        <v>prefix_B2_suffix</v>
      </c>
      <c r="J159" s="21"/>
      <c r="K159" s="21"/>
      <c r="L159" s="30" t="str">
        <v>prefix_A1_suffix</v>
      </c>
      <c r="M159" s="21"/>
      <c r="N159" s="21"/>
      <c r="O159" s="20"/>
    </row>
    <row r="160" spans="1:15" x14ac:dyDescent="0.3">
      <c r="A160" s="18"/>
      <c r="B160" s="21"/>
      <c r="C160" s="21"/>
      <c r="D160" s="21"/>
      <c r="E160" s="21"/>
      <c r="F160" s="21"/>
      <c r="G160" s="21"/>
      <c r="H160" s="21"/>
      <c r="I160" s="30" t="str">
        <v>prefix_N7_suffix</v>
      </c>
      <c r="J160" s="21"/>
      <c r="K160" s="21"/>
      <c r="L160" s="30" t="str">
        <v>prefix_B2_suffix</v>
      </c>
      <c r="M160" s="21"/>
      <c r="N160" s="21"/>
      <c r="O160" s="20"/>
    </row>
    <row r="161" spans="1:15" x14ac:dyDescent="0.3">
      <c r="A161" s="18"/>
      <c r="B161" s="21"/>
      <c r="C161" s="21"/>
      <c r="D161" s="21"/>
      <c r="E161" s="21"/>
      <c r="F161" s="21"/>
      <c r="G161" s="21"/>
      <c r="H161" s="21"/>
      <c r="I161" s="30" t="e">
        <v>#N/A</v>
      </c>
      <c r="J161" s="21"/>
      <c r="K161" s="21"/>
      <c r="L161" s="30" t="str">
        <v>prefix_N7_suffix</v>
      </c>
      <c r="M161" s="21"/>
      <c r="N161" s="21"/>
      <c r="O161" s="20"/>
    </row>
    <row r="162" spans="1:15" x14ac:dyDescent="0.3">
      <c r="A162" s="18"/>
      <c r="B162" s="21"/>
      <c r="C162" s="21"/>
      <c r="D162" s="21"/>
      <c r="E162" s="21"/>
      <c r="F162" s="21"/>
      <c r="G162" s="21"/>
      <c r="H162" s="21"/>
      <c r="I162" s="30" t="e">
        <v>#N/A</v>
      </c>
      <c r="J162" s="21"/>
      <c r="K162" s="21"/>
      <c r="L162" s="30" t="e">
        <v>#N/A</v>
      </c>
      <c r="M162" s="21"/>
      <c r="N162" s="21"/>
      <c r="O162" s="20"/>
    </row>
    <row r="163" spans="1:15" x14ac:dyDescent="0.3">
      <c r="A163" s="18"/>
      <c r="B163" s="21"/>
      <c r="C163" s="21"/>
      <c r="D163" s="21"/>
      <c r="E163" s="21"/>
      <c r="F163" s="21"/>
      <c r="G163" s="21"/>
      <c r="H163" s="21"/>
      <c r="I163" s="21"/>
      <c r="J163" s="21"/>
      <c r="K163" s="21"/>
      <c r="L163" s="21"/>
      <c r="M163" s="21"/>
      <c r="N163" s="21"/>
      <c r="O163" s="20"/>
    </row>
    <row r="164" spans="1:15" x14ac:dyDescent="0.3">
      <c r="A164" s="18"/>
      <c r="B164" s="21"/>
      <c r="C164" s="21"/>
      <c r="D164" s="21"/>
      <c r="E164" s="21"/>
      <c r="F164" s="21"/>
      <c r="G164" s="21"/>
      <c r="H164" s="21"/>
      <c r="I164" s="21"/>
      <c r="J164" s="21"/>
      <c r="K164" s="21"/>
      <c r="L164" s="21"/>
      <c r="M164" s="21"/>
      <c r="N164" s="21"/>
      <c r="O164" s="20"/>
    </row>
    <row r="165" spans="1:15" x14ac:dyDescent="0.3">
      <c r="A165" s="18"/>
      <c r="B165" s="21"/>
      <c r="C165" s="21"/>
      <c r="D165" s="21"/>
      <c r="E165" s="21"/>
      <c r="F165" s="21"/>
      <c r="G165" s="21"/>
      <c r="H165" s="21"/>
      <c r="I165" s="21"/>
      <c r="J165" s="21"/>
      <c r="K165" s="21"/>
      <c r="L165" s="21"/>
      <c r="M165" s="21"/>
      <c r="N165" s="21"/>
      <c r="O165" s="20"/>
    </row>
    <row r="166" spans="1:15" x14ac:dyDescent="0.3">
      <c r="A166" s="18"/>
      <c r="B166" s="101" t="s">
        <v>305</v>
      </c>
      <c r="C166" s="21"/>
      <c r="D166" s="101" t="s">
        <v>1666</v>
      </c>
      <c r="E166" s="101" t="s">
        <v>1676</v>
      </c>
      <c r="F166" s="101" t="s">
        <v>1670</v>
      </c>
      <c r="G166" s="21"/>
      <c r="H166" s="21"/>
      <c r="I166" s="101" t="s">
        <v>3454</v>
      </c>
      <c r="J166" s="21"/>
      <c r="K166" s="21"/>
      <c r="L166" s="21"/>
      <c r="M166" s="21"/>
      <c r="N166" s="21"/>
      <c r="O166" s="20"/>
    </row>
    <row r="167" spans="1:15" x14ac:dyDescent="0.3">
      <c r="A167" s="18"/>
      <c r="B167" s="42" t="s">
        <v>1702</v>
      </c>
      <c r="C167" s="21"/>
      <c r="D167" s="42" t="s">
        <v>1705</v>
      </c>
      <c r="E167" s="300" t="s">
        <v>1701</v>
      </c>
      <c r="F167" s="42" t="b">
        <v>1</v>
      </c>
      <c r="G167" s="21"/>
      <c r="H167" s="21"/>
      <c r="I167" s="30" t="str" cm="1">
        <f t="array" ref="I167">_xll.U.REGEX(B167,D167:F169,,-3)</f>
        <v>The guys ate many snacks</v>
      </c>
      <c r="J167" s="21"/>
      <c r="K167" s="21"/>
      <c r="L167" s="21"/>
      <c r="M167" s="21"/>
      <c r="N167" s="21"/>
      <c r="O167" s="20"/>
    </row>
    <row r="168" spans="1:15" x14ac:dyDescent="0.3">
      <c r="A168" s="18"/>
      <c r="B168" s="21"/>
      <c r="C168" s="21"/>
      <c r="D168" s="42" t="s">
        <v>1703</v>
      </c>
      <c r="E168" s="299" t="s">
        <v>1704</v>
      </c>
      <c r="F168" s="42" t="b">
        <v>1</v>
      </c>
      <c r="G168" s="21"/>
      <c r="H168" s="21"/>
      <c r="I168" s="21"/>
      <c r="J168" s="21"/>
      <c r="K168" s="21"/>
      <c r="L168" s="21"/>
      <c r="M168" s="21"/>
      <c r="N168" s="21"/>
      <c r="O168" s="20"/>
    </row>
    <row r="169" spans="1:15" x14ac:dyDescent="0.3">
      <c r="A169" s="18"/>
      <c r="B169" s="21"/>
      <c r="C169" s="21"/>
      <c r="D169" s="42" t="s">
        <v>1699</v>
      </c>
      <c r="E169" s="299" t="s">
        <v>1700</v>
      </c>
      <c r="F169" s="42" t="b">
        <v>1</v>
      </c>
      <c r="G169" s="21"/>
      <c r="H169" s="21"/>
      <c r="I169" s="21"/>
      <c r="J169" s="21"/>
      <c r="K169" s="21"/>
      <c r="L169" s="21"/>
      <c r="M169" s="21"/>
      <c r="N169" s="21"/>
      <c r="O169" s="20"/>
    </row>
    <row r="170" spans="1:15" x14ac:dyDescent="0.3">
      <c r="A170" s="18"/>
      <c r="B170" s="21"/>
      <c r="C170" s="21"/>
      <c r="D170" s="21"/>
      <c r="E170" s="21"/>
      <c r="F170" s="21"/>
      <c r="G170" s="21"/>
      <c r="H170" s="21"/>
      <c r="I170" s="21"/>
      <c r="J170" s="21"/>
      <c r="K170" s="21"/>
      <c r="L170" s="21"/>
      <c r="M170" s="21"/>
      <c r="N170" s="21"/>
      <c r="O170" s="20"/>
    </row>
    <row r="171" spans="1:15" x14ac:dyDescent="0.3">
      <c r="A171" s="18"/>
      <c r="B171" s="21"/>
      <c r="C171" s="21"/>
      <c r="D171" s="21"/>
      <c r="E171" s="21"/>
      <c r="F171" s="21"/>
      <c r="G171" s="21"/>
      <c r="H171" s="21"/>
      <c r="I171" s="21"/>
      <c r="J171" s="21"/>
      <c r="K171" s="21"/>
      <c r="L171" s="21"/>
      <c r="M171" s="21"/>
      <c r="N171" s="21"/>
      <c r="O171" s="20"/>
    </row>
    <row r="172" spans="1:15" x14ac:dyDescent="0.3">
      <c r="A172" s="18"/>
      <c r="B172" s="21"/>
      <c r="C172" s="21"/>
      <c r="D172" s="21"/>
      <c r="E172" s="21"/>
      <c r="F172" s="21"/>
      <c r="G172" s="21"/>
      <c r="H172" s="21"/>
      <c r="I172" s="21"/>
      <c r="J172" s="21"/>
      <c r="K172" s="21"/>
      <c r="L172" s="21"/>
      <c r="M172" s="21"/>
      <c r="N172" s="21"/>
      <c r="O172" s="20"/>
    </row>
    <row r="173" spans="1:15" x14ac:dyDescent="0.3">
      <c r="A173" s="18"/>
      <c r="B173" s="21"/>
      <c r="C173" s="21"/>
      <c r="D173" s="21"/>
      <c r="E173" s="21"/>
      <c r="F173" s="21"/>
      <c r="G173" s="21"/>
      <c r="H173" s="21"/>
      <c r="I173" s="21"/>
      <c r="J173" s="21"/>
      <c r="K173" s="21"/>
      <c r="L173" s="21"/>
      <c r="M173" s="21"/>
      <c r="N173" s="21"/>
      <c r="O173" s="20"/>
    </row>
    <row r="174" spans="1:15" x14ac:dyDescent="0.3">
      <c r="A174" s="18"/>
      <c r="B174" s="21"/>
      <c r="C174" s="21"/>
      <c r="D174" s="21"/>
      <c r="E174" s="21"/>
      <c r="F174" s="21"/>
      <c r="G174" s="21"/>
      <c r="H174" s="21"/>
      <c r="I174" s="21"/>
      <c r="J174" s="21"/>
      <c r="K174" s="21"/>
      <c r="L174" s="21"/>
      <c r="M174" s="21"/>
      <c r="N174" s="21"/>
      <c r="O174" s="20"/>
    </row>
    <row r="175" spans="1:15" x14ac:dyDescent="0.3">
      <c r="A175" s="18"/>
      <c r="B175" s="21"/>
      <c r="C175" s="21"/>
      <c r="D175" s="21"/>
      <c r="E175" s="21"/>
      <c r="F175" s="21"/>
      <c r="G175" s="21"/>
      <c r="H175" s="21"/>
      <c r="I175" s="21"/>
      <c r="J175" s="21"/>
      <c r="K175" s="21"/>
      <c r="L175" s="21"/>
      <c r="M175" s="21"/>
      <c r="N175" s="21"/>
      <c r="O175" s="20"/>
    </row>
    <row r="176" spans="1:15" x14ac:dyDescent="0.3">
      <c r="A176" s="573" t="s">
        <v>1774</v>
      </c>
      <c r="B176" s="491"/>
      <c r="C176" s="491"/>
      <c r="D176" s="491"/>
      <c r="E176" s="491"/>
      <c r="F176" s="491"/>
      <c r="G176" s="491"/>
      <c r="H176" s="491"/>
      <c r="I176" s="491"/>
      <c r="J176" s="491"/>
      <c r="K176" s="491"/>
      <c r="L176" s="491"/>
      <c r="M176" s="491"/>
      <c r="N176" s="491"/>
      <c r="O176" s="20"/>
    </row>
    <row r="177" spans="1:15" x14ac:dyDescent="0.3">
      <c r="A177" s="18"/>
      <c r="B177" s="21"/>
      <c r="C177" s="21"/>
      <c r="D177" s="21"/>
      <c r="E177" s="21"/>
      <c r="F177" s="21"/>
      <c r="G177" s="21"/>
      <c r="H177" s="21"/>
      <c r="I177" s="21"/>
      <c r="J177" s="21"/>
      <c r="K177" s="21"/>
      <c r="L177" s="21"/>
      <c r="M177" s="21"/>
      <c r="N177" s="21"/>
      <c r="O177" s="20"/>
    </row>
    <row r="178" spans="1:15" x14ac:dyDescent="0.3">
      <c r="A178" s="18"/>
      <c r="B178" s="21"/>
      <c r="C178" s="21"/>
      <c r="D178" s="21"/>
      <c r="E178" s="21"/>
      <c r="F178" s="21"/>
      <c r="G178" s="21"/>
      <c r="H178" s="21"/>
      <c r="I178" s="21"/>
      <c r="J178" s="21"/>
      <c r="K178" s="21"/>
      <c r="L178" s="21"/>
      <c r="M178" s="21"/>
      <c r="N178" s="21"/>
      <c r="O178" s="20"/>
    </row>
    <row r="179" spans="1:15" x14ac:dyDescent="0.3">
      <c r="A179" s="18"/>
      <c r="B179" s="101" t="s">
        <v>1783</v>
      </c>
      <c r="C179" s="21"/>
      <c r="D179" s="101" t="s">
        <v>1782</v>
      </c>
      <c r="E179" s="21"/>
      <c r="F179" s="21"/>
      <c r="G179" s="21"/>
      <c r="H179" s="21"/>
      <c r="I179" s="101" t="s">
        <v>3456</v>
      </c>
      <c r="J179" s="21"/>
      <c r="K179" s="21"/>
      <c r="L179" s="21"/>
      <c r="M179" s="21"/>
      <c r="N179" s="21"/>
      <c r="O179" s="20"/>
    </row>
    <row r="180" spans="1:15" x14ac:dyDescent="0.3">
      <c r="A180" s="18"/>
      <c r="B180" s="42">
        <v>2</v>
      </c>
      <c r="C180" s="21"/>
      <c r="D180" s="42">
        <f>B180*4</f>
        <v>8</v>
      </c>
      <c r="E180" s="21"/>
      <c r="F180" s="21"/>
      <c r="G180" s="21"/>
      <c r="H180" s="21"/>
      <c r="I180" s="30" t="str" cm="1">
        <f t="array" ref="I180">_xll.U.FORMULA(D180)</f>
        <v>=B180*4</v>
      </c>
      <c r="J180" s="21"/>
      <c r="K180" s="21"/>
      <c r="L180" s="21"/>
      <c r="M180" s="21"/>
      <c r="N180" s="21"/>
      <c r="O180" s="20"/>
    </row>
    <row r="181" spans="1:15" x14ac:dyDescent="0.3">
      <c r="A181" s="18"/>
      <c r="B181" s="21"/>
      <c r="C181" s="21"/>
      <c r="D181" s="21"/>
      <c r="E181" s="21"/>
      <c r="F181" s="21"/>
      <c r="G181" s="21"/>
      <c r="H181" s="21"/>
      <c r="I181" s="21"/>
      <c r="J181" s="21"/>
      <c r="K181" s="21"/>
      <c r="L181" s="21"/>
      <c r="M181" s="21"/>
      <c r="N181" s="21"/>
      <c r="O181" s="20"/>
    </row>
    <row r="182" spans="1:15" x14ac:dyDescent="0.3">
      <c r="A182" s="18"/>
      <c r="B182" s="21"/>
      <c r="C182" s="21"/>
      <c r="D182" s="101" t="s">
        <v>1784</v>
      </c>
      <c r="E182" s="21"/>
      <c r="F182" s="21"/>
      <c r="G182" s="21"/>
      <c r="H182" s="21"/>
      <c r="I182" s="101" t="s">
        <v>3456</v>
      </c>
      <c r="J182" s="21"/>
      <c r="K182" s="21"/>
      <c r="L182" s="21"/>
      <c r="M182" s="21"/>
      <c r="N182" s="21"/>
      <c r="O182" s="20"/>
    </row>
    <row r="183" spans="1:15" x14ac:dyDescent="0.3">
      <c r="A183" s="18"/>
      <c r="B183" s="21"/>
      <c r="C183" s="21"/>
      <c r="D183" s="42">
        <f>D180+3</f>
        <v>11</v>
      </c>
      <c r="E183" s="21"/>
      <c r="F183" s="21"/>
      <c r="G183" s="21"/>
      <c r="H183" s="21"/>
      <c r="I183" s="30" t="str">
        <f t="array" ref="I183:I186">_xll.U.FORMULA(D180:D183,TRUE)</f>
        <v>=B180*4</v>
      </c>
      <c r="J183" s="21"/>
      <c r="K183" s="21"/>
      <c r="L183" s="21"/>
      <c r="M183" s="21"/>
      <c r="N183" s="21"/>
      <c r="O183" s="20"/>
    </row>
    <row r="184" spans="1:15" x14ac:dyDescent="0.3">
      <c r="A184" s="18"/>
      <c r="B184" s="21"/>
      <c r="C184" s="21"/>
      <c r="D184" s="21"/>
      <c r="E184" s="21"/>
      <c r="F184" s="21"/>
      <c r="G184" s="21"/>
      <c r="H184" s="21"/>
      <c r="I184" s="30" t="str">
        <v/>
      </c>
      <c r="J184" s="21"/>
      <c r="K184" s="21"/>
      <c r="L184" s="21"/>
      <c r="M184" s="21"/>
      <c r="N184" s="21"/>
      <c r="O184" s="20"/>
    </row>
    <row r="185" spans="1:15" x14ac:dyDescent="0.3">
      <c r="A185" s="18"/>
      <c r="B185" s="21"/>
      <c r="C185" s="21"/>
      <c r="D185" s="21"/>
      <c r="E185" s="21"/>
      <c r="F185" s="21"/>
      <c r="G185" s="21"/>
      <c r="H185" s="21"/>
      <c r="I185" s="30" t="str">
        <v>Some Other Formula</v>
      </c>
      <c r="J185" s="21"/>
      <c r="K185" s="21"/>
      <c r="L185" s="21"/>
      <c r="M185" s="21"/>
      <c r="N185" s="21"/>
      <c r="O185" s="20"/>
    </row>
    <row r="186" spans="1:15" x14ac:dyDescent="0.3">
      <c r="A186" s="18"/>
      <c r="B186" s="21"/>
      <c r="C186" s="21"/>
      <c r="D186" s="21"/>
      <c r="E186" s="21"/>
      <c r="F186" s="21"/>
      <c r="G186" s="21"/>
      <c r="H186" s="21"/>
      <c r="I186" s="30" t="str">
        <v>=D180+3</v>
      </c>
      <c r="J186" s="21"/>
      <c r="K186" s="21"/>
      <c r="L186" s="21"/>
      <c r="M186" s="21"/>
      <c r="N186" s="21"/>
      <c r="O186" s="20"/>
    </row>
    <row r="187" spans="1:15" x14ac:dyDescent="0.3">
      <c r="A187" s="18"/>
      <c r="B187" s="21"/>
      <c r="C187" s="21"/>
      <c r="D187" s="21"/>
      <c r="E187" s="21"/>
      <c r="F187" s="21"/>
      <c r="G187" s="21"/>
      <c r="H187" s="21"/>
      <c r="I187" s="21"/>
      <c r="J187" s="21"/>
      <c r="K187" s="21"/>
      <c r="L187" s="21"/>
      <c r="M187" s="21"/>
      <c r="N187" s="21"/>
      <c r="O187" s="20"/>
    </row>
    <row r="188" spans="1:15" x14ac:dyDescent="0.3">
      <c r="A188" s="18"/>
      <c r="B188" s="21"/>
      <c r="C188" s="21"/>
      <c r="D188" s="21"/>
      <c r="E188" s="21"/>
      <c r="F188" s="21"/>
      <c r="G188" s="21"/>
      <c r="H188" s="21"/>
      <c r="I188" s="101" t="s">
        <v>3456</v>
      </c>
      <c r="J188" s="21"/>
      <c r="K188" s="21"/>
      <c r="L188" s="21"/>
      <c r="M188" s="21"/>
      <c r="N188" s="21"/>
      <c r="O188" s="20"/>
    </row>
    <row r="189" spans="1:15" x14ac:dyDescent="0.3">
      <c r="A189" s="18"/>
      <c r="B189" s="21"/>
      <c r="C189" s="21"/>
      <c r="D189" s="21"/>
      <c r="E189" s="21"/>
      <c r="F189" s="21"/>
      <c r="G189" s="21"/>
      <c r="H189" s="21"/>
      <c r="I189" s="30" t="str" cm="1">
        <f t="array" ref="I189">_xll.U.FORMULA(D183,,TRUE)</f>
        <v>=R[-3]C+3</v>
      </c>
      <c r="J189" s="21"/>
      <c r="K189" s="21"/>
      <c r="L189" s="21"/>
      <c r="M189" s="21"/>
      <c r="N189" s="21"/>
      <c r="O189" s="20"/>
    </row>
    <row r="190" spans="1:15" x14ac:dyDescent="0.3">
      <c r="A190" s="18"/>
      <c r="B190" s="21"/>
      <c r="C190" s="21"/>
      <c r="D190" s="21"/>
      <c r="E190" s="21"/>
      <c r="F190" s="21"/>
      <c r="G190" s="21"/>
      <c r="H190" s="21"/>
      <c r="I190" s="21"/>
      <c r="J190" s="21"/>
      <c r="K190" s="21"/>
      <c r="L190" s="21"/>
      <c r="M190" s="21"/>
      <c r="N190" s="21"/>
      <c r="O190" s="20"/>
    </row>
    <row r="191" spans="1:15" x14ac:dyDescent="0.3">
      <c r="A191" s="18"/>
      <c r="B191" s="21"/>
      <c r="C191" s="21"/>
      <c r="D191" s="21"/>
      <c r="E191" s="21"/>
      <c r="F191" s="21"/>
      <c r="G191" s="21"/>
      <c r="H191" s="21"/>
      <c r="I191" s="21"/>
      <c r="J191" s="21"/>
      <c r="K191" s="21"/>
      <c r="L191" s="21"/>
      <c r="M191" s="21"/>
      <c r="N191" s="21"/>
      <c r="O191" s="20"/>
    </row>
    <row r="192" spans="1:15" x14ac:dyDescent="0.3">
      <c r="A192" s="18"/>
      <c r="B192" s="21"/>
      <c r="C192" s="21"/>
      <c r="D192" s="21"/>
      <c r="E192" s="21"/>
      <c r="F192" s="21"/>
      <c r="G192" s="21"/>
      <c r="H192" s="21"/>
      <c r="I192" s="21"/>
      <c r="J192" s="21"/>
      <c r="K192" s="21"/>
      <c r="L192" s="21"/>
      <c r="M192" s="21"/>
      <c r="N192" s="21"/>
      <c r="O192" s="20"/>
    </row>
    <row r="193" spans="1:15" x14ac:dyDescent="0.3">
      <c r="A193" s="18"/>
      <c r="B193" s="21"/>
      <c r="C193" s="21"/>
      <c r="D193" s="21"/>
      <c r="E193" s="21"/>
      <c r="F193" s="21"/>
      <c r="G193" s="21"/>
      <c r="H193" s="21"/>
      <c r="I193" s="21"/>
      <c r="J193" s="21"/>
      <c r="K193" s="21"/>
      <c r="L193" s="21"/>
      <c r="M193" s="21"/>
      <c r="N193" s="21"/>
      <c r="O193" s="20"/>
    </row>
    <row r="194" spans="1:15" x14ac:dyDescent="0.3">
      <c r="A194" s="18"/>
      <c r="B194" s="117"/>
      <c r="C194" s="21"/>
      <c r="D194" s="123"/>
      <c r="E194" s="123"/>
      <c r="F194" s="21"/>
      <c r="G194" s="21"/>
      <c r="H194" s="21"/>
      <c r="I194" s="21"/>
      <c r="J194" s="21"/>
      <c r="K194" s="21"/>
      <c r="L194" s="21"/>
      <c r="M194" s="21"/>
      <c r="N194" s="21"/>
      <c r="O194" s="20"/>
    </row>
    <row r="195" spans="1:15" ht="15" thickBot="1" x14ac:dyDescent="0.35">
      <c r="A195" s="22"/>
      <c r="B195" s="23"/>
      <c r="C195" s="23"/>
      <c r="D195" s="23"/>
      <c r="E195" s="23"/>
      <c r="F195" s="23"/>
      <c r="G195" s="23"/>
      <c r="H195" s="23"/>
      <c r="I195" s="23"/>
      <c r="J195" s="23"/>
      <c r="K195" s="23"/>
      <c r="L195" s="23"/>
      <c r="M195" s="23"/>
      <c r="N195" s="23"/>
      <c r="O195" s="24"/>
    </row>
  </sheetData>
  <mergeCells count="48">
    <mergeCell ref="Q17:R19"/>
    <mergeCell ref="S17:Y19"/>
    <mergeCell ref="Z17:Z19"/>
    <mergeCell ref="Q8:R10"/>
    <mergeCell ref="S8:Y10"/>
    <mergeCell ref="Z8:Z10"/>
    <mergeCell ref="Q11:R13"/>
    <mergeCell ref="S11:Y13"/>
    <mergeCell ref="Z11:Z13"/>
    <mergeCell ref="Q14:R16"/>
    <mergeCell ref="S14:Y16"/>
    <mergeCell ref="Z14:Z16"/>
    <mergeCell ref="Q3:Z3"/>
    <mergeCell ref="Q4:R6"/>
    <mergeCell ref="S4:Z6"/>
    <mergeCell ref="Q7:R7"/>
    <mergeCell ref="S7:Y7"/>
    <mergeCell ref="Q40:R42"/>
    <mergeCell ref="S40:Y42"/>
    <mergeCell ref="Z40:Z42"/>
    <mergeCell ref="Q20:R22"/>
    <mergeCell ref="S20:Y22"/>
    <mergeCell ref="Z20:Z22"/>
    <mergeCell ref="I144:J144"/>
    <mergeCell ref="I150:J150"/>
    <mergeCell ref="I95:K95"/>
    <mergeCell ref="I104:K104"/>
    <mergeCell ref="I113:K113"/>
    <mergeCell ref="I117:K117"/>
    <mergeCell ref="I122:K122"/>
    <mergeCell ref="I128:L128"/>
    <mergeCell ref="I108:K108"/>
    <mergeCell ref="A176:N176"/>
    <mergeCell ref="Q26:Z26"/>
    <mergeCell ref="Q27:R29"/>
    <mergeCell ref="S27:Z29"/>
    <mergeCell ref="Q30:R30"/>
    <mergeCell ref="S30:Y30"/>
    <mergeCell ref="Q31:R33"/>
    <mergeCell ref="S31:Y33"/>
    <mergeCell ref="Z31:Z33"/>
    <mergeCell ref="Q34:R36"/>
    <mergeCell ref="S34:Y36"/>
    <mergeCell ref="Z34:Z36"/>
    <mergeCell ref="Q37:R39"/>
    <mergeCell ref="S37:Y39"/>
    <mergeCell ref="Z37:Z39"/>
    <mergeCell ref="B144:C144"/>
  </mergeCells>
  <pageMargins left="0.7" right="0.7" top="0.75" bottom="0.75" header="0.3" footer="0.3"/>
  <pageSetup orientation="portrait" verticalDpi="0"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dimension ref="A1:Y44"/>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38.77734375" bestFit="1" customWidth="1"/>
    <col min="3" max="3" width="43.21875" bestFit="1" customWidth="1"/>
    <col min="5" max="5" width="37.21875" bestFit="1" customWidth="1"/>
    <col min="6" max="6" width="10.21875" customWidth="1"/>
    <col min="7" max="7" width="9.21875" customWidth="1"/>
    <col min="16" max="24" width="13.77734375" customWidth="1"/>
  </cols>
  <sheetData>
    <row r="1" spans="1:25" ht="34.5" customHeight="1" thickBot="1" x14ac:dyDescent="0.35">
      <c r="A1" s="292" t="s">
        <v>1580</v>
      </c>
      <c r="B1" s="473" t="e" vm="1">
        <v>#VALUE!</v>
      </c>
      <c r="C1" s="8" t="s">
        <v>1441</v>
      </c>
      <c r="D1" s="27"/>
      <c r="E1" s="16"/>
      <c r="F1" s="16"/>
      <c r="G1" s="16"/>
      <c r="H1" s="16"/>
      <c r="I1" s="16"/>
      <c r="J1" s="16"/>
      <c r="K1" s="16"/>
      <c r="L1" s="16"/>
      <c r="M1" s="16"/>
      <c r="N1" s="19"/>
    </row>
    <row r="2" spans="1:25" ht="15" customHeight="1" x14ac:dyDescent="0.3">
      <c r="A2" s="18"/>
      <c r="B2" s="25"/>
      <c r="C2" s="25"/>
      <c r="D2" s="21"/>
      <c r="E2" s="21"/>
      <c r="F2" s="21"/>
      <c r="G2" s="21"/>
      <c r="H2" s="21"/>
      <c r="I2" s="21"/>
      <c r="J2" s="21"/>
      <c r="K2" s="21"/>
      <c r="L2" s="21"/>
      <c r="M2" s="21"/>
      <c r="N2" s="20"/>
    </row>
    <row r="3" spans="1:25" ht="15" customHeight="1" x14ac:dyDescent="0.3">
      <c r="A3" s="18"/>
      <c r="B3" s="25"/>
      <c r="C3" s="25"/>
      <c r="D3" s="21"/>
      <c r="E3" s="21"/>
      <c r="F3" s="21"/>
      <c r="G3" s="21"/>
      <c r="H3" s="21"/>
      <c r="I3" s="21"/>
      <c r="J3" s="21"/>
      <c r="K3" s="21"/>
      <c r="L3" s="21"/>
      <c r="M3" s="21"/>
      <c r="N3" s="20"/>
      <c r="P3" s="486" t="s">
        <v>3458</v>
      </c>
      <c r="Q3" s="486"/>
      <c r="R3" s="486"/>
      <c r="S3" s="486"/>
      <c r="T3" s="486"/>
      <c r="U3" s="486"/>
      <c r="V3" s="486"/>
      <c r="W3" s="486"/>
      <c r="X3" s="486"/>
      <c r="Y3" s="486"/>
    </row>
    <row r="4" spans="1:25" ht="15" customHeight="1" x14ac:dyDescent="0.3">
      <c r="A4" s="18"/>
      <c r="B4" s="21"/>
      <c r="C4" s="21"/>
      <c r="D4" s="26"/>
      <c r="E4" s="21"/>
      <c r="F4" s="21"/>
      <c r="G4" s="21"/>
      <c r="H4" s="21"/>
      <c r="I4" s="21"/>
      <c r="J4" s="21"/>
      <c r="K4" s="21"/>
      <c r="L4" s="21"/>
      <c r="M4" s="21"/>
      <c r="N4" s="20"/>
      <c r="P4" s="487" t="s">
        <v>333</v>
      </c>
      <c r="Q4" s="487"/>
      <c r="R4" s="487" t="s">
        <v>1450</v>
      </c>
      <c r="S4" s="487"/>
      <c r="T4" s="487"/>
      <c r="U4" s="487"/>
      <c r="V4" s="487"/>
      <c r="W4" s="487"/>
      <c r="X4" s="487"/>
      <c r="Y4" s="487"/>
    </row>
    <row r="5" spans="1:25" ht="15" customHeight="1" x14ac:dyDescent="0.3">
      <c r="A5" s="18"/>
      <c r="B5" s="2" t="s">
        <v>1445</v>
      </c>
      <c r="C5" s="21"/>
      <c r="D5" s="21"/>
      <c r="E5" s="101" t="s">
        <v>3458</v>
      </c>
      <c r="F5" s="21"/>
      <c r="G5" s="21"/>
      <c r="H5" s="21"/>
      <c r="I5" s="21"/>
      <c r="J5" s="21"/>
      <c r="K5" s="21"/>
      <c r="L5" s="21"/>
      <c r="M5" s="21"/>
      <c r="N5" s="20"/>
      <c r="P5" s="487"/>
      <c r="Q5" s="487"/>
      <c r="R5" s="487"/>
      <c r="S5" s="487"/>
      <c r="T5" s="487"/>
      <c r="U5" s="487"/>
      <c r="V5" s="487"/>
      <c r="W5" s="487"/>
      <c r="X5" s="487"/>
      <c r="Y5" s="487"/>
    </row>
    <row r="6" spans="1:25" x14ac:dyDescent="0.3">
      <c r="A6" s="18"/>
      <c r="B6" s="42" t="s">
        <v>1447</v>
      </c>
      <c r="C6" s="21"/>
      <c r="D6" s="21"/>
      <c r="E6" s="30" t="str">
        <f t="array" ref="E6:E7">_xll.U.REMOVE_NON_ASCII($B$6:$B$7)</f>
        <v xml:space="preserve">   I have  non-ascii in me</v>
      </c>
      <c r="F6" s="21"/>
      <c r="G6" s="21"/>
      <c r="H6" s="21"/>
      <c r="I6" s="21"/>
      <c r="J6" s="21"/>
      <c r="K6" s="21"/>
      <c r="L6" s="21"/>
      <c r="M6" s="21"/>
      <c r="N6" s="20"/>
      <c r="P6" s="487"/>
      <c r="Q6" s="487"/>
      <c r="R6" s="487"/>
      <c r="S6" s="487"/>
      <c r="T6" s="487"/>
      <c r="U6" s="487"/>
      <c r="V6" s="487"/>
      <c r="W6" s="487"/>
      <c r="X6" s="487"/>
      <c r="Y6" s="487"/>
    </row>
    <row r="7" spans="1:25" x14ac:dyDescent="0.3">
      <c r="A7" s="18"/>
      <c r="B7" s="42" t="s">
        <v>1446</v>
      </c>
      <c r="C7" s="21"/>
      <c r="D7" s="21"/>
      <c r="E7" s="30" t="str">
        <v xml:space="preserve"> I have  non-ascii in and around me </v>
      </c>
      <c r="F7" s="21"/>
      <c r="G7" s="21"/>
      <c r="H7" s="21"/>
      <c r="I7" s="21"/>
      <c r="J7" s="21"/>
      <c r="K7" s="21"/>
      <c r="L7" s="21"/>
      <c r="M7" s="21"/>
      <c r="N7" s="20"/>
      <c r="P7" s="483" t="s">
        <v>323</v>
      </c>
      <c r="Q7" s="483"/>
      <c r="R7" s="483" t="s">
        <v>1</v>
      </c>
      <c r="S7" s="483"/>
      <c r="T7" s="483"/>
      <c r="U7" s="483"/>
      <c r="V7" s="483"/>
      <c r="W7" s="483"/>
      <c r="X7" s="483"/>
      <c r="Y7" s="85" t="s">
        <v>324</v>
      </c>
    </row>
    <row r="8" spans="1:25" x14ac:dyDescent="0.3">
      <c r="A8" s="18"/>
      <c r="B8" s="21"/>
      <c r="C8" s="21"/>
      <c r="D8" s="21"/>
      <c r="E8" s="21"/>
      <c r="F8" s="21"/>
      <c r="G8" s="21"/>
      <c r="H8" s="21"/>
      <c r="I8" s="21"/>
      <c r="J8" s="21"/>
      <c r="K8" s="21"/>
      <c r="L8" s="21"/>
      <c r="M8" s="21"/>
      <c r="N8" s="20"/>
      <c r="P8" s="487" t="s">
        <v>443</v>
      </c>
      <c r="Q8" s="487"/>
      <c r="R8" s="487" t="s">
        <v>1449</v>
      </c>
      <c r="S8" s="487"/>
      <c r="T8" s="487"/>
      <c r="U8" s="487"/>
      <c r="V8" s="487"/>
      <c r="W8" s="487"/>
      <c r="X8" s="487"/>
      <c r="Y8" s="509" t="s">
        <v>325</v>
      </c>
    </row>
    <row r="9" spans="1:25" x14ac:dyDescent="0.3">
      <c r="A9" s="18"/>
      <c r="B9" s="21"/>
      <c r="C9" s="21"/>
      <c r="D9" s="21"/>
      <c r="E9" s="21"/>
      <c r="F9" s="21"/>
      <c r="G9" s="21"/>
      <c r="H9" s="21"/>
      <c r="I9" s="21"/>
      <c r="J9" s="21"/>
      <c r="K9" s="21"/>
      <c r="L9" s="21"/>
      <c r="M9" s="21"/>
      <c r="N9" s="20"/>
      <c r="P9" s="487"/>
      <c r="Q9" s="487"/>
      <c r="R9" s="487"/>
      <c r="S9" s="487"/>
      <c r="T9" s="487"/>
      <c r="U9" s="487"/>
      <c r="V9" s="487"/>
      <c r="W9" s="487"/>
      <c r="X9" s="487"/>
      <c r="Y9" s="509"/>
    </row>
    <row r="10" spans="1:25" x14ac:dyDescent="0.3">
      <c r="A10" s="18"/>
      <c r="B10" s="21"/>
      <c r="C10" s="21"/>
      <c r="D10" s="21"/>
      <c r="E10" s="21"/>
      <c r="F10" s="21"/>
      <c r="G10" s="21"/>
      <c r="H10" s="21"/>
      <c r="I10" s="21"/>
      <c r="J10" s="21"/>
      <c r="K10" s="21"/>
      <c r="L10" s="21"/>
      <c r="M10" s="21"/>
      <c r="N10" s="20"/>
      <c r="P10" s="487"/>
      <c r="Q10" s="487"/>
      <c r="R10" s="487"/>
      <c r="S10" s="487"/>
      <c r="T10" s="487"/>
      <c r="U10" s="487"/>
      <c r="V10" s="487"/>
      <c r="W10" s="487"/>
      <c r="X10" s="487"/>
      <c r="Y10" s="509"/>
    </row>
    <row r="11" spans="1:25" x14ac:dyDescent="0.3">
      <c r="A11" s="18"/>
      <c r="B11" s="21"/>
      <c r="C11" s="21"/>
      <c r="D11" s="21"/>
      <c r="E11" s="101" t="s">
        <v>3458</v>
      </c>
      <c r="F11" s="21"/>
      <c r="G11" s="21"/>
      <c r="H11" s="21"/>
      <c r="I11" s="21"/>
      <c r="J11" s="21"/>
      <c r="K11" s="21"/>
      <c r="L11" s="21"/>
      <c r="M11" s="21"/>
      <c r="N11" s="20"/>
      <c r="P11" s="484" t="s">
        <v>1141</v>
      </c>
      <c r="Q11" s="484"/>
      <c r="R11" s="484" t="s">
        <v>1451</v>
      </c>
      <c r="S11" s="484"/>
      <c r="T11" s="484"/>
      <c r="U11" s="484"/>
      <c r="V11" s="484"/>
      <c r="W11" s="484"/>
      <c r="X11" s="484"/>
      <c r="Y11" s="485" t="s">
        <v>326</v>
      </c>
    </row>
    <row r="12" spans="1:25" x14ac:dyDescent="0.3">
      <c r="A12" s="18"/>
      <c r="B12" s="21"/>
      <c r="C12" s="21"/>
      <c r="D12" s="21"/>
      <c r="E12" s="30" t="str">
        <f t="array" ref="E12:E13">_xll.U.REMOVE_NON_ASCII($B$6:$B$7,TRUE)</f>
        <v>I have  non-ascii in me</v>
      </c>
      <c r="F12" s="21"/>
      <c r="G12" s="21"/>
      <c r="H12" s="21"/>
      <c r="I12" s="21"/>
      <c r="J12" s="21"/>
      <c r="K12" s="21"/>
      <c r="L12" s="21"/>
      <c r="M12" s="21"/>
      <c r="N12" s="20"/>
      <c r="P12" s="484"/>
      <c r="Q12" s="484"/>
      <c r="R12" s="484"/>
      <c r="S12" s="484"/>
      <c r="T12" s="484"/>
      <c r="U12" s="484"/>
      <c r="V12" s="484"/>
      <c r="W12" s="484"/>
      <c r="X12" s="484"/>
      <c r="Y12" s="485"/>
    </row>
    <row r="13" spans="1:25" x14ac:dyDescent="0.3">
      <c r="A13" s="18"/>
      <c r="B13" s="21"/>
      <c r="C13" s="21"/>
      <c r="D13" s="21"/>
      <c r="E13" s="30" t="str">
        <v>I have  non-ascii in and around me</v>
      </c>
      <c r="F13" s="21"/>
      <c r="G13" s="21"/>
      <c r="H13" s="21"/>
      <c r="I13" s="21"/>
      <c r="J13" s="21"/>
      <c r="K13" s="21"/>
      <c r="L13" s="21"/>
      <c r="M13" s="21"/>
      <c r="N13" s="20"/>
      <c r="P13" s="484"/>
      <c r="Q13" s="484"/>
      <c r="R13" s="484"/>
      <c r="S13" s="484"/>
      <c r="T13" s="484"/>
      <c r="U13" s="484"/>
      <c r="V13" s="484"/>
      <c r="W13" s="484"/>
      <c r="X13" s="484"/>
      <c r="Y13" s="485"/>
    </row>
    <row r="14" spans="1:25" x14ac:dyDescent="0.3">
      <c r="A14" s="18"/>
      <c r="B14" s="21"/>
      <c r="C14" s="21"/>
      <c r="D14" s="21"/>
      <c r="E14" s="21"/>
      <c r="F14" s="21"/>
      <c r="G14" s="21"/>
      <c r="H14" s="21"/>
      <c r="I14" s="21"/>
      <c r="J14" s="21"/>
      <c r="K14" s="21"/>
      <c r="L14" s="21"/>
      <c r="M14" s="21"/>
      <c r="N14" s="20"/>
      <c r="P14" s="484" t="s">
        <v>1442</v>
      </c>
      <c r="Q14" s="484"/>
      <c r="R14" s="484" t="s">
        <v>1454</v>
      </c>
      <c r="S14" s="484"/>
      <c r="T14" s="484"/>
      <c r="U14" s="484"/>
      <c r="V14" s="484"/>
      <c r="W14" s="484"/>
      <c r="X14" s="484"/>
      <c r="Y14" s="485" t="s">
        <v>326</v>
      </c>
    </row>
    <row r="15" spans="1:25" x14ac:dyDescent="0.3">
      <c r="A15" s="18"/>
      <c r="B15" s="21"/>
      <c r="C15" s="21"/>
      <c r="D15" s="21"/>
      <c r="E15" s="21"/>
      <c r="F15" s="21"/>
      <c r="G15" s="21"/>
      <c r="H15" s="21"/>
      <c r="I15" s="21"/>
      <c r="J15" s="21"/>
      <c r="K15" s="21"/>
      <c r="L15" s="21"/>
      <c r="M15" s="21"/>
      <c r="N15" s="20"/>
      <c r="P15" s="484"/>
      <c r="Q15" s="484"/>
      <c r="R15" s="484"/>
      <c r="S15" s="484"/>
      <c r="T15" s="484"/>
      <c r="U15" s="484"/>
      <c r="V15" s="484"/>
      <c r="W15" s="484"/>
      <c r="X15" s="484"/>
      <c r="Y15" s="485"/>
    </row>
    <row r="16" spans="1:25" x14ac:dyDescent="0.3">
      <c r="A16" s="18"/>
      <c r="B16" s="21"/>
      <c r="C16" s="21"/>
      <c r="D16" s="21"/>
      <c r="E16" s="101" t="s">
        <v>3458</v>
      </c>
      <c r="F16" s="21"/>
      <c r="G16" s="21"/>
      <c r="H16" s="21"/>
      <c r="I16" s="21"/>
      <c r="J16" s="21"/>
      <c r="K16" s="21"/>
      <c r="L16" s="21"/>
      <c r="M16" s="21"/>
      <c r="N16" s="20"/>
      <c r="P16" s="484"/>
      <c r="Q16" s="484"/>
      <c r="R16" s="484"/>
      <c r="S16" s="484"/>
      <c r="T16" s="484"/>
      <c r="U16" s="484"/>
      <c r="V16" s="484"/>
      <c r="W16" s="484"/>
      <c r="X16" s="484"/>
      <c r="Y16" s="485"/>
    </row>
    <row r="17" spans="1:25" ht="15" customHeight="1" x14ac:dyDescent="0.3">
      <c r="A17" s="18"/>
      <c r="B17" s="21"/>
      <c r="C17" s="21"/>
      <c r="D17" s="21"/>
      <c r="E17" s="30" t="str">
        <f t="array" ref="E17:E18">_xll.U.REMOVE_NON_ASCII($B$6:$B$7,TRUE,TRUE)</f>
        <v>I have © non-ascii in me</v>
      </c>
      <c r="F17" s="21"/>
      <c r="G17" s="21"/>
      <c r="H17" s="21"/>
      <c r="I17" s="21"/>
      <c r="J17" s="21"/>
      <c r="K17" s="21"/>
      <c r="L17" s="21"/>
      <c r="M17" s="21"/>
      <c r="N17" s="20"/>
      <c r="P17" s="484" t="s">
        <v>1443</v>
      </c>
      <c r="Q17" s="484"/>
      <c r="R17" s="484" t="s">
        <v>1452</v>
      </c>
      <c r="S17" s="484"/>
      <c r="T17" s="484"/>
      <c r="U17" s="484"/>
      <c r="V17" s="484"/>
      <c r="W17" s="484"/>
      <c r="X17" s="484"/>
      <c r="Y17" s="485" t="s">
        <v>326</v>
      </c>
    </row>
    <row r="18" spans="1:25" x14ac:dyDescent="0.3">
      <c r="A18" s="18"/>
      <c r="B18" s="21"/>
      <c r="C18" s="21"/>
      <c r="D18" s="21"/>
      <c r="E18" s="30" t="str">
        <v>I have © non-ascii in and around me</v>
      </c>
      <c r="F18" s="21"/>
      <c r="G18" s="21"/>
      <c r="H18" s="21"/>
      <c r="I18" s="21"/>
      <c r="J18" s="21"/>
      <c r="K18" s="21"/>
      <c r="L18" s="21"/>
      <c r="M18" s="21"/>
      <c r="N18" s="20"/>
      <c r="P18" s="484"/>
      <c r="Q18" s="484"/>
      <c r="R18" s="484"/>
      <c r="S18" s="484"/>
      <c r="T18" s="484"/>
      <c r="U18" s="484"/>
      <c r="V18" s="484"/>
      <c r="W18" s="484"/>
      <c r="X18" s="484"/>
      <c r="Y18" s="485"/>
    </row>
    <row r="19" spans="1:25" x14ac:dyDescent="0.3">
      <c r="A19" s="18"/>
      <c r="B19" s="21"/>
      <c r="C19" s="21"/>
      <c r="D19" s="21"/>
      <c r="E19" s="21"/>
      <c r="F19" s="21"/>
      <c r="G19" s="21"/>
      <c r="H19" s="21"/>
      <c r="I19" s="21"/>
      <c r="J19" s="21"/>
      <c r="K19" s="21"/>
      <c r="L19" s="21"/>
      <c r="M19" s="21"/>
      <c r="N19" s="20"/>
      <c r="P19" s="484"/>
      <c r="Q19" s="484"/>
      <c r="R19" s="484"/>
      <c r="S19" s="484"/>
      <c r="T19" s="484"/>
      <c r="U19" s="484"/>
      <c r="V19" s="484"/>
      <c r="W19" s="484"/>
      <c r="X19" s="484"/>
      <c r="Y19" s="485"/>
    </row>
    <row r="20" spans="1:25" x14ac:dyDescent="0.3">
      <c r="A20" s="18"/>
      <c r="B20" s="21"/>
      <c r="C20" s="21"/>
      <c r="D20" s="21"/>
      <c r="E20" s="21"/>
      <c r="F20" s="21"/>
      <c r="G20" s="21"/>
      <c r="H20" s="21"/>
      <c r="I20" s="21"/>
      <c r="J20" s="21"/>
      <c r="K20" s="21"/>
      <c r="L20" s="21"/>
      <c r="M20" s="21"/>
      <c r="N20" s="20"/>
      <c r="P20" s="484" t="s">
        <v>1444</v>
      </c>
      <c r="Q20" s="484"/>
      <c r="R20" s="484" t="s">
        <v>1453</v>
      </c>
      <c r="S20" s="484"/>
      <c r="T20" s="484"/>
      <c r="U20" s="484"/>
      <c r="V20" s="484"/>
      <c r="W20" s="484"/>
      <c r="X20" s="484"/>
      <c r="Y20" s="485" t="s">
        <v>326</v>
      </c>
    </row>
    <row r="21" spans="1:25" x14ac:dyDescent="0.3">
      <c r="A21" s="18"/>
      <c r="B21" s="21"/>
      <c r="C21" s="21"/>
      <c r="D21" s="21"/>
      <c r="E21" s="21"/>
      <c r="F21" s="21"/>
      <c r="G21" s="21"/>
      <c r="H21" s="21"/>
      <c r="I21" s="21"/>
      <c r="J21" s="21"/>
      <c r="K21" s="21"/>
      <c r="L21" s="21"/>
      <c r="M21" s="21"/>
      <c r="N21" s="20"/>
      <c r="P21" s="484"/>
      <c r="Q21" s="484"/>
      <c r="R21" s="484"/>
      <c r="S21" s="484"/>
      <c r="T21" s="484"/>
      <c r="U21" s="484"/>
      <c r="V21" s="484"/>
      <c r="W21" s="484"/>
      <c r="X21" s="484"/>
      <c r="Y21" s="485"/>
    </row>
    <row r="22" spans="1:25" x14ac:dyDescent="0.3">
      <c r="A22" s="18"/>
      <c r="B22" s="21"/>
      <c r="C22" s="21"/>
      <c r="D22" s="21"/>
      <c r="E22" s="101" t="s">
        <v>3458</v>
      </c>
      <c r="F22" s="21"/>
      <c r="G22" s="21"/>
      <c r="H22" s="21"/>
      <c r="I22" s="21"/>
      <c r="J22" s="21"/>
      <c r="K22" s="21"/>
      <c r="L22" s="21"/>
      <c r="M22" s="21"/>
      <c r="N22" s="20"/>
      <c r="P22" s="484"/>
      <c r="Q22" s="484"/>
      <c r="R22" s="484"/>
      <c r="S22" s="484"/>
      <c r="T22" s="484"/>
      <c r="U22" s="484"/>
      <c r="V22" s="484"/>
      <c r="W22" s="484"/>
      <c r="X22" s="484"/>
      <c r="Y22" s="485"/>
    </row>
    <row r="23" spans="1:25" x14ac:dyDescent="0.3">
      <c r="A23" s="18"/>
      <c r="B23" s="21"/>
      <c r="C23" s="21"/>
      <c r="D23" s="21"/>
      <c r="E23" s="30" t="str">
        <f t="array" ref="E23:E24">_xll.U.REMOVE_NON_ASCII($B$6:$B$7,TRUE,{TRUE,FALSE,TRUE})</f>
        <v>I have © non-ascii in me</v>
      </c>
      <c r="F23" s="21"/>
      <c r="G23" s="21"/>
      <c r="H23" s="21"/>
      <c r="I23" s="21"/>
      <c r="J23" s="21"/>
      <c r="K23" s="21"/>
      <c r="L23" s="21"/>
      <c r="M23" s="21"/>
      <c r="N23" s="20"/>
      <c r="P23" s="126" t="s">
        <v>328</v>
      </c>
    </row>
    <row r="24" spans="1:25" x14ac:dyDescent="0.3">
      <c r="A24" s="18"/>
      <c r="B24" s="21"/>
      <c r="C24" s="21"/>
      <c r="D24" s="21"/>
      <c r="E24" s="30" t="str">
        <v>I have © non-ascii in and around me →</v>
      </c>
      <c r="F24" s="21"/>
      <c r="G24" s="21"/>
      <c r="H24" s="21"/>
      <c r="I24" s="21"/>
      <c r="J24" s="21"/>
      <c r="K24" s="21"/>
      <c r="L24" s="21"/>
      <c r="M24" s="21"/>
      <c r="N24" s="20"/>
    </row>
    <row r="25" spans="1:25" x14ac:dyDescent="0.3">
      <c r="A25" s="18"/>
      <c r="C25" s="21"/>
      <c r="D25" s="21"/>
      <c r="E25" s="21"/>
      <c r="F25" s="21"/>
      <c r="G25" s="21"/>
      <c r="H25" s="21"/>
      <c r="I25" s="21"/>
      <c r="J25" s="21"/>
      <c r="K25" s="21"/>
      <c r="L25" s="21"/>
      <c r="M25" s="21"/>
      <c r="N25" s="20"/>
    </row>
    <row r="26" spans="1:25" x14ac:dyDescent="0.3">
      <c r="A26" s="18"/>
      <c r="B26" s="21"/>
      <c r="C26" s="21"/>
      <c r="D26" s="21"/>
      <c r="E26" s="21"/>
      <c r="F26" s="21"/>
      <c r="G26" s="21"/>
      <c r="H26" s="21"/>
      <c r="I26" s="21"/>
      <c r="J26" s="21"/>
      <c r="K26" s="21"/>
      <c r="L26" s="21"/>
      <c r="M26" s="21"/>
      <c r="N26" s="20"/>
    </row>
    <row r="27" spans="1:25" x14ac:dyDescent="0.3">
      <c r="A27" s="18"/>
      <c r="B27" s="21"/>
      <c r="C27" s="21"/>
      <c r="D27" s="21"/>
      <c r="E27" s="21"/>
      <c r="F27" s="21"/>
      <c r="G27" s="21"/>
      <c r="H27" s="21"/>
      <c r="I27" s="21"/>
      <c r="J27" s="21"/>
      <c r="K27" s="21"/>
      <c r="L27" s="21"/>
      <c r="M27" s="21"/>
      <c r="N27" s="20"/>
    </row>
    <row r="28" spans="1:25" x14ac:dyDescent="0.3">
      <c r="A28" s="18"/>
      <c r="B28" s="21"/>
      <c r="C28" s="21"/>
      <c r="D28" s="21"/>
      <c r="E28" s="101" t="s">
        <v>3458</v>
      </c>
      <c r="F28" s="21"/>
      <c r="G28" s="21"/>
      <c r="H28" s="21"/>
      <c r="I28" s="21"/>
      <c r="J28" s="21"/>
      <c r="K28" s="21"/>
      <c r="L28" s="21"/>
      <c r="M28" s="21"/>
      <c r="N28" s="20"/>
    </row>
    <row r="29" spans="1:25" x14ac:dyDescent="0.3">
      <c r="A29" s="18"/>
      <c r="B29" s="21"/>
      <c r="C29" s="21"/>
      <c r="D29" s="21"/>
      <c r="E29" s="30" t="str">
        <f t="array" ref="E29:E30">_xll.U.REMOVE_NON_ASCII($B$6:$B$7,,,"X")</f>
        <v xml:space="preserve">   I have X non-ascii in me</v>
      </c>
      <c r="F29" s="21"/>
      <c r="G29" s="21"/>
      <c r="H29" s="21"/>
      <c r="I29" s="21"/>
      <c r="J29" s="21"/>
      <c r="K29" s="21"/>
      <c r="L29" s="21"/>
      <c r="M29" s="21"/>
      <c r="N29" s="20"/>
    </row>
    <row r="30" spans="1:25" x14ac:dyDescent="0.3">
      <c r="A30" s="18"/>
      <c r="B30" s="21"/>
      <c r="C30" s="21"/>
      <c r="D30" s="21"/>
      <c r="E30" s="30" t="str">
        <v>X I have X non-ascii in and around me X</v>
      </c>
      <c r="F30" s="21"/>
      <c r="G30" s="21"/>
      <c r="H30" s="21"/>
      <c r="I30" s="21"/>
      <c r="J30" s="21"/>
      <c r="K30" s="21"/>
      <c r="L30" s="21"/>
      <c r="M30" s="21"/>
      <c r="N30" s="20"/>
    </row>
    <row r="31" spans="1:25" x14ac:dyDescent="0.3">
      <c r="A31" s="18"/>
      <c r="B31" s="21"/>
      <c r="C31" s="21"/>
      <c r="D31" s="21"/>
      <c r="E31" s="21"/>
      <c r="F31" s="21"/>
      <c r="G31" s="21"/>
      <c r="H31" s="21"/>
      <c r="I31" s="21"/>
      <c r="J31" s="21"/>
      <c r="K31" s="21"/>
      <c r="L31" s="21"/>
      <c r="M31" s="21"/>
      <c r="N31" s="20"/>
    </row>
    <row r="32" spans="1:25" x14ac:dyDescent="0.3">
      <c r="A32" s="18"/>
      <c r="B32" s="21"/>
      <c r="C32" s="21"/>
      <c r="D32" s="21"/>
      <c r="E32" s="21"/>
      <c r="F32" s="21"/>
      <c r="G32" s="21"/>
      <c r="H32" s="21"/>
      <c r="I32" s="21"/>
      <c r="J32" s="21"/>
      <c r="K32" s="21"/>
      <c r="L32" s="21"/>
      <c r="M32" s="21"/>
      <c r="N32" s="20"/>
    </row>
    <row r="33" spans="1:14" x14ac:dyDescent="0.3">
      <c r="A33" s="18"/>
      <c r="B33" s="21"/>
      <c r="C33" s="21"/>
      <c r="D33" s="21"/>
      <c r="E33" s="101" t="s">
        <v>3458</v>
      </c>
      <c r="F33" s="21"/>
      <c r="G33" s="21"/>
      <c r="H33" s="21"/>
      <c r="I33" s="21"/>
      <c r="J33" s="21"/>
      <c r="K33" s="21"/>
      <c r="L33" s="21"/>
      <c r="M33" s="21"/>
      <c r="N33" s="20"/>
    </row>
    <row r="34" spans="1:14" x14ac:dyDescent="0.3">
      <c r="A34" s="18"/>
      <c r="B34" s="21"/>
      <c r="C34" s="21"/>
      <c r="D34" s="21"/>
      <c r="E34" s="30" t="str">
        <f t="array" ref="E34:E35">_xll.U.REMOVE_NON_ASCII($B$6:$B$7,,,{"A","B","C"})</f>
        <v xml:space="preserve">   I have A non-ascii in me</v>
      </c>
      <c r="F34" s="21"/>
      <c r="G34" s="21"/>
      <c r="H34" s="21"/>
      <c r="I34" s="21"/>
      <c r="J34" s="21"/>
      <c r="K34" s="21"/>
      <c r="L34" s="21"/>
      <c r="M34" s="21"/>
      <c r="N34" s="20"/>
    </row>
    <row r="35" spans="1:14" x14ac:dyDescent="0.3">
      <c r="A35" s="18"/>
      <c r="C35" s="21"/>
      <c r="D35" s="21"/>
      <c r="E35" s="30" t="str">
        <v>B I have A non-ascii in and around me C</v>
      </c>
      <c r="F35" s="21"/>
      <c r="G35" s="21"/>
      <c r="H35" s="21"/>
      <c r="I35" s="21"/>
      <c r="J35" s="21"/>
      <c r="K35" s="21"/>
      <c r="L35" s="21"/>
      <c r="M35" s="21"/>
      <c r="N35" s="20"/>
    </row>
    <row r="36" spans="1:14" x14ac:dyDescent="0.3">
      <c r="A36" s="18"/>
      <c r="B36" s="21"/>
      <c r="C36" s="21"/>
      <c r="D36" s="21"/>
      <c r="E36" s="21"/>
      <c r="F36" s="21"/>
      <c r="G36" s="21"/>
      <c r="H36" s="21"/>
      <c r="I36" s="21"/>
      <c r="J36" s="21"/>
      <c r="K36" s="21"/>
      <c r="L36" s="21"/>
      <c r="M36" s="21"/>
      <c r="N36" s="20"/>
    </row>
    <row r="37" spans="1:14" x14ac:dyDescent="0.3">
      <c r="A37" s="18"/>
      <c r="B37" s="21"/>
      <c r="C37" s="21"/>
      <c r="D37" s="21"/>
      <c r="E37" s="21"/>
      <c r="F37" s="21"/>
      <c r="G37" s="21"/>
      <c r="H37" s="21"/>
      <c r="I37" s="21"/>
      <c r="J37" s="21"/>
      <c r="K37" s="21"/>
      <c r="L37" s="21"/>
      <c r="M37" s="21"/>
      <c r="N37" s="20"/>
    </row>
    <row r="38" spans="1:14" x14ac:dyDescent="0.3">
      <c r="A38" s="18"/>
      <c r="B38" s="21"/>
      <c r="C38" s="21"/>
      <c r="D38" s="21"/>
      <c r="E38" s="101" t="s">
        <v>3458</v>
      </c>
      <c r="F38" s="21"/>
      <c r="G38" s="21"/>
      <c r="H38" s="21"/>
      <c r="I38" s="21"/>
      <c r="J38" s="21"/>
      <c r="K38" s="21"/>
      <c r="L38" s="21"/>
      <c r="M38" s="21"/>
      <c r="N38" s="20"/>
    </row>
    <row r="39" spans="1:14" ht="28.8" x14ac:dyDescent="0.3">
      <c r="A39" s="18"/>
      <c r="B39" s="269" t="s">
        <v>1448</v>
      </c>
      <c r="C39" s="21"/>
      <c r="D39" s="21"/>
      <c r="E39" s="182" t="str">
        <f t="array" ref="E39">_xll.U.REMOVE_NON_ASCII(B39)</f>
        <v>abc
xyz</v>
      </c>
      <c r="F39" s="21"/>
      <c r="G39" s="21"/>
      <c r="H39" s="21"/>
      <c r="I39" s="21"/>
      <c r="J39" s="21"/>
      <c r="K39" s="21"/>
      <c r="L39" s="21"/>
      <c r="M39" s="21"/>
      <c r="N39" s="20"/>
    </row>
    <row r="40" spans="1:14" x14ac:dyDescent="0.3">
      <c r="A40" s="18"/>
      <c r="B40" s="21"/>
      <c r="C40" s="21"/>
      <c r="D40" s="21"/>
      <c r="E40" s="21"/>
      <c r="F40" s="21"/>
      <c r="G40" s="21"/>
      <c r="H40" s="21"/>
      <c r="I40" s="21"/>
      <c r="J40" s="21"/>
      <c r="K40" s="21"/>
      <c r="L40" s="21"/>
      <c r="M40" s="21"/>
      <c r="N40" s="20"/>
    </row>
    <row r="41" spans="1:14" x14ac:dyDescent="0.3">
      <c r="A41" s="18"/>
      <c r="C41" s="21"/>
      <c r="D41" s="21"/>
      <c r="E41" s="182" t="str" cm="1">
        <f t="array" ref="E41">_xll.U.REMOVE_NON_ASCII(B39,,,,TRUE)</f>
        <v>abcxyz</v>
      </c>
      <c r="F41" s="21"/>
      <c r="G41" s="21"/>
      <c r="H41" s="21"/>
      <c r="I41" s="21"/>
      <c r="J41" s="21"/>
      <c r="K41" s="21"/>
      <c r="L41" s="21"/>
      <c r="M41" s="21"/>
      <c r="N41" s="20"/>
    </row>
    <row r="42" spans="1:14" x14ac:dyDescent="0.3">
      <c r="A42" s="18"/>
      <c r="B42" s="21"/>
      <c r="C42" s="21"/>
      <c r="D42" s="21"/>
      <c r="E42" s="21"/>
      <c r="F42" s="21"/>
      <c r="G42" s="21"/>
      <c r="H42" s="21"/>
      <c r="I42" s="21"/>
      <c r="J42" s="21"/>
      <c r="K42" s="21"/>
      <c r="L42" s="21"/>
      <c r="M42" s="21"/>
      <c r="N42" s="20"/>
    </row>
    <row r="43" spans="1:14" x14ac:dyDescent="0.3">
      <c r="A43" s="18"/>
      <c r="B43" s="21"/>
      <c r="C43" s="21"/>
      <c r="D43" s="21"/>
      <c r="E43" s="21"/>
      <c r="F43" s="21"/>
      <c r="G43" s="21"/>
      <c r="H43" s="21"/>
      <c r="I43" s="21"/>
      <c r="J43" s="21"/>
      <c r="K43" s="21"/>
      <c r="L43" s="21"/>
      <c r="M43" s="21"/>
      <c r="N43" s="20"/>
    </row>
    <row r="44" spans="1:14" ht="15" thickBot="1" x14ac:dyDescent="0.35">
      <c r="A44" s="22"/>
      <c r="B44" s="23"/>
      <c r="C44" s="23"/>
      <c r="D44" s="23"/>
      <c r="E44" s="23"/>
      <c r="F44" s="23"/>
      <c r="G44" s="23"/>
      <c r="H44" s="23"/>
      <c r="I44" s="23"/>
      <c r="J44" s="23"/>
      <c r="K44" s="23"/>
      <c r="L44" s="23"/>
      <c r="M44" s="23"/>
      <c r="N44" s="24"/>
    </row>
  </sheetData>
  <mergeCells count="20">
    <mergeCell ref="P20:Q22"/>
    <mergeCell ref="R20:X22"/>
    <mergeCell ref="Y20:Y22"/>
    <mergeCell ref="P14:Q16"/>
    <mergeCell ref="R14:X16"/>
    <mergeCell ref="Y14:Y16"/>
    <mergeCell ref="P17:Q19"/>
    <mergeCell ref="R17:X19"/>
    <mergeCell ref="Y17:Y19"/>
    <mergeCell ref="P8:Q10"/>
    <mergeCell ref="R8:X10"/>
    <mergeCell ref="Y8:Y10"/>
    <mergeCell ref="P11:Q13"/>
    <mergeCell ref="R11:X13"/>
    <mergeCell ref="Y11:Y13"/>
    <mergeCell ref="P3:Y3"/>
    <mergeCell ref="P4:Q6"/>
    <mergeCell ref="R4:Y6"/>
    <mergeCell ref="P7:Q7"/>
    <mergeCell ref="R7:X7"/>
  </mergeCells>
  <pageMargins left="0.7" right="0.7" top="0.75" bottom="0.75" header="0.3" footer="0.3"/>
  <pageSetup orientation="portrait" verticalDpi="0"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dimension ref="A1:V14"/>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4.77734375" customWidth="1"/>
    <col min="3" max="3" width="36.44140625" bestFit="1" customWidth="1"/>
    <col min="4" max="4" width="32" bestFit="1" customWidth="1"/>
    <col min="5" max="6" width="10.21875" customWidth="1"/>
    <col min="15" max="21" width="12" customWidth="1"/>
  </cols>
  <sheetData>
    <row r="1" spans="1:22" ht="34.5" customHeight="1" thickBot="1" x14ac:dyDescent="0.35">
      <c r="A1" s="292" t="s">
        <v>1580</v>
      </c>
      <c r="B1" s="473" t="e" vm="1">
        <v>#VALUE!</v>
      </c>
      <c r="C1" s="8" t="s">
        <v>878</v>
      </c>
      <c r="D1" s="27"/>
      <c r="E1" s="16"/>
      <c r="F1" s="16"/>
      <c r="G1" s="16"/>
      <c r="H1" s="16"/>
      <c r="I1" s="16"/>
      <c r="J1" s="16"/>
      <c r="K1" s="19"/>
    </row>
    <row r="2" spans="1:22" ht="15" customHeight="1" x14ac:dyDescent="0.3">
      <c r="A2" s="18"/>
      <c r="B2" s="25"/>
      <c r="C2" s="25"/>
      <c r="D2" s="21"/>
      <c r="E2" s="21"/>
      <c r="F2" s="21"/>
      <c r="G2" s="21"/>
      <c r="H2" s="21"/>
      <c r="I2" s="21"/>
      <c r="J2" s="21"/>
      <c r="K2" s="20"/>
    </row>
    <row r="3" spans="1:22" x14ac:dyDescent="0.3">
      <c r="A3" s="18"/>
      <c r="B3" s="21"/>
      <c r="C3" s="21"/>
      <c r="D3" s="21"/>
      <c r="E3" s="21"/>
      <c r="F3" s="21"/>
      <c r="G3" s="21"/>
      <c r="H3" s="21"/>
      <c r="I3" s="21"/>
      <c r="J3" s="21"/>
      <c r="K3" s="20"/>
      <c r="M3" s="486" t="s">
        <v>3459</v>
      </c>
      <c r="N3" s="486"/>
      <c r="O3" s="486"/>
      <c r="P3" s="486"/>
      <c r="Q3" s="486"/>
      <c r="R3" s="486"/>
      <c r="S3" s="486"/>
      <c r="T3" s="486"/>
      <c r="U3" s="486"/>
      <c r="V3" s="486"/>
    </row>
    <row r="4" spans="1:22" x14ac:dyDescent="0.3">
      <c r="A4" s="18"/>
      <c r="B4" s="101" t="s">
        <v>305</v>
      </c>
      <c r="C4" s="21"/>
      <c r="D4" s="101" t="s">
        <v>3459</v>
      </c>
      <c r="E4" s="21"/>
      <c r="F4" s="21"/>
      <c r="G4" s="21"/>
      <c r="H4" s="21"/>
      <c r="I4" s="21"/>
      <c r="J4" s="21"/>
      <c r="K4" s="20"/>
      <c r="M4" s="487" t="s">
        <v>333</v>
      </c>
      <c r="N4" s="487"/>
      <c r="O4" s="487" t="s">
        <v>880</v>
      </c>
      <c r="P4" s="487"/>
      <c r="Q4" s="487"/>
      <c r="R4" s="487"/>
      <c r="S4" s="487"/>
      <c r="T4" s="487"/>
      <c r="U4" s="487"/>
      <c r="V4" s="487"/>
    </row>
    <row r="5" spans="1:22" x14ac:dyDescent="0.3">
      <c r="A5" s="18"/>
      <c r="B5" s="181" t="s">
        <v>879</v>
      </c>
      <c r="C5" s="21"/>
      <c r="D5" s="36" t="str">
        <f t="array" ref="D5">_xll.U.URL_ENCODE(B5)</f>
        <v>Some%25URL%23Param%20yeah</v>
      </c>
      <c r="E5" s="21"/>
      <c r="F5" s="21"/>
      <c r="G5" s="21"/>
      <c r="H5" s="21"/>
      <c r="I5" s="21"/>
      <c r="J5" s="21"/>
      <c r="K5" s="20"/>
      <c r="M5" s="487"/>
      <c r="N5" s="487"/>
      <c r="O5" s="487"/>
      <c r="P5" s="487"/>
      <c r="Q5" s="487"/>
      <c r="R5" s="487"/>
      <c r="S5" s="487"/>
      <c r="T5" s="487"/>
      <c r="U5" s="487"/>
      <c r="V5" s="487"/>
    </row>
    <row r="6" spans="1:22" x14ac:dyDescent="0.3">
      <c r="A6" s="18"/>
      <c r="B6" s="21"/>
      <c r="C6" s="21"/>
      <c r="D6" s="21"/>
      <c r="E6" s="21"/>
      <c r="F6" s="21"/>
      <c r="G6" s="21"/>
      <c r="H6" s="21"/>
      <c r="I6" s="21"/>
      <c r="J6" s="21"/>
      <c r="K6" s="20"/>
      <c r="M6" s="487"/>
      <c r="N6" s="487"/>
      <c r="O6" s="487"/>
      <c r="P6" s="487"/>
      <c r="Q6" s="487"/>
      <c r="R6" s="487"/>
      <c r="S6" s="487"/>
      <c r="T6" s="487"/>
      <c r="U6" s="487"/>
      <c r="V6" s="487"/>
    </row>
    <row r="7" spans="1:22" x14ac:dyDescent="0.3">
      <c r="A7" s="18"/>
      <c r="B7" s="21"/>
      <c r="C7" s="21"/>
      <c r="D7" s="21"/>
      <c r="E7" s="21"/>
      <c r="F7" s="21"/>
      <c r="G7" s="21"/>
      <c r="H7" s="21"/>
      <c r="I7" s="21"/>
      <c r="J7" s="21"/>
      <c r="K7" s="20"/>
      <c r="M7" s="483" t="s">
        <v>323</v>
      </c>
      <c r="N7" s="483"/>
      <c r="O7" s="483" t="s">
        <v>1</v>
      </c>
      <c r="P7" s="483"/>
      <c r="Q7" s="483"/>
      <c r="R7" s="483"/>
      <c r="S7" s="483"/>
      <c r="T7" s="483"/>
      <c r="U7" s="483"/>
      <c r="V7" s="85" t="s">
        <v>324</v>
      </c>
    </row>
    <row r="8" spans="1:22" ht="15" customHeight="1" x14ac:dyDescent="0.3">
      <c r="A8" s="18"/>
      <c r="B8" s="21"/>
      <c r="C8" s="21"/>
      <c r="D8" s="21"/>
      <c r="E8" s="21"/>
      <c r="F8" s="21"/>
      <c r="G8" s="21"/>
      <c r="H8" s="21"/>
      <c r="I8" s="21"/>
      <c r="J8" s="21"/>
      <c r="K8" s="20"/>
      <c r="M8" s="539" t="s">
        <v>499</v>
      </c>
      <c r="N8" s="541"/>
      <c r="O8" s="539" t="s">
        <v>974</v>
      </c>
      <c r="P8" s="540"/>
      <c r="Q8" s="540"/>
      <c r="R8" s="540"/>
      <c r="S8" s="540"/>
      <c r="T8" s="540"/>
      <c r="U8" s="541"/>
      <c r="V8" s="548" t="s">
        <v>325</v>
      </c>
    </row>
    <row r="9" spans="1:22" x14ac:dyDescent="0.3">
      <c r="A9" s="18"/>
      <c r="B9" s="21"/>
      <c r="C9" s="21"/>
      <c r="D9" s="21"/>
      <c r="E9" s="21"/>
      <c r="F9" s="21"/>
      <c r="G9" s="21"/>
      <c r="H9" s="21"/>
      <c r="I9" s="21"/>
      <c r="J9" s="21"/>
      <c r="K9" s="20"/>
      <c r="M9" s="542"/>
      <c r="N9" s="544"/>
      <c r="O9" s="542"/>
      <c r="P9" s="543"/>
      <c r="Q9" s="543"/>
      <c r="R9" s="543"/>
      <c r="S9" s="543"/>
      <c r="T9" s="543"/>
      <c r="U9" s="544"/>
      <c r="V9" s="549"/>
    </row>
    <row r="10" spans="1:22" x14ac:dyDescent="0.3">
      <c r="A10" s="18"/>
      <c r="B10" s="21"/>
      <c r="C10" s="21"/>
      <c r="D10" s="21"/>
      <c r="E10" s="21"/>
      <c r="F10" s="21"/>
      <c r="G10" s="21"/>
      <c r="H10" s="21"/>
      <c r="I10" s="21"/>
      <c r="J10" s="21"/>
      <c r="K10" s="20"/>
      <c r="M10" s="545"/>
      <c r="N10" s="547"/>
      <c r="O10" s="545"/>
      <c r="P10" s="546"/>
      <c r="Q10" s="546"/>
      <c r="R10" s="546"/>
      <c r="S10" s="546"/>
      <c r="T10" s="546"/>
      <c r="U10" s="547"/>
      <c r="V10" s="550"/>
    </row>
    <row r="11" spans="1:22" ht="15" customHeight="1" x14ac:dyDescent="0.3">
      <c r="A11" s="18"/>
      <c r="B11" s="21"/>
      <c r="C11" s="21"/>
      <c r="D11" s="101" t="s">
        <v>3459</v>
      </c>
      <c r="E11" s="21"/>
      <c r="F11" s="21"/>
      <c r="G11" s="21"/>
      <c r="H11" s="21"/>
      <c r="I11" s="21"/>
      <c r="J11" s="21"/>
      <c r="K11" s="20"/>
      <c r="M11" s="496" t="s">
        <v>2663</v>
      </c>
      <c r="N11" s="497"/>
      <c r="O11" s="496" t="s">
        <v>1635</v>
      </c>
      <c r="P11" s="502"/>
      <c r="Q11" s="502"/>
      <c r="R11" s="502"/>
      <c r="S11" s="502"/>
      <c r="T11" s="502"/>
      <c r="U11" s="497"/>
      <c r="V11" s="505" t="s">
        <v>326</v>
      </c>
    </row>
    <row r="12" spans="1:22" x14ac:dyDescent="0.3">
      <c r="A12" s="18"/>
      <c r="B12" s="21"/>
      <c r="C12" s="21"/>
      <c r="D12" s="36" t="str" cm="1">
        <f t="array" ref="D12">_xll.U.URL_ENCODE(URL_ENCODE,TRUE)</f>
        <v>Some%URL#Param yeah</v>
      </c>
      <c r="E12" s="21"/>
      <c r="F12" s="21"/>
      <c r="G12" s="21"/>
      <c r="H12" s="21"/>
      <c r="I12" s="21"/>
      <c r="J12" s="21"/>
      <c r="K12" s="20"/>
      <c r="M12" s="498"/>
      <c r="N12" s="499"/>
      <c r="O12" s="498"/>
      <c r="P12" s="503"/>
      <c r="Q12" s="503"/>
      <c r="R12" s="503"/>
      <c r="S12" s="503"/>
      <c r="T12" s="503"/>
      <c r="U12" s="499"/>
      <c r="V12" s="506"/>
    </row>
    <row r="13" spans="1:22" x14ac:dyDescent="0.3">
      <c r="A13" s="18"/>
      <c r="B13" s="117"/>
      <c r="C13" s="21"/>
      <c r="D13" s="123"/>
      <c r="E13" s="21"/>
      <c r="F13" s="21"/>
      <c r="G13" s="21"/>
      <c r="H13" s="21"/>
      <c r="I13" s="21"/>
      <c r="J13" s="21"/>
      <c r="K13" s="20"/>
      <c r="M13" s="500"/>
      <c r="N13" s="501"/>
      <c r="O13" s="500"/>
      <c r="P13" s="504"/>
      <c r="Q13" s="504"/>
      <c r="R13" s="504"/>
      <c r="S13" s="504"/>
      <c r="T13" s="504"/>
      <c r="U13" s="501"/>
      <c r="V13" s="507"/>
    </row>
    <row r="14" spans="1:22" ht="15" thickBot="1" x14ac:dyDescent="0.35">
      <c r="A14" s="22"/>
      <c r="B14" s="23"/>
      <c r="C14" s="23"/>
      <c r="D14" s="23"/>
      <c r="E14" s="23"/>
      <c r="F14" s="23"/>
      <c r="G14" s="23"/>
      <c r="H14" s="23"/>
      <c r="I14" s="23"/>
      <c r="J14" s="23"/>
      <c r="K14" s="24"/>
      <c r="M14" s="126" t="s">
        <v>328</v>
      </c>
    </row>
  </sheetData>
  <mergeCells count="11">
    <mergeCell ref="M11:N13"/>
    <mergeCell ref="O11:U13"/>
    <mergeCell ref="V11:V13"/>
    <mergeCell ref="M3:V3"/>
    <mergeCell ref="M4:N6"/>
    <mergeCell ref="O4:V6"/>
    <mergeCell ref="M7:N7"/>
    <mergeCell ref="O7:U7"/>
    <mergeCell ref="M8:N10"/>
    <mergeCell ref="O8:U10"/>
    <mergeCell ref="V8:V10"/>
  </mergeCells>
  <pageMargins left="0.7" right="0.7" top="0.75" bottom="0.75" header="0.3" footer="0.3"/>
  <pageSetup orientation="portrait" verticalDpi="0"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34930-61F5-48A7-B1A4-AAC2245CD7F7}">
  <sheetPr codeName="Sheet36"/>
  <dimension ref="A1:V90"/>
  <sheetViews>
    <sheetView workbookViewId="0">
      <pane ySplit="1" topLeftCell="A2" activePane="bottomLeft" state="frozen"/>
      <selection pane="bottomLeft" activeCell="A2" sqref="A2"/>
    </sheetView>
  </sheetViews>
  <sheetFormatPr defaultColWidth="9.21875" defaultRowHeight="14.4" x14ac:dyDescent="0.3"/>
  <cols>
    <col min="2" max="2" width="24.77734375" customWidth="1"/>
    <col min="3" max="3" width="31.21875" customWidth="1"/>
    <col min="4" max="4" width="32" bestFit="1" customWidth="1"/>
    <col min="5" max="11" width="9.77734375" customWidth="1"/>
    <col min="15" max="21" width="12" customWidth="1"/>
  </cols>
  <sheetData>
    <row r="1" spans="1:22" ht="34.5" customHeight="1" thickBot="1" x14ac:dyDescent="0.35">
      <c r="A1" s="292" t="s">
        <v>1580</v>
      </c>
      <c r="B1" s="473" t="e" vm="1">
        <v>#VALUE!</v>
      </c>
      <c r="C1" s="8" t="s">
        <v>2688</v>
      </c>
      <c r="D1" s="27"/>
      <c r="E1" s="16"/>
      <c r="F1" s="16"/>
      <c r="G1" s="16"/>
      <c r="H1" s="16"/>
      <c r="I1" s="16"/>
      <c r="J1" s="16"/>
      <c r="K1" s="19"/>
    </row>
    <row r="2" spans="1:22" ht="15" customHeight="1" x14ac:dyDescent="0.3">
      <c r="A2" s="18"/>
      <c r="B2" s="25"/>
      <c r="C2" s="25"/>
      <c r="D2" s="21"/>
      <c r="E2" s="21"/>
      <c r="F2" s="21"/>
      <c r="G2" s="21"/>
      <c r="H2" s="21"/>
      <c r="I2" s="21"/>
      <c r="J2" s="21"/>
      <c r="K2" s="20"/>
    </row>
    <row r="3" spans="1:22" ht="15" customHeight="1" x14ac:dyDescent="0.3">
      <c r="A3" s="18"/>
      <c r="B3" s="25"/>
      <c r="C3" s="25"/>
      <c r="D3" s="21"/>
      <c r="E3" s="21"/>
      <c r="F3" s="21"/>
      <c r="G3" s="21"/>
      <c r="H3" s="21"/>
      <c r="I3" s="21"/>
      <c r="J3" s="21"/>
      <c r="K3" s="20"/>
      <c r="M3" s="486" t="s">
        <v>3460</v>
      </c>
      <c r="N3" s="486"/>
      <c r="O3" s="486"/>
      <c r="P3" s="486"/>
      <c r="Q3" s="486"/>
      <c r="R3" s="486"/>
      <c r="S3" s="486"/>
      <c r="T3" s="486"/>
      <c r="U3" s="486"/>
      <c r="V3" s="486"/>
    </row>
    <row r="4" spans="1:22" ht="15" customHeight="1" x14ac:dyDescent="0.3">
      <c r="A4" s="18"/>
      <c r="B4" s="101" t="s">
        <v>2690</v>
      </c>
      <c r="C4" s="25"/>
      <c r="D4" s="101" t="s">
        <v>3460</v>
      </c>
      <c r="E4" s="21"/>
      <c r="F4" s="21"/>
      <c r="G4" s="21"/>
      <c r="H4" s="21"/>
      <c r="I4" s="21"/>
      <c r="J4" s="21"/>
      <c r="K4" s="20"/>
      <c r="M4" s="487" t="s">
        <v>333</v>
      </c>
      <c r="N4" s="487"/>
      <c r="O4" s="487" t="s">
        <v>2692</v>
      </c>
      <c r="P4" s="487"/>
      <c r="Q4" s="487"/>
      <c r="R4" s="487"/>
      <c r="S4" s="487"/>
      <c r="T4" s="487"/>
      <c r="U4" s="487"/>
      <c r="V4" s="487"/>
    </row>
    <row r="5" spans="1:22" ht="15" customHeight="1" x14ac:dyDescent="0.3">
      <c r="A5" s="18"/>
      <c r="B5" s="181">
        <v>123</v>
      </c>
      <c r="C5" s="25"/>
      <c r="D5" s="161" cm="1">
        <f t="array" ref="D5">_xll.U.COMPARE(B8,B5)</f>
        <v>-1</v>
      </c>
      <c r="E5" s="21"/>
      <c r="F5" s="21"/>
      <c r="G5" s="21"/>
      <c r="H5" s="21"/>
      <c r="I5" s="21"/>
      <c r="J5" s="21"/>
      <c r="K5" s="20"/>
      <c r="M5" s="487"/>
      <c r="N5" s="487"/>
      <c r="O5" s="487"/>
      <c r="P5" s="487"/>
      <c r="Q5" s="487"/>
      <c r="R5" s="487"/>
      <c r="S5" s="487"/>
      <c r="T5" s="487"/>
      <c r="U5" s="487"/>
      <c r="V5" s="487"/>
    </row>
    <row r="6" spans="1:22" ht="15" customHeight="1" x14ac:dyDescent="0.3">
      <c r="A6" s="18"/>
      <c r="B6" s="21"/>
      <c r="C6" s="25"/>
      <c r="D6" s="21"/>
      <c r="E6" s="21"/>
      <c r="F6" s="21"/>
      <c r="G6" s="21"/>
      <c r="H6" s="21"/>
      <c r="I6" s="21"/>
      <c r="J6" s="21"/>
      <c r="K6" s="20"/>
      <c r="M6" s="487"/>
      <c r="N6" s="487"/>
      <c r="O6" s="487"/>
      <c r="P6" s="487"/>
      <c r="Q6" s="487"/>
      <c r="R6" s="487"/>
      <c r="S6" s="487"/>
      <c r="T6" s="487"/>
      <c r="U6" s="487"/>
      <c r="V6" s="487"/>
    </row>
    <row r="7" spans="1:22" ht="15" customHeight="1" x14ac:dyDescent="0.3">
      <c r="A7" s="18"/>
      <c r="B7" s="101" t="s">
        <v>691</v>
      </c>
      <c r="C7" s="25"/>
      <c r="D7" s="21"/>
      <c r="E7" s="21"/>
      <c r="F7" s="21"/>
      <c r="G7" s="21"/>
      <c r="H7" s="21"/>
      <c r="I7" s="21"/>
      <c r="J7" s="21"/>
      <c r="K7" s="20"/>
      <c r="M7" s="483" t="s">
        <v>323</v>
      </c>
      <c r="N7" s="483"/>
      <c r="O7" s="483" t="s">
        <v>1</v>
      </c>
      <c r="P7" s="483"/>
      <c r="Q7" s="483"/>
      <c r="R7" s="483"/>
      <c r="S7" s="483"/>
      <c r="T7" s="483"/>
      <c r="U7" s="483"/>
      <c r="V7" s="85" t="s">
        <v>324</v>
      </c>
    </row>
    <row r="8" spans="1:22" ht="15" customHeight="1" x14ac:dyDescent="0.3">
      <c r="A8" s="18"/>
      <c r="B8" s="181">
        <v>98</v>
      </c>
      <c r="C8" s="25"/>
      <c r="D8" s="21"/>
      <c r="E8" s="21"/>
      <c r="F8" s="21"/>
      <c r="G8" s="21"/>
      <c r="H8" s="21"/>
      <c r="I8" s="21"/>
      <c r="J8" s="21"/>
      <c r="K8" s="20"/>
      <c r="M8" s="539" t="s">
        <v>697</v>
      </c>
      <c r="N8" s="541"/>
      <c r="O8" s="539" t="s">
        <v>2699</v>
      </c>
      <c r="P8" s="540"/>
      <c r="Q8" s="540"/>
      <c r="R8" s="540"/>
      <c r="S8" s="540"/>
      <c r="T8" s="540"/>
      <c r="U8" s="541"/>
      <c r="V8" s="548" t="s">
        <v>325</v>
      </c>
    </row>
    <row r="9" spans="1:22" ht="15" customHeight="1" x14ac:dyDescent="0.3">
      <c r="A9" s="18"/>
      <c r="B9" s="25"/>
      <c r="C9" s="25"/>
      <c r="D9" s="21"/>
      <c r="E9" s="21"/>
      <c r="F9" s="21"/>
      <c r="G9" s="21"/>
      <c r="H9" s="21"/>
      <c r="I9" s="21"/>
      <c r="J9" s="21"/>
      <c r="K9" s="20"/>
      <c r="M9" s="542"/>
      <c r="N9" s="544"/>
      <c r="O9" s="542"/>
      <c r="P9" s="543"/>
      <c r="Q9" s="543"/>
      <c r="R9" s="543"/>
      <c r="S9" s="543"/>
      <c r="T9" s="543"/>
      <c r="U9" s="544"/>
      <c r="V9" s="549"/>
    </row>
    <row r="10" spans="1:22" ht="15" customHeight="1" x14ac:dyDescent="0.3">
      <c r="A10" s="18"/>
      <c r="B10" s="25"/>
      <c r="C10" s="25"/>
      <c r="D10" s="21"/>
      <c r="E10" s="21"/>
      <c r="F10" s="21"/>
      <c r="G10" s="21"/>
      <c r="H10" s="21"/>
      <c r="I10" s="21"/>
      <c r="J10" s="21"/>
      <c r="K10" s="20"/>
      <c r="M10" s="545"/>
      <c r="N10" s="547"/>
      <c r="O10" s="545"/>
      <c r="P10" s="546"/>
      <c r="Q10" s="546"/>
      <c r="R10" s="546"/>
      <c r="S10" s="546"/>
      <c r="T10" s="546"/>
      <c r="U10" s="547"/>
      <c r="V10" s="550"/>
    </row>
    <row r="11" spans="1:22" ht="15" customHeight="1" x14ac:dyDescent="0.3">
      <c r="A11" s="18"/>
      <c r="B11" s="25"/>
      <c r="C11" s="25"/>
      <c r="D11" s="21"/>
      <c r="E11" s="21"/>
      <c r="F11" s="21"/>
      <c r="G11" s="21"/>
      <c r="H11" s="21"/>
      <c r="I11" s="21"/>
      <c r="J11" s="21"/>
      <c r="K11" s="20"/>
      <c r="M11" s="539" t="s">
        <v>2691</v>
      </c>
      <c r="N11" s="541"/>
      <c r="O11" s="539" t="s">
        <v>2698</v>
      </c>
      <c r="P11" s="540"/>
      <c r="Q11" s="540"/>
      <c r="R11" s="540"/>
      <c r="S11" s="540"/>
      <c r="T11" s="540"/>
      <c r="U11" s="541"/>
      <c r="V11" s="548" t="s">
        <v>325</v>
      </c>
    </row>
    <row r="12" spans="1:22" ht="15" customHeight="1" x14ac:dyDescent="0.3">
      <c r="A12" s="18"/>
      <c r="B12" s="25"/>
      <c r="C12" s="25"/>
      <c r="D12" s="21"/>
      <c r="E12" s="21"/>
      <c r="F12" s="21"/>
      <c r="G12" s="21"/>
      <c r="H12" s="21"/>
      <c r="I12" s="21"/>
      <c r="J12" s="21"/>
      <c r="K12" s="20"/>
      <c r="M12" s="542"/>
      <c r="N12" s="544"/>
      <c r="O12" s="542"/>
      <c r="P12" s="543"/>
      <c r="Q12" s="543"/>
      <c r="R12" s="543"/>
      <c r="S12" s="543"/>
      <c r="T12" s="543"/>
      <c r="U12" s="544"/>
      <c r="V12" s="549"/>
    </row>
    <row r="13" spans="1:22" ht="15" customHeight="1" x14ac:dyDescent="0.3">
      <c r="A13" s="18"/>
      <c r="B13" s="25"/>
      <c r="C13" s="25"/>
      <c r="D13" s="21"/>
      <c r="E13" s="21"/>
      <c r="F13" s="21"/>
      <c r="G13" s="21"/>
      <c r="H13" s="21"/>
      <c r="I13" s="21"/>
      <c r="J13" s="21"/>
      <c r="K13" s="20"/>
      <c r="M13" s="545"/>
      <c r="N13" s="547"/>
      <c r="O13" s="545"/>
      <c r="P13" s="546"/>
      <c r="Q13" s="546"/>
      <c r="R13" s="546"/>
      <c r="S13" s="546"/>
      <c r="T13" s="546"/>
      <c r="U13" s="547"/>
      <c r="V13" s="550"/>
    </row>
    <row r="14" spans="1:22" ht="15" customHeight="1" x14ac:dyDescent="0.3">
      <c r="A14" s="18"/>
      <c r="B14" s="25"/>
      <c r="C14" s="25"/>
      <c r="D14" s="21"/>
      <c r="E14" s="21"/>
      <c r="F14" s="21"/>
      <c r="G14" s="21"/>
      <c r="H14" s="21"/>
      <c r="I14" s="21"/>
      <c r="J14" s="21"/>
      <c r="K14" s="20"/>
      <c r="M14" s="496" t="s">
        <v>2689</v>
      </c>
      <c r="N14" s="497"/>
      <c r="O14" s="496" t="s">
        <v>3112</v>
      </c>
      <c r="P14" s="502"/>
      <c r="Q14" s="502"/>
      <c r="R14" s="502"/>
      <c r="S14" s="502"/>
      <c r="T14" s="502"/>
      <c r="U14" s="497"/>
      <c r="V14" s="505" t="s">
        <v>326</v>
      </c>
    </row>
    <row r="15" spans="1:22" ht="15" customHeight="1" x14ac:dyDescent="0.3">
      <c r="A15" s="18"/>
      <c r="B15" s="101" t="s">
        <v>2702</v>
      </c>
      <c r="C15" s="25"/>
      <c r="D15" s="101" t="s">
        <v>3460</v>
      </c>
      <c r="E15" s="21"/>
      <c r="F15" s="21"/>
      <c r="G15" s="21"/>
      <c r="H15" s="21"/>
      <c r="I15" s="21"/>
      <c r="J15" s="21"/>
      <c r="K15" s="20"/>
      <c r="M15" s="498"/>
      <c r="N15" s="499"/>
      <c r="O15" s="498"/>
      <c r="P15" s="503"/>
      <c r="Q15" s="503"/>
      <c r="R15" s="503"/>
      <c r="S15" s="503"/>
      <c r="T15" s="503"/>
      <c r="U15" s="499"/>
      <c r="V15" s="506"/>
    </row>
    <row r="16" spans="1:22" ht="15" customHeight="1" x14ac:dyDescent="0.3">
      <c r="A16" s="18"/>
      <c r="B16" s="181">
        <v>98</v>
      </c>
      <c r="C16" s="25"/>
      <c r="D16" s="161">
        <f t="array" ref="D16:D17">_xll.U.COMPARE(B16:B17,B5,,TRUE)</f>
        <v>1</v>
      </c>
      <c r="E16" s="21"/>
      <c r="F16" s="21"/>
      <c r="G16" s="21"/>
      <c r="H16" s="21"/>
      <c r="I16" s="21"/>
      <c r="J16" s="21"/>
      <c r="K16" s="20"/>
      <c r="M16" s="500"/>
      <c r="N16" s="501"/>
      <c r="O16" s="500"/>
      <c r="P16" s="504"/>
      <c r="Q16" s="504"/>
      <c r="R16" s="504"/>
      <c r="S16" s="504"/>
      <c r="T16" s="504"/>
      <c r="U16" s="501"/>
      <c r="V16" s="507"/>
    </row>
    <row r="17" spans="1:22" ht="15" customHeight="1" x14ac:dyDescent="0.3">
      <c r="A17" s="18"/>
      <c r="B17" s="181">
        <v>122</v>
      </c>
      <c r="C17" s="25"/>
      <c r="D17" s="30">
        <v>-1</v>
      </c>
      <c r="E17" s="21"/>
      <c r="F17" s="21"/>
      <c r="G17" s="21"/>
      <c r="H17" s="21"/>
      <c r="I17" s="21"/>
      <c r="J17" s="21"/>
      <c r="K17" s="20"/>
      <c r="M17" s="496" t="s">
        <v>2611</v>
      </c>
      <c r="N17" s="497"/>
      <c r="O17" s="496" t="s">
        <v>2700</v>
      </c>
      <c r="P17" s="502"/>
      <c r="Q17" s="502"/>
      <c r="R17" s="502"/>
      <c r="S17" s="502"/>
      <c r="T17" s="502"/>
      <c r="U17" s="497"/>
      <c r="V17" s="505" t="s">
        <v>326</v>
      </c>
    </row>
    <row r="18" spans="1:22" ht="15" customHeight="1" x14ac:dyDescent="0.3">
      <c r="A18" s="18"/>
      <c r="B18" s="25"/>
      <c r="C18" s="25"/>
      <c r="D18" s="21"/>
      <c r="E18" s="21"/>
      <c r="F18" s="21"/>
      <c r="G18" s="21"/>
      <c r="H18" s="21"/>
      <c r="I18" s="21"/>
      <c r="J18" s="21"/>
      <c r="K18" s="20"/>
      <c r="M18" s="498"/>
      <c r="N18" s="499"/>
      <c r="O18" s="498"/>
      <c r="P18" s="503"/>
      <c r="Q18" s="503"/>
      <c r="R18" s="503"/>
      <c r="S18" s="503"/>
      <c r="T18" s="503"/>
      <c r="U18" s="499"/>
      <c r="V18" s="506"/>
    </row>
    <row r="19" spans="1:22" ht="15" customHeight="1" x14ac:dyDescent="0.3">
      <c r="A19" s="18"/>
      <c r="B19" s="25"/>
      <c r="C19" s="25"/>
      <c r="D19" s="21"/>
      <c r="E19" s="21"/>
      <c r="F19" s="21"/>
      <c r="G19" s="21"/>
      <c r="H19" s="21"/>
      <c r="I19" s="21"/>
      <c r="J19" s="21"/>
      <c r="K19" s="20"/>
      <c r="M19" s="500"/>
      <c r="N19" s="501"/>
      <c r="O19" s="500"/>
      <c r="P19" s="504"/>
      <c r="Q19" s="504"/>
      <c r="R19" s="504"/>
      <c r="S19" s="504"/>
      <c r="T19" s="504"/>
      <c r="U19" s="501"/>
      <c r="V19" s="507"/>
    </row>
    <row r="20" spans="1:22" ht="15" customHeight="1" x14ac:dyDescent="0.3">
      <c r="A20" s="18"/>
      <c r="B20" s="25"/>
      <c r="C20" s="25"/>
      <c r="D20" s="21"/>
      <c r="E20" s="21"/>
      <c r="F20" s="21"/>
      <c r="G20" s="21"/>
      <c r="H20" s="21"/>
      <c r="I20" s="21"/>
      <c r="J20" s="21"/>
      <c r="K20" s="20"/>
      <c r="M20" s="496" t="s">
        <v>2611</v>
      </c>
      <c r="N20" s="497"/>
      <c r="O20" s="496" t="s">
        <v>2701</v>
      </c>
      <c r="P20" s="502"/>
      <c r="Q20" s="502"/>
      <c r="R20" s="502"/>
      <c r="S20" s="502"/>
      <c r="T20" s="502"/>
      <c r="U20" s="497"/>
      <c r="V20" s="505" t="s">
        <v>326</v>
      </c>
    </row>
    <row r="21" spans="1:22" ht="15" customHeight="1" x14ac:dyDescent="0.3">
      <c r="A21" s="18"/>
      <c r="B21" s="25"/>
      <c r="C21" s="25"/>
      <c r="D21" s="21"/>
      <c r="E21" s="21"/>
      <c r="F21" s="21"/>
      <c r="G21" s="21"/>
      <c r="H21" s="21"/>
      <c r="I21" s="21"/>
      <c r="J21" s="21"/>
      <c r="K21" s="20"/>
      <c r="M21" s="498"/>
      <c r="N21" s="499"/>
      <c r="O21" s="498"/>
      <c r="P21" s="503"/>
      <c r="Q21" s="503"/>
      <c r="R21" s="503"/>
      <c r="S21" s="503"/>
      <c r="T21" s="503"/>
      <c r="U21" s="499"/>
      <c r="V21" s="506"/>
    </row>
    <row r="22" spans="1:22" ht="15" customHeight="1" x14ac:dyDescent="0.3">
      <c r="A22" s="18"/>
      <c r="B22" s="101" t="s">
        <v>2690</v>
      </c>
      <c r="C22" s="25"/>
      <c r="D22" s="101" t="s">
        <v>3460</v>
      </c>
      <c r="E22" s="21"/>
      <c r="F22" s="21"/>
      <c r="G22" s="21"/>
      <c r="H22" s="21"/>
      <c r="I22" s="21"/>
      <c r="J22" s="21"/>
      <c r="K22" s="20"/>
      <c r="M22" s="500"/>
      <c r="N22" s="501"/>
      <c r="O22" s="500"/>
      <c r="P22" s="504"/>
      <c r="Q22" s="504"/>
      <c r="R22" s="504"/>
      <c r="S22" s="504"/>
      <c r="T22" s="504"/>
      <c r="U22" s="501"/>
      <c r="V22" s="507"/>
    </row>
    <row r="23" spans="1:22" ht="15" customHeight="1" x14ac:dyDescent="0.3">
      <c r="A23" s="18"/>
      <c r="B23" s="181" t="s">
        <v>2694</v>
      </c>
      <c r="C23" s="25"/>
      <c r="D23" s="161">
        <f t="array" ref="D23:D26">_xll.U.COMPARE(B27:B30,B23,,,TRUE)</f>
        <v>-1</v>
      </c>
      <c r="E23" s="21"/>
      <c r="F23" s="21"/>
      <c r="G23" s="21"/>
      <c r="H23" s="21"/>
      <c r="I23" s="21"/>
      <c r="J23" s="21"/>
      <c r="K23" s="20"/>
      <c r="M23" s="496" t="s">
        <v>2611</v>
      </c>
      <c r="N23" s="497"/>
      <c r="O23" s="496" t="s">
        <v>2701</v>
      </c>
      <c r="P23" s="502"/>
      <c r="Q23" s="502"/>
      <c r="R23" s="502"/>
      <c r="S23" s="502"/>
      <c r="T23" s="502"/>
      <c r="U23" s="497"/>
      <c r="V23" s="505" t="s">
        <v>326</v>
      </c>
    </row>
    <row r="24" spans="1:22" ht="15" customHeight="1" x14ac:dyDescent="0.3">
      <c r="A24" s="18"/>
      <c r="B24" s="25"/>
      <c r="C24" s="25"/>
      <c r="D24" s="30">
        <v>1</v>
      </c>
      <c r="E24" s="21"/>
      <c r="F24" s="21"/>
      <c r="G24" s="21"/>
      <c r="H24" s="21"/>
      <c r="I24" s="21"/>
      <c r="J24" s="21"/>
      <c r="K24" s="20"/>
      <c r="M24" s="498"/>
      <c r="N24" s="499"/>
      <c r="O24" s="498"/>
      <c r="P24" s="503"/>
      <c r="Q24" s="503"/>
      <c r="R24" s="503"/>
      <c r="S24" s="503"/>
      <c r="T24" s="503"/>
      <c r="U24" s="499"/>
      <c r="V24" s="506"/>
    </row>
    <row r="25" spans="1:22" ht="15" customHeight="1" x14ac:dyDescent="0.3">
      <c r="A25" s="18"/>
      <c r="B25" s="25"/>
      <c r="C25" s="25"/>
      <c r="D25" s="30">
        <v>0</v>
      </c>
      <c r="E25" s="21"/>
      <c r="F25" s="21"/>
      <c r="G25" s="21"/>
      <c r="H25" s="21"/>
      <c r="I25" s="21"/>
      <c r="J25" s="21"/>
      <c r="K25" s="20"/>
      <c r="M25" s="500"/>
      <c r="N25" s="501"/>
      <c r="O25" s="500"/>
      <c r="P25" s="504"/>
      <c r="Q25" s="504"/>
      <c r="R25" s="504"/>
      <c r="S25" s="504"/>
      <c r="T25" s="504"/>
      <c r="U25" s="501"/>
      <c r="V25" s="507"/>
    </row>
    <row r="26" spans="1:22" ht="15" customHeight="1" x14ac:dyDescent="0.3">
      <c r="A26" s="18"/>
      <c r="B26" s="101" t="s">
        <v>2702</v>
      </c>
      <c r="C26" s="25"/>
      <c r="D26" s="30">
        <v>-1</v>
      </c>
      <c r="E26" s="21"/>
      <c r="F26" s="21"/>
      <c r="G26" s="21"/>
      <c r="H26" s="21"/>
      <c r="I26" s="21"/>
      <c r="J26" s="21"/>
      <c r="K26" s="20"/>
      <c r="M26" s="126" t="s">
        <v>328</v>
      </c>
    </row>
    <row r="27" spans="1:22" ht="15" customHeight="1" x14ac:dyDescent="0.3">
      <c r="A27" s="18"/>
      <c r="B27" s="181" t="s">
        <v>2695</v>
      </c>
      <c r="C27" s="25"/>
      <c r="D27" s="21"/>
      <c r="E27" s="21"/>
      <c r="F27" s="21"/>
      <c r="G27" s="21"/>
      <c r="H27" s="21"/>
      <c r="I27" s="21"/>
      <c r="J27" s="21"/>
      <c r="K27" s="20"/>
    </row>
    <row r="28" spans="1:22" ht="15" customHeight="1" x14ac:dyDescent="0.3">
      <c r="A28" s="18"/>
      <c r="B28" s="181" t="s">
        <v>2696</v>
      </c>
      <c r="C28" s="25"/>
      <c r="D28" s="21"/>
      <c r="E28" s="21"/>
      <c r="F28" s="21"/>
      <c r="G28" s="21"/>
      <c r="H28" s="21"/>
      <c r="I28" s="21"/>
      <c r="J28" s="21"/>
      <c r="K28" s="20"/>
    </row>
    <row r="29" spans="1:22" ht="15" customHeight="1" x14ac:dyDescent="0.3">
      <c r="A29" s="18"/>
      <c r="B29" s="181" t="s">
        <v>2694</v>
      </c>
      <c r="C29" s="25"/>
      <c r="D29" s="21"/>
      <c r="E29" s="21"/>
      <c r="F29" s="21"/>
      <c r="G29" s="21"/>
      <c r="H29" s="21"/>
      <c r="I29" s="21"/>
      <c r="J29" s="21"/>
      <c r="K29" s="20"/>
    </row>
    <row r="30" spans="1:22" ht="15" customHeight="1" x14ac:dyDescent="0.3">
      <c r="A30" s="18"/>
      <c r="B30" s="181" t="e">
        <f>NA()</f>
        <v>#N/A</v>
      </c>
      <c r="C30" s="25"/>
      <c r="D30" s="21"/>
      <c r="E30" s="21"/>
      <c r="F30" s="21"/>
      <c r="G30" s="21"/>
      <c r="H30" s="21"/>
      <c r="I30" s="21"/>
      <c r="J30" s="21"/>
      <c r="K30" s="20"/>
    </row>
    <row r="31" spans="1:22" ht="15" customHeight="1" x14ac:dyDescent="0.3">
      <c r="A31" s="18"/>
      <c r="B31" s="25"/>
      <c r="C31" s="25"/>
      <c r="D31" s="21"/>
      <c r="E31" s="21"/>
      <c r="F31" s="21"/>
      <c r="G31" s="21"/>
      <c r="H31" s="21"/>
      <c r="I31" s="21"/>
      <c r="J31" s="21"/>
      <c r="K31" s="20"/>
    </row>
    <row r="32" spans="1:22" ht="15" customHeight="1" x14ac:dyDescent="0.3">
      <c r="A32" s="18"/>
      <c r="B32" s="490" t="s">
        <v>2697</v>
      </c>
      <c r="C32" s="491"/>
      <c r="D32" s="491"/>
      <c r="E32" s="491"/>
      <c r="F32" s="491"/>
      <c r="G32" s="491"/>
      <c r="H32" s="491"/>
      <c r="I32" s="491"/>
      <c r="J32" s="491"/>
      <c r="K32" s="20"/>
    </row>
    <row r="33" spans="1:11" ht="15" customHeight="1" x14ac:dyDescent="0.3">
      <c r="A33" s="18"/>
      <c r="B33" s="25"/>
      <c r="C33" s="25"/>
      <c r="D33" s="21"/>
      <c r="E33" s="21"/>
      <c r="F33" s="21"/>
      <c r="G33" s="21"/>
      <c r="H33" s="21"/>
      <c r="I33" s="21"/>
      <c r="J33" s="21"/>
      <c r="K33" s="20"/>
    </row>
    <row r="34" spans="1:11" x14ac:dyDescent="0.3">
      <c r="A34" s="18"/>
      <c r="B34" s="21"/>
      <c r="C34" s="21"/>
      <c r="D34" s="21"/>
      <c r="E34" s="21"/>
      <c r="F34" s="21"/>
      <c r="G34" s="21"/>
      <c r="H34" s="21"/>
      <c r="I34" s="21"/>
      <c r="J34" s="21"/>
      <c r="K34" s="20"/>
    </row>
    <row r="35" spans="1:11" x14ac:dyDescent="0.3">
      <c r="A35" s="18"/>
      <c r="B35" s="101" t="s">
        <v>2690</v>
      </c>
      <c r="C35" s="21"/>
      <c r="D35" s="101" t="s">
        <v>3460</v>
      </c>
      <c r="E35" s="21"/>
      <c r="F35" s="21"/>
      <c r="G35" s="21"/>
      <c r="H35" s="21"/>
      <c r="I35" s="21"/>
      <c r="J35" s="21"/>
      <c r="K35" s="20"/>
    </row>
    <row r="36" spans="1:11" x14ac:dyDescent="0.3">
      <c r="A36" s="18"/>
      <c r="B36" s="181" t="s">
        <v>2684</v>
      </c>
      <c r="C36" s="21"/>
      <c r="D36" s="161" cm="1">
        <f t="array" ref="D36">_xll.U.COMPARE(B39,B36,"edit_distance")</f>
        <v>2</v>
      </c>
      <c r="E36" s="21"/>
      <c r="F36" s="21"/>
      <c r="G36" s="21"/>
      <c r="H36" s="21"/>
      <c r="I36" s="21"/>
      <c r="J36" s="21"/>
      <c r="K36" s="20"/>
    </row>
    <row r="37" spans="1:11" x14ac:dyDescent="0.3">
      <c r="A37" s="18"/>
      <c r="B37" s="21"/>
      <c r="C37" s="21"/>
      <c r="D37" s="21"/>
      <c r="E37" s="21"/>
      <c r="F37" s="21"/>
      <c r="G37" s="21"/>
      <c r="H37" s="21"/>
      <c r="I37" s="21"/>
      <c r="J37" s="21"/>
      <c r="K37" s="20"/>
    </row>
    <row r="38" spans="1:11" x14ac:dyDescent="0.3">
      <c r="A38" s="18"/>
      <c r="B38" s="101" t="s">
        <v>691</v>
      </c>
      <c r="C38" s="21"/>
      <c r="D38" s="21"/>
      <c r="E38" s="21"/>
      <c r="F38" s="21"/>
      <c r="G38" s="21"/>
      <c r="H38" s="21"/>
      <c r="I38" s="21"/>
      <c r="J38" s="21"/>
      <c r="K38" s="20"/>
    </row>
    <row r="39" spans="1:11" x14ac:dyDescent="0.3">
      <c r="A39" s="18"/>
      <c r="B39" s="181" t="s">
        <v>2685</v>
      </c>
      <c r="C39" s="21"/>
      <c r="D39" s="21"/>
      <c r="E39" s="21"/>
      <c r="F39" s="21"/>
      <c r="G39" s="21"/>
      <c r="H39" s="21"/>
      <c r="I39" s="21"/>
      <c r="J39" s="21"/>
      <c r="K39" s="20"/>
    </row>
    <row r="40" spans="1:11" x14ac:dyDescent="0.3">
      <c r="A40" s="18"/>
      <c r="B40" s="21"/>
      <c r="C40" s="21"/>
      <c r="D40" s="21"/>
      <c r="E40" s="21"/>
      <c r="F40" s="21"/>
      <c r="G40" s="21"/>
      <c r="H40" s="21"/>
      <c r="I40" s="21"/>
      <c r="J40" s="21"/>
      <c r="K40" s="20"/>
    </row>
    <row r="41" spans="1:11" x14ac:dyDescent="0.3">
      <c r="A41" s="18"/>
      <c r="B41" s="21"/>
      <c r="C41" s="21"/>
      <c r="D41" s="21"/>
      <c r="E41" s="21"/>
      <c r="F41" s="21"/>
      <c r="G41" s="21"/>
      <c r="H41" s="21"/>
      <c r="I41" s="21"/>
      <c r="J41" s="21"/>
      <c r="K41" s="20"/>
    </row>
    <row r="42" spans="1:11" x14ac:dyDescent="0.3">
      <c r="A42" s="18"/>
      <c r="B42" s="21"/>
      <c r="C42" s="21"/>
      <c r="D42" s="21"/>
      <c r="E42" s="21"/>
      <c r="F42" s="21"/>
      <c r="G42" s="21"/>
      <c r="H42" s="21"/>
      <c r="I42" s="21"/>
      <c r="J42" s="21"/>
      <c r="K42" s="20"/>
    </row>
    <row r="43" spans="1:11" x14ac:dyDescent="0.3">
      <c r="A43" s="18"/>
      <c r="B43" s="21"/>
      <c r="C43" s="21"/>
      <c r="D43" s="21"/>
      <c r="E43" s="21"/>
      <c r="F43" s="21"/>
      <c r="G43" s="21"/>
      <c r="H43" s="21"/>
      <c r="I43" s="21"/>
      <c r="J43" s="21"/>
      <c r="K43" s="20"/>
    </row>
    <row r="44" spans="1:11" x14ac:dyDescent="0.3">
      <c r="A44" s="18"/>
      <c r="B44" s="21"/>
      <c r="C44" s="21"/>
      <c r="D44" s="21"/>
      <c r="E44" s="21"/>
      <c r="F44" s="21"/>
      <c r="G44" s="21"/>
      <c r="H44" s="21"/>
      <c r="I44" s="21"/>
      <c r="J44" s="21"/>
      <c r="K44" s="20"/>
    </row>
    <row r="45" spans="1:11" x14ac:dyDescent="0.3">
      <c r="A45" s="18"/>
      <c r="B45" s="21"/>
      <c r="C45" s="21"/>
      <c r="D45" s="21"/>
      <c r="E45" s="21"/>
      <c r="F45" s="21"/>
      <c r="G45" s="21"/>
      <c r="H45" s="21"/>
      <c r="I45" s="21"/>
      <c r="J45" s="21"/>
      <c r="K45" s="20"/>
    </row>
    <row r="46" spans="1:11" x14ac:dyDescent="0.3">
      <c r="A46" s="18"/>
      <c r="B46" s="101" t="s">
        <v>2683</v>
      </c>
      <c r="C46" s="21"/>
      <c r="D46" s="101" t="s">
        <v>3460</v>
      </c>
      <c r="E46" s="21"/>
      <c r="F46" s="21"/>
      <c r="G46" s="21"/>
      <c r="H46" s="21"/>
      <c r="I46" s="21"/>
      <c r="J46" s="21"/>
      <c r="K46" s="20"/>
    </row>
    <row r="47" spans="1:11" x14ac:dyDescent="0.3">
      <c r="A47" s="18"/>
      <c r="B47" s="181" t="s">
        <v>2685</v>
      </c>
      <c r="C47" s="21"/>
      <c r="D47" s="161">
        <f t="array" ref="D47:D51">_xll.U.COMPARE(B47:B51,B36,"edit_distance",TRUE)</f>
        <v>3</v>
      </c>
      <c r="E47" s="21"/>
      <c r="F47" s="21"/>
      <c r="G47" s="21"/>
      <c r="H47" s="21"/>
      <c r="I47" s="21"/>
      <c r="J47" s="21"/>
      <c r="K47" s="20"/>
    </row>
    <row r="48" spans="1:11" x14ac:dyDescent="0.3">
      <c r="A48" s="18"/>
      <c r="B48" s="181" t="s">
        <v>2684</v>
      </c>
      <c r="C48" s="21"/>
      <c r="D48" s="161">
        <v>0</v>
      </c>
      <c r="E48" s="21"/>
      <c r="F48" s="21"/>
      <c r="G48" s="21"/>
      <c r="H48" s="21"/>
      <c r="I48" s="21"/>
      <c r="J48" s="21"/>
      <c r="K48" s="20"/>
    </row>
    <row r="49" spans="1:11" x14ac:dyDescent="0.3">
      <c r="A49" s="18"/>
      <c r="B49" s="181" t="e">
        <f>NA()</f>
        <v>#N/A</v>
      </c>
      <c r="C49" s="21"/>
      <c r="D49" s="161" t="e">
        <v>#N/A</v>
      </c>
      <c r="E49" s="21"/>
      <c r="F49" s="21"/>
      <c r="G49" s="21"/>
      <c r="H49" s="21"/>
      <c r="I49" s="21"/>
      <c r="J49" s="21"/>
      <c r="K49" s="20"/>
    </row>
    <row r="50" spans="1:11" x14ac:dyDescent="0.3">
      <c r="A50" s="18"/>
      <c r="B50" s="181" t="s">
        <v>2687</v>
      </c>
      <c r="C50" s="21"/>
      <c r="D50" s="161">
        <v>3</v>
      </c>
      <c r="E50" s="21"/>
      <c r="F50" s="21"/>
      <c r="G50" s="21"/>
      <c r="H50" s="21"/>
      <c r="I50" s="21"/>
      <c r="J50" s="21"/>
      <c r="K50" s="20"/>
    </row>
    <row r="51" spans="1:11" x14ac:dyDescent="0.3">
      <c r="A51" s="18"/>
      <c r="B51" s="181" t="s">
        <v>2686</v>
      </c>
      <c r="C51" s="21"/>
      <c r="D51" s="161">
        <v>5</v>
      </c>
      <c r="E51" s="21"/>
      <c r="F51" s="21"/>
      <c r="G51" s="21"/>
      <c r="H51" s="21"/>
      <c r="I51" s="21"/>
      <c r="J51" s="21"/>
      <c r="K51" s="20"/>
    </row>
    <row r="52" spans="1:11" x14ac:dyDescent="0.3">
      <c r="A52" s="18"/>
      <c r="B52" s="350"/>
      <c r="C52" s="21"/>
      <c r="D52" s="455"/>
      <c r="E52" s="21"/>
      <c r="F52" s="21"/>
      <c r="G52" s="21"/>
      <c r="H52" s="21"/>
      <c r="I52" s="21"/>
      <c r="J52" s="21"/>
      <c r="K52" s="20"/>
    </row>
    <row r="53" spans="1:11" x14ac:dyDescent="0.3">
      <c r="A53" s="18"/>
      <c r="B53" s="350"/>
      <c r="C53" s="21"/>
      <c r="D53" s="455"/>
      <c r="E53" s="21"/>
      <c r="F53" s="21"/>
      <c r="G53" s="21"/>
      <c r="H53" s="21"/>
      <c r="I53" s="21"/>
      <c r="J53" s="21"/>
      <c r="K53" s="20"/>
    </row>
    <row r="54" spans="1:11" x14ac:dyDescent="0.3">
      <c r="A54" s="18"/>
      <c r="B54" s="101" t="s">
        <v>2683</v>
      </c>
      <c r="C54" s="21"/>
      <c r="D54" s="101" t="s">
        <v>3460</v>
      </c>
      <c r="E54" s="21"/>
      <c r="F54" s="21"/>
      <c r="G54" s="21"/>
      <c r="H54" s="21"/>
      <c r="I54" s="21"/>
      <c r="J54" s="21"/>
      <c r="K54" s="20"/>
    </row>
    <row r="55" spans="1:11" x14ac:dyDescent="0.3">
      <c r="A55" s="18"/>
      <c r="B55" s="181" t="s">
        <v>3668</v>
      </c>
      <c r="C55" s="21"/>
      <c r="D55" s="161">
        <f t="array" ref="D55:D56">_xll.U.COMPARE(B55:B56,B39,"edit_distance",TRUE)</f>
        <v>21</v>
      </c>
      <c r="E55" s="21"/>
      <c r="F55" s="21"/>
      <c r="G55" s="21"/>
      <c r="H55" s="21"/>
      <c r="I55" s="21"/>
      <c r="J55" s="21"/>
      <c r="K55" s="20"/>
    </row>
    <row r="56" spans="1:11" x14ac:dyDescent="0.3">
      <c r="A56" s="18"/>
      <c r="B56" s="181" t="s">
        <v>3667</v>
      </c>
      <c r="C56" s="21"/>
      <c r="D56" s="161">
        <v>6</v>
      </c>
      <c r="E56" s="21"/>
      <c r="F56" s="21"/>
      <c r="G56" s="21"/>
      <c r="H56" s="21"/>
      <c r="I56" s="21"/>
      <c r="J56" s="21"/>
      <c r="K56" s="20"/>
    </row>
    <row r="57" spans="1:11" x14ac:dyDescent="0.3">
      <c r="A57" s="18"/>
      <c r="B57" s="350"/>
      <c r="C57" s="21"/>
      <c r="D57" s="455"/>
      <c r="E57" s="21"/>
      <c r="F57" s="21"/>
      <c r="G57" s="21"/>
      <c r="H57" s="21"/>
      <c r="I57" s="21"/>
      <c r="J57" s="21"/>
      <c r="K57" s="20"/>
    </row>
    <row r="58" spans="1:11" x14ac:dyDescent="0.3">
      <c r="A58" s="18"/>
      <c r="B58" s="350"/>
      <c r="C58" s="21"/>
      <c r="D58" s="455"/>
      <c r="E58" s="21"/>
      <c r="F58" s="21"/>
      <c r="G58" s="21"/>
      <c r="H58" s="21"/>
      <c r="I58" s="21"/>
      <c r="J58" s="21"/>
      <c r="K58" s="20"/>
    </row>
    <row r="59" spans="1:11" x14ac:dyDescent="0.3">
      <c r="A59" s="18"/>
      <c r="B59" s="350"/>
      <c r="C59" s="21"/>
      <c r="D59" s="455"/>
      <c r="E59" s="21"/>
      <c r="F59" s="21"/>
      <c r="G59" s="21"/>
      <c r="H59" s="21"/>
      <c r="I59" s="21"/>
      <c r="J59" s="21"/>
      <c r="K59" s="20"/>
    </row>
    <row r="60" spans="1:11" x14ac:dyDescent="0.3">
      <c r="A60" s="18"/>
      <c r="B60" s="350"/>
      <c r="C60" s="21"/>
      <c r="D60" s="101" t="s">
        <v>3460</v>
      </c>
      <c r="E60" s="21"/>
      <c r="F60" s="21"/>
      <c r="G60" s="21"/>
      <c r="H60" s="21"/>
      <c r="I60" s="21"/>
      <c r="J60" s="21"/>
      <c r="K60" s="20"/>
    </row>
    <row r="61" spans="1:11" x14ac:dyDescent="0.3">
      <c r="A61" s="18"/>
      <c r="B61" s="350"/>
      <c r="C61" s="21"/>
      <c r="D61" s="35">
        <f t="array" ref="D61:D62">_xll.U.COMPARE(B55:B56,B39,"edit_distance",TRUE,TRUE)</f>
        <v>0.80769230769230771</v>
      </c>
      <c r="E61" s="21"/>
      <c r="F61" s="21"/>
      <c r="G61" s="21"/>
      <c r="H61" s="21"/>
      <c r="I61" s="21"/>
      <c r="J61" s="21"/>
      <c r="K61" s="20"/>
    </row>
    <row r="62" spans="1:11" x14ac:dyDescent="0.3">
      <c r="A62" s="18"/>
      <c r="B62" s="350"/>
      <c r="C62" s="21"/>
      <c r="D62" s="35">
        <v>1</v>
      </c>
      <c r="E62" s="21"/>
      <c r="F62" s="21"/>
      <c r="G62" s="21"/>
      <c r="H62" s="21"/>
      <c r="I62" s="21"/>
      <c r="J62" s="21"/>
      <c r="K62" s="20"/>
    </row>
    <row r="63" spans="1:11" x14ac:dyDescent="0.3">
      <c r="A63" s="18"/>
      <c r="B63" s="350"/>
      <c r="C63" s="21"/>
      <c r="D63" s="455"/>
      <c r="E63" s="21"/>
      <c r="F63" s="21"/>
      <c r="G63" s="21"/>
      <c r="H63" s="21"/>
      <c r="I63" s="21"/>
      <c r="J63" s="21"/>
      <c r="K63" s="20"/>
    </row>
    <row r="64" spans="1:11" x14ac:dyDescent="0.3">
      <c r="A64" s="18"/>
      <c r="B64" s="350"/>
      <c r="C64" s="21"/>
      <c r="D64" s="455"/>
      <c r="E64" s="21"/>
      <c r="F64" s="21"/>
      <c r="G64" s="21"/>
      <c r="H64" s="21"/>
      <c r="I64" s="21"/>
      <c r="J64" s="21"/>
      <c r="K64" s="20"/>
    </row>
    <row r="65" spans="1:11" x14ac:dyDescent="0.3">
      <c r="A65" s="18"/>
      <c r="B65" s="350"/>
      <c r="C65" s="21"/>
      <c r="D65" s="455"/>
      <c r="E65" s="21"/>
      <c r="F65" s="21"/>
      <c r="G65" s="21"/>
      <c r="H65" s="21"/>
      <c r="I65" s="21"/>
      <c r="J65" s="21"/>
      <c r="K65" s="20"/>
    </row>
    <row r="66" spans="1:11" x14ac:dyDescent="0.3">
      <c r="A66" s="18"/>
      <c r="B66" s="490" t="s">
        <v>3113</v>
      </c>
      <c r="C66" s="491"/>
      <c r="D66" s="491"/>
      <c r="E66" s="491"/>
      <c r="F66" s="491"/>
      <c r="G66" s="491"/>
      <c r="H66" s="491"/>
      <c r="I66" s="491"/>
      <c r="J66" s="491"/>
      <c r="K66" s="20"/>
    </row>
    <row r="67" spans="1:11" x14ac:dyDescent="0.3">
      <c r="A67" s="18"/>
      <c r="B67" s="350"/>
      <c r="C67" s="21"/>
      <c r="D67" s="455"/>
      <c r="E67" s="21"/>
      <c r="F67" s="21"/>
      <c r="G67" s="21"/>
      <c r="H67" s="21"/>
      <c r="I67" s="21"/>
      <c r="J67" s="21"/>
      <c r="K67" s="20"/>
    </row>
    <row r="68" spans="1:11" x14ac:dyDescent="0.3">
      <c r="A68" s="18"/>
      <c r="B68" s="101" t="s">
        <v>691</v>
      </c>
      <c r="C68" s="21"/>
      <c r="D68" s="455"/>
      <c r="E68" s="21"/>
      <c r="F68" s="21"/>
      <c r="G68" s="21"/>
      <c r="H68" s="21"/>
      <c r="I68" s="21"/>
      <c r="J68" s="21"/>
      <c r="K68" s="20"/>
    </row>
    <row r="69" spans="1:11" x14ac:dyDescent="0.3">
      <c r="A69" s="18"/>
      <c r="B69" s="456"/>
      <c r="C69" s="21"/>
      <c r="D69" s="455"/>
      <c r="E69" s="21"/>
      <c r="F69" s="21"/>
      <c r="G69" s="21"/>
      <c r="H69" s="21"/>
      <c r="I69" s="21"/>
      <c r="J69" s="21"/>
      <c r="K69" s="20"/>
    </row>
    <row r="70" spans="1:11" x14ac:dyDescent="0.3">
      <c r="A70" s="18"/>
      <c r="B70" s="456"/>
      <c r="C70" s="21"/>
      <c r="D70" s="455"/>
      <c r="E70" s="21"/>
      <c r="F70" s="21"/>
      <c r="G70" s="21"/>
      <c r="H70" s="21"/>
      <c r="I70" s="21"/>
      <c r="J70" s="21"/>
      <c r="K70" s="20"/>
    </row>
    <row r="71" spans="1:11" x14ac:dyDescent="0.3">
      <c r="A71" s="18"/>
      <c r="B71" s="350"/>
      <c r="C71" s="21"/>
      <c r="D71" s="455"/>
      <c r="E71" s="21"/>
      <c r="F71" s="21"/>
      <c r="G71" s="21"/>
      <c r="H71" s="21"/>
      <c r="I71" s="21"/>
      <c r="J71" s="21"/>
      <c r="K71" s="20"/>
    </row>
    <row r="72" spans="1:11" x14ac:dyDescent="0.3">
      <c r="A72" s="18"/>
      <c r="B72" s="350"/>
      <c r="C72" s="21"/>
      <c r="D72" s="455"/>
      <c r="E72" s="21"/>
      <c r="F72" s="21"/>
      <c r="G72" s="21"/>
      <c r="H72" s="21"/>
      <c r="I72" s="21"/>
      <c r="J72" s="21"/>
      <c r="K72" s="20"/>
    </row>
    <row r="73" spans="1:11" x14ac:dyDescent="0.3">
      <c r="A73" s="18"/>
      <c r="B73" s="101" t="s">
        <v>3105</v>
      </c>
      <c r="C73" s="21"/>
      <c r="D73" s="101" t="s">
        <v>3109</v>
      </c>
      <c r="E73" s="101" t="s">
        <v>3110</v>
      </c>
      <c r="F73" s="101" t="s">
        <v>3111</v>
      </c>
      <c r="G73" s="21"/>
      <c r="H73" s="21"/>
      <c r="I73" s="21"/>
      <c r="J73" s="21"/>
      <c r="K73" s="20"/>
    </row>
    <row r="74" spans="1:11" x14ac:dyDescent="0.3">
      <c r="A74" s="18"/>
      <c r="B74" s="181" t="str" cm="1">
        <f t="array" ref="B74">_xll.U.RANGE_REF(B69:B70)</f>
        <v>[REF]{{34856#2238124298784!R69C2:R70C2}}</v>
      </c>
      <c r="C74" s="21"/>
      <c r="D74" s="161" t="b" cm="1">
        <f t="array" ref="D74">_xll.U.COMPARE($B74,$B$69:$B$70,"xlrange_equals")</f>
        <v>1</v>
      </c>
      <c r="E74" s="161" t="b" cm="1">
        <f t="array" ref="E74">_xll.U.COMPARE($B74,$B$69:$B$70,"xlrange_encloses")</f>
        <v>1</v>
      </c>
      <c r="F74" s="161" t="b" cm="1">
        <f t="array" ref="F74">_xll.U.COMPARE($B74,$B$69:$B$70,"xlrange_intersects")</f>
        <v>1</v>
      </c>
      <c r="G74" s="21"/>
      <c r="H74" s="21"/>
      <c r="I74" s="21"/>
      <c r="J74" s="21"/>
      <c r="K74" s="20"/>
    </row>
    <row r="75" spans="1:11" x14ac:dyDescent="0.3">
      <c r="A75" s="18"/>
      <c r="B75" s="350"/>
      <c r="C75" s="21"/>
      <c r="D75" s="455"/>
      <c r="E75" s="21"/>
      <c r="F75" s="21"/>
      <c r="G75" s="21"/>
      <c r="H75" s="21"/>
      <c r="I75" s="21"/>
      <c r="J75" s="21"/>
      <c r="K75" s="20"/>
    </row>
    <row r="76" spans="1:11" x14ac:dyDescent="0.3">
      <c r="A76" s="18"/>
      <c r="B76" s="350"/>
      <c r="C76" s="21"/>
      <c r="D76" s="455"/>
      <c r="E76" s="21"/>
      <c r="F76" s="21"/>
      <c r="G76" s="21"/>
      <c r="H76" s="21"/>
      <c r="I76" s="21"/>
      <c r="J76" s="21"/>
      <c r="K76" s="20"/>
    </row>
    <row r="77" spans="1:11" x14ac:dyDescent="0.3">
      <c r="A77" s="18"/>
      <c r="B77" s="101" t="s">
        <v>3106</v>
      </c>
      <c r="C77" s="21"/>
      <c r="D77" s="101" t="s">
        <v>3109</v>
      </c>
      <c r="E77" s="101" t="s">
        <v>3110</v>
      </c>
      <c r="F77" s="101" t="s">
        <v>3111</v>
      </c>
      <c r="G77" s="21"/>
      <c r="H77" s="21"/>
      <c r="I77" s="21"/>
      <c r="J77" s="21"/>
      <c r="K77" s="20"/>
    </row>
    <row r="78" spans="1:11" x14ac:dyDescent="0.3">
      <c r="A78" s="18"/>
      <c r="B78" s="181" t="str" cm="1">
        <f t="array" ref="B78">_xll.U.RANGE_REF(B68:B71)</f>
        <v>[REF]{{34856#2238124298784!R68C2:R71C2}}</v>
      </c>
      <c r="C78" s="21"/>
      <c r="D78" s="161" t="b" cm="1">
        <f t="array" ref="D78">_xll.U.COMPARE($B78,$B$69:$B$70,"xlrange_equals")</f>
        <v>0</v>
      </c>
      <c r="E78" s="161" t="b" cm="1">
        <f t="array" ref="E78">_xll.U.COMPARE($B78,$B$69:$B$70,"xlrange_encloses")</f>
        <v>1</v>
      </c>
      <c r="F78" s="161" t="b" cm="1">
        <f t="array" ref="F78">_xll.U.COMPARE($B78,$B$69:$B$70,"xlrange_intersects")</f>
        <v>1</v>
      </c>
      <c r="G78" s="21"/>
      <c r="H78" s="21"/>
      <c r="I78" s="21"/>
      <c r="J78" s="21"/>
      <c r="K78" s="20"/>
    </row>
    <row r="79" spans="1:11" x14ac:dyDescent="0.3">
      <c r="A79" s="18"/>
      <c r="B79" s="350"/>
      <c r="C79" s="21"/>
      <c r="D79" s="455"/>
      <c r="E79" s="21"/>
      <c r="F79" s="21"/>
      <c r="G79" s="21"/>
      <c r="H79" s="21"/>
      <c r="I79" s="21"/>
      <c r="J79" s="21"/>
      <c r="K79" s="20"/>
    </row>
    <row r="80" spans="1:11" x14ac:dyDescent="0.3">
      <c r="A80" s="18"/>
      <c r="B80" s="350"/>
      <c r="C80" s="21"/>
      <c r="D80" s="455"/>
      <c r="E80" s="21"/>
      <c r="F80" s="21"/>
      <c r="G80" s="21"/>
      <c r="H80" s="21"/>
      <c r="I80" s="21"/>
      <c r="J80" s="21"/>
      <c r="K80" s="20"/>
    </row>
    <row r="81" spans="1:11" x14ac:dyDescent="0.3">
      <c r="A81" s="18"/>
      <c r="B81" s="101" t="s">
        <v>3107</v>
      </c>
      <c r="C81" s="21"/>
      <c r="D81" s="101" t="s">
        <v>3109</v>
      </c>
      <c r="E81" s="101" t="s">
        <v>3110</v>
      </c>
      <c r="F81" s="101" t="s">
        <v>3111</v>
      </c>
      <c r="G81" s="21"/>
      <c r="H81" s="21"/>
      <c r="I81" s="21"/>
      <c r="J81" s="21"/>
      <c r="K81" s="20"/>
    </row>
    <row r="82" spans="1:11" x14ac:dyDescent="0.3">
      <c r="A82" s="18"/>
      <c r="B82" s="181" t="str" cm="1">
        <f t="array" ref="B82">_xll.U.RANGE_REF(B70:B71)</f>
        <v>[REF]{{34856#2238124298784!R70C2:R71C2}}</v>
      </c>
      <c r="C82" s="21"/>
      <c r="D82" s="161" t="b" cm="1">
        <f t="array" ref="D82">_xll.U.COMPARE($B82,$B$69:$B$70,"xlrange_equals")</f>
        <v>0</v>
      </c>
      <c r="E82" s="161" t="b" cm="1">
        <f t="array" ref="E82">_xll.U.COMPARE($B82,$B$69:$B$70,"xlrange_encloses")</f>
        <v>0</v>
      </c>
      <c r="F82" s="161" t="b" cm="1">
        <f t="array" ref="F82">_xll.U.COMPARE($B82,$B$69:$B$70,"xlrange_intersects")</f>
        <v>1</v>
      </c>
      <c r="G82" s="21"/>
      <c r="H82" s="21"/>
      <c r="I82" s="21"/>
      <c r="J82" s="21"/>
      <c r="K82" s="20"/>
    </row>
    <row r="83" spans="1:11" x14ac:dyDescent="0.3">
      <c r="A83" s="18"/>
      <c r="B83" s="350"/>
      <c r="C83" s="21"/>
      <c r="D83" s="455"/>
      <c r="E83" s="21"/>
      <c r="F83" s="21"/>
      <c r="G83" s="21"/>
      <c r="H83" s="21"/>
      <c r="I83" s="21"/>
      <c r="J83" s="21"/>
      <c r="K83" s="20"/>
    </row>
    <row r="84" spans="1:11" x14ac:dyDescent="0.3">
      <c r="A84" s="18"/>
      <c r="B84" s="101" t="s">
        <v>3108</v>
      </c>
      <c r="C84" s="21"/>
      <c r="D84" s="101" t="s">
        <v>3109</v>
      </c>
      <c r="E84" s="101" t="s">
        <v>3110</v>
      </c>
      <c r="F84" s="101" t="s">
        <v>3111</v>
      </c>
      <c r="G84" s="21"/>
      <c r="H84" s="21"/>
      <c r="I84" s="21"/>
      <c r="J84" s="21"/>
      <c r="K84" s="20"/>
    </row>
    <row r="85" spans="1:11" x14ac:dyDescent="0.3">
      <c r="A85" s="18"/>
      <c r="B85" s="181"/>
      <c r="C85" s="21"/>
      <c r="D85" s="161" t="b" cm="1">
        <f t="array" ref="D85">_xll.U.COMPARE($B85,$B$69:$B$70,"xlrange_equals")</f>
        <v>0</v>
      </c>
      <c r="E85" s="161" t="b" cm="1">
        <f t="array" ref="E85">_xll.U.COMPARE($B85,$B$69:$B$70,"xlrange_encloses")</f>
        <v>0</v>
      </c>
      <c r="F85" s="161" t="b" cm="1">
        <f t="array" ref="F85">_xll.U.COMPARE($B85,$B$69:$B$70,"xlrange_intersects")</f>
        <v>0</v>
      </c>
      <c r="G85" s="21"/>
      <c r="H85" s="21"/>
      <c r="I85" s="21"/>
      <c r="J85" s="21"/>
      <c r="K85" s="20"/>
    </row>
    <row r="86" spans="1:11" x14ac:dyDescent="0.3">
      <c r="A86" s="18"/>
      <c r="B86" s="350"/>
      <c r="C86" s="21"/>
      <c r="D86" s="455"/>
      <c r="E86" s="21"/>
      <c r="F86" s="21"/>
      <c r="G86" s="21"/>
      <c r="H86" s="21"/>
      <c r="I86" s="21"/>
      <c r="J86" s="21"/>
      <c r="K86" s="20"/>
    </row>
    <row r="87" spans="1:11" x14ac:dyDescent="0.3">
      <c r="A87" s="18"/>
      <c r="B87" s="350"/>
      <c r="C87" s="21"/>
      <c r="D87" s="455"/>
      <c r="E87" s="21"/>
      <c r="F87" s="21"/>
      <c r="G87" s="21"/>
      <c r="H87" s="21"/>
      <c r="I87" s="21"/>
      <c r="J87" s="21"/>
      <c r="K87" s="20"/>
    </row>
    <row r="88" spans="1:11" x14ac:dyDescent="0.3">
      <c r="A88" s="18"/>
      <c r="B88" s="350"/>
      <c r="C88" s="21"/>
      <c r="D88" s="455"/>
      <c r="E88" s="21"/>
      <c r="F88" s="21"/>
      <c r="G88" s="21"/>
      <c r="H88" s="21"/>
      <c r="I88" s="21"/>
      <c r="J88" s="21"/>
      <c r="K88" s="20"/>
    </row>
    <row r="89" spans="1:11" x14ac:dyDescent="0.3">
      <c r="A89" s="18"/>
      <c r="B89" s="350"/>
      <c r="C89" s="21"/>
      <c r="D89" s="455"/>
      <c r="E89" s="21"/>
      <c r="F89" s="21"/>
      <c r="G89" s="21"/>
      <c r="H89" s="21"/>
      <c r="I89" s="21"/>
      <c r="J89" s="21"/>
      <c r="K89" s="20"/>
    </row>
    <row r="90" spans="1:11" ht="15" thickBot="1" x14ac:dyDescent="0.35">
      <c r="A90" s="22"/>
      <c r="B90" s="23"/>
      <c r="C90" s="23"/>
      <c r="D90" s="23"/>
      <c r="E90" s="23"/>
      <c r="F90" s="23"/>
      <c r="G90" s="23"/>
      <c r="H90" s="23"/>
      <c r="I90" s="23"/>
      <c r="J90" s="23"/>
      <c r="K90" s="24"/>
    </row>
  </sheetData>
  <mergeCells count="25">
    <mergeCell ref="V14:V16"/>
    <mergeCell ref="M8:N10"/>
    <mergeCell ref="O8:U10"/>
    <mergeCell ref="V8:V10"/>
    <mergeCell ref="M3:V3"/>
    <mergeCell ref="M4:N6"/>
    <mergeCell ref="O4:V6"/>
    <mergeCell ref="M7:N7"/>
    <mergeCell ref="O7:U7"/>
    <mergeCell ref="B66:J66"/>
    <mergeCell ref="B32:J32"/>
    <mergeCell ref="M11:N13"/>
    <mergeCell ref="O11:U13"/>
    <mergeCell ref="V11:V13"/>
    <mergeCell ref="M20:N22"/>
    <mergeCell ref="O20:U22"/>
    <mergeCell ref="V20:V22"/>
    <mergeCell ref="M17:N19"/>
    <mergeCell ref="O17:U19"/>
    <mergeCell ref="V17:V19"/>
    <mergeCell ref="M23:N25"/>
    <mergeCell ref="O23:U25"/>
    <mergeCell ref="V23:V25"/>
    <mergeCell ref="M14:N16"/>
    <mergeCell ref="O14:U16"/>
  </mergeCells>
  <pageMargins left="0.7" right="0.7" top="0.75" bottom="0.75" header="0.3" footer="0.3"/>
  <pageSetup orientation="portrait"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F93F6-F042-489F-B3C7-45091783EEC4}">
  <sheetPr codeName="Sheet37"/>
  <dimension ref="A1:V27"/>
  <sheetViews>
    <sheetView workbookViewId="0">
      <pane ySplit="1" topLeftCell="A2" activePane="bottomLeft" state="frozen"/>
      <selection pane="bottomLeft" activeCell="A2" sqref="A2"/>
    </sheetView>
  </sheetViews>
  <sheetFormatPr defaultColWidth="9.21875" defaultRowHeight="14.4" x14ac:dyDescent="0.3"/>
  <cols>
    <col min="2" max="2" width="24.77734375" customWidth="1"/>
    <col min="3" max="3" width="17.5546875" customWidth="1"/>
    <col min="4" max="4" width="11.44140625" customWidth="1"/>
    <col min="5" max="5" width="14.44140625" customWidth="1"/>
    <col min="6" max="11" width="14.5546875" customWidth="1"/>
    <col min="15" max="21" width="12" customWidth="1"/>
  </cols>
  <sheetData>
    <row r="1" spans="1:22" ht="34.5" customHeight="1" thickBot="1" x14ac:dyDescent="0.35">
      <c r="A1" s="292" t="s">
        <v>1580</v>
      </c>
      <c r="B1" s="473" t="e" vm="1">
        <v>#VALUE!</v>
      </c>
      <c r="C1" s="8" t="s">
        <v>2660</v>
      </c>
      <c r="D1" s="27"/>
      <c r="E1" s="16"/>
      <c r="F1" s="16"/>
      <c r="G1" s="16"/>
      <c r="H1" s="16"/>
      <c r="I1" s="16"/>
      <c r="J1" s="16"/>
      <c r="K1" s="19"/>
    </row>
    <row r="2" spans="1:22" ht="15" customHeight="1" x14ac:dyDescent="0.3">
      <c r="A2" s="18"/>
      <c r="B2" s="25"/>
      <c r="C2" s="25"/>
      <c r="D2" s="21"/>
      <c r="E2" s="21"/>
      <c r="F2" s="21"/>
      <c r="G2" s="21"/>
      <c r="H2" s="21"/>
      <c r="I2" s="21"/>
      <c r="J2" s="21"/>
      <c r="K2" s="20"/>
    </row>
    <row r="3" spans="1:22" x14ac:dyDescent="0.3">
      <c r="A3" s="18"/>
      <c r="B3" s="21"/>
      <c r="C3" s="21"/>
      <c r="D3" s="123"/>
      <c r="E3" s="21"/>
      <c r="F3" s="21"/>
      <c r="G3" s="21"/>
      <c r="H3" s="21"/>
      <c r="I3" s="21"/>
      <c r="J3" s="21"/>
      <c r="K3" s="20"/>
      <c r="M3" s="486" t="s">
        <v>3461</v>
      </c>
      <c r="N3" s="486"/>
      <c r="O3" s="486"/>
      <c r="P3" s="486"/>
      <c r="Q3" s="486"/>
      <c r="R3" s="486"/>
      <c r="S3" s="486"/>
      <c r="T3" s="486"/>
      <c r="U3" s="486"/>
      <c r="V3" s="486"/>
    </row>
    <row r="4" spans="1:22" x14ac:dyDescent="0.3">
      <c r="A4" s="18"/>
      <c r="B4" s="101" t="s">
        <v>305</v>
      </c>
      <c r="C4" s="21"/>
      <c r="D4" s="123"/>
      <c r="E4" s="101" t="s">
        <v>3461</v>
      </c>
      <c r="F4" s="21"/>
      <c r="G4" s="21"/>
      <c r="H4" s="21"/>
      <c r="I4" s="21"/>
      <c r="J4" s="21"/>
      <c r="K4" s="20"/>
      <c r="M4" s="487" t="s">
        <v>333</v>
      </c>
      <c r="N4" s="487"/>
      <c r="O4" s="487" t="s">
        <v>2666</v>
      </c>
      <c r="P4" s="487"/>
      <c r="Q4" s="487"/>
      <c r="R4" s="487"/>
      <c r="S4" s="487"/>
      <c r="T4" s="487"/>
      <c r="U4" s="487"/>
      <c r="V4" s="487"/>
    </row>
    <row r="5" spans="1:22" x14ac:dyDescent="0.3">
      <c r="A5" s="18"/>
      <c r="B5" s="181" t="s">
        <v>2672</v>
      </c>
      <c r="C5" s="21"/>
      <c r="D5" s="123"/>
      <c r="E5" s="36" t="str" cm="1">
        <f t="array" ref="E5">_xll.U.GZIP(B5)</f>
        <v>H4sIAAAAAAAEAHPOzy0oSi0uVshNBQDHak00CwAAAA==</v>
      </c>
      <c r="F5" s="21"/>
      <c r="G5" s="21"/>
      <c r="H5" s="21"/>
      <c r="I5" s="21"/>
      <c r="J5" s="21"/>
      <c r="K5" s="20"/>
      <c r="M5" s="487"/>
      <c r="N5" s="487"/>
      <c r="O5" s="487"/>
      <c r="P5" s="487"/>
      <c r="Q5" s="487"/>
      <c r="R5" s="487"/>
      <c r="S5" s="487"/>
      <c r="T5" s="487"/>
      <c r="U5" s="487"/>
      <c r="V5" s="487"/>
    </row>
    <row r="6" spans="1:22" x14ac:dyDescent="0.3">
      <c r="A6" s="18"/>
      <c r="B6" s="21"/>
      <c r="C6" s="21"/>
      <c r="D6" s="123"/>
      <c r="E6" s="21"/>
      <c r="F6" s="21"/>
      <c r="G6" s="21"/>
      <c r="H6" s="21"/>
      <c r="I6" s="21"/>
      <c r="J6" s="21"/>
      <c r="K6" s="20"/>
      <c r="M6" s="487"/>
      <c r="N6" s="487"/>
      <c r="O6" s="487"/>
      <c r="P6" s="487"/>
      <c r="Q6" s="487"/>
      <c r="R6" s="487"/>
      <c r="S6" s="487"/>
      <c r="T6" s="487"/>
      <c r="U6" s="487"/>
      <c r="V6" s="487"/>
    </row>
    <row r="7" spans="1:22" x14ac:dyDescent="0.3">
      <c r="A7" s="18"/>
      <c r="B7" s="21"/>
      <c r="C7" s="21"/>
      <c r="D7" s="123"/>
      <c r="E7" s="21"/>
      <c r="F7" s="21"/>
      <c r="G7" s="21"/>
      <c r="H7" s="21"/>
      <c r="I7" s="21"/>
      <c r="J7" s="21"/>
      <c r="K7" s="20"/>
      <c r="M7" s="483" t="s">
        <v>323</v>
      </c>
      <c r="N7" s="483"/>
      <c r="O7" s="483" t="s">
        <v>1</v>
      </c>
      <c r="P7" s="483"/>
      <c r="Q7" s="483"/>
      <c r="R7" s="483"/>
      <c r="S7" s="483"/>
      <c r="T7" s="483"/>
      <c r="U7" s="483"/>
      <c r="V7" s="85" t="s">
        <v>324</v>
      </c>
    </row>
    <row r="8" spans="1:22" ht="15" customHeight="1" x14ac:dyDescent="0.3">
      <c r="A8" s="18"/>
      <c r="B8" s="21"/>
      <c r="C8" s="21"/>
      <c r="D8" s="123"/>
      <c r="E8" s="21"/>
      <c r="F8" s="21"/>
      <c r="G8" s="21"/>
      <c r="H8" s="21"/>
      <c r="I8" s="21"/>
      <c r="J8" s="21"/>
      <c r="K8" s="20"/>
      <c r="M8" s="539" t="s">
        <v>499</v>
      </c>
      <c r="N8" s="541"/>
      <c r="O8" s="539" t="s">
        <v>2667</v>
      </c>
      <c r="P8" s="540"/>
      <c r="Q8" s="540"/>
      <c r="R8" s="540"/>
      <c r="S8" s="540"/>
      <c r="T8" s="540"/>
      <c r="U8" s="541"/>
      <c r="V8" s="548" t="s">
        <v>325</v>
      </c>
    </row>
    <row r="9" spans="1:22" x14ac:dyDescent="0.3">
      <c r="A9" s="18"/>
      <c r="B9" s="21"/>
      <c r="C9" s="21"/>
      <c r="D9" s="123"/>
      <c r="E9" s="21"/>
      <c r="F9" s="21"/>
      <c r="G9" s="21"/>
      <c r="H9" s="21"/>
      <c r="I9" s="21"/>
      <c r="J9" s="21"/>
      <c r="K9" s="20"/>
      <c r="M9" s="542"/>
      <c r="N9" s="544"/>
      <c r="O9" s="542"/>
      <c r="P9" s="543"/>
      <c r="Q9" s="543"/>
      <c r="R9" s="543"/>
      <c r="S9" s="543"/>
      <c r="T9" s="543"/>
      <c r="U9" s="544"/>
      <c r="V9" s="549"/>
    </row>
    <row r="10" spans="1:22" x14ac:dyDescent="0.3">
      <c r="A10" s="18"/>
      <c r="B10" s="21"/>
      <c r="C10" s="21"/>
      <c r="D10" s="123"/>
      <c r="E10" s="21"/>
      <c r="F10" s="21"/>
      <c r="G10" s="21"/>
      <c r="H10" s="21"/>
      <c r="I10" s="21"/>
      <c r="J10" s="21"/>
      <c r="K10" s="20"/>
      <c r="M10" s="545"/>
      <c r="N10" s="547"/>
      <c r="O10" s="545"/>
      <c r="P10" s="546"/>
      <c r="Q10" s="546"/>
      <c r="R10" s="546"/>
      <c r="S10" s="546"/>
      <c r="T10" s="546"/>
      <c r="U10" s="547"/>
      <c r="V10" s="550"/>
    </row>
    <row r="11" spans="1:22" ht="15" customHeight="1" x14ac:dyDescent="0.3">
      <c r="A11" s="18"/>
      <c r="B11" s="21"/>
      <c r="C11" s="21"/>
      <c r="D11" s="123"/>
      <c r="E11" s="101" t="s">
        <v>2661</v>
      </c>
      <c r="F11" s="21"/>
      <c r="G11" s="21"/>
      <c r="H11" s="21"/>
      <c r="I11" s="21"/>
      <c r="J11" s="21"/>
      <c r="K11" s="20"/>
      <c r="M11" s="496" t="s">
        <v>2662</v>
      </c>
      <c r="N11" s="497"/>
      <c r="O11" s="496" t="s">
        <v>2664</v>
      </c>
      <c r="P11" s="502"/>
      <c r="Q11" s="502"/>
      <c r="R11" s="502"/>
      <c r="S11" s="502"/>
      <c r="T11" s="502"/>
      <c r="U11" s="497"/>
      <c r="V11" s="505" t="s">
        <v>326</v>
      </c>
    </row>
    <row r="12" spans="1:22" x14ac:dyDescent="0.3">
      <c r="A12" s="18"/>
      <c r="B12" s="21"/>
      <c r="C12" s="21"/>
      <c r="D12" s="123"/>
      <c r="E12" s="36" t="str" cm="1">
        <f t="array" ref="E12">_xll.U.GZIP(GZIP,TRUE)</f>
        <v>Compress me</v>
      </c>
      <c r="F12" s="21"/>
      <c r="G12" s="21"/>
      <c r="H12" s="21"/>
      <c r="I12" s="21"/>
      <c r="J12" s="21"/>
      <c r="K12" s="20"/>
      <c r="M12" s="498"/>
      <c r="N12" s="499"/>
      <c r="O12" s="498"/>
      <c r="P12" s="503"/>
      <c r="Q12" s="503"/>
      <c r="R12" s="503"/>
      <c r="S12" s="503"/>
      <c r="T12" s="503"/>
      <c r="U12" s="499"/>
      <c r="V12" s="506"/>
    </row>
    <row r="13" spans="1:22" x14ac:dyDescent="0.3">
      <c r="A13" s="18"/>
      <c r="B13" s="117"/>
      <c r="C13" s="21"/>
      <c r="D13" s="123"/>
      <c r="E13" s="123"/>
      <c r="F13" s="21"/>
      <c r="G13" s="21"/>
      <c r="H13" s="21"/>
      <c r="I13" s="21"/>
      <c r="J13" s="21"/>
      <c r="K13" s="20"/>
      <c r="M13" s="500"/>
      <c r="N13" s="501"/>
      <c r="O13" s="500"/>
      <c r="P13" s="504"/>
      <c r="Q13" s="504"/>
      <c r="R13" s="504"/>
      <c r="S13" s="504"/>
      <c r="T13" s="504"/>
      <c r="U13" s="501"/>
      <c r="V13" s="507"/>
    </row>
    <row r="14" spans="1:22" x14ac:dyDescent="0.3">
      <c r="A14" s="18"/>
      <c r="B14" s="117"/>
      <c r="C14" s="21"/>
      <c r="D14" s="123"/>
      <c r="E14" s="21"/>
      <c r="F14" s="21"/>
      <c r="G14" s="21"/>
      <c r="H14" s="21"/>
      <c r="I14" s="21"/>
      <c r="J14" s="21"/>
      <c r="K14" s="20"/>
      <c r="M14" s="496" t="s">
        <v>447</v>
      </c>
      <c r="N14" s="497"/>
      <c r="O14" s="496" t="s">
        <v>2665</v>
      </c>
      <c r="P14" s="502"/>
      <c r="Q14" s="502"/>
      <c r="R14" s="502"/>
      <c r="S14" s="502"/>
      <c r="T14" s="502"/>
      <c r="U14" s="497"/>
      <c r="V14" s="505" t="s">
        <v>326</v>
      </c>
    </row>
    <row r="15" spans="1:22" x14ac:dyDescent="0.3">
      <c r="A15" s="18"/>
      <c r="B15" s="117"/>
      <c r="C15" s="21"/>
      <c r="D15" s="123"/>
      <c r="E15" s="21"/>
      <c r="F15" s="21"/>
      <c r="G15" s="21"/>
      <c r="H15" s="21"/>
      <c r="I15" s="21"/>
      <c r="J15" s="21"/>
      <c r="K15" s="20"/>
      <c r="M15" s="498"/>
      <c r="N15" s="499"/>
      <c r="O15" s="498"/>
      <c r="P15" s="503"/>
      <c r="Q15" s="503"/>
      <c r="R15" s="503"/>
      <c r="S15" s="503"/>
      <c r="T15" s="503"/>
      <c r="U15" s="499"/>
      <c r="V15" s="506"/>
    </row>
    <row r="16" spans="1:22" x14ac:dyDescent="0.3">
      <c r="A16" s="18"/>
      <c r="B16" s="117"/>
      <c r="C16" s="21"/>
      <c r="D16" s="123"/>
      <c r="E16" s="21"/>
      <c r="F16" s="21"/>
      <c r="G16" s="21"/>
      <c r="H16" s="21"/>
      <c r="I16" s="21"/>
      <c r="J16" s="21"/>
      <c r="K16" s="20"/>
      <c r="M16" s="500"/>
      <c r="N16" s="501"/>
      <c r="O16" s="500"/>
      <c r="P16" s="504"/>
      <c r="Q16" s="504"/>
      <c r="R16" s="504"/>
      <c r="S16" s="504"/>
      <c r="T16" s="504"/>
      <c r="U16" s="501"/>
      <c r="V16" s="507"/>
    </row>
    <row r="17" spans="1:13" x14ac:dyDescent="0.3">
      <c r="A17" s="18"/>
      <c r="B17" s="475" t="s">
        <v>305</v>
      </c>
      <c r="C17" s="475"/>
      <c r="D17" s="123"/>
      <c r="E17" s="101" t="s">
        <v>3461</v>
      </c>
      <c r="F17" s="21"/>
      <c r="G17" s="21"/>
      <c r="H17" s="21"/>
      <c r="I17" s="21"/>
      <c r="J17" s="21"/>
      <c r="K17" s="20"/>
      <c r="M17" s="126" t="s">
        <v>328</v>
      </c>
    </row>
    <row r="18" spans="1:13" x14ac:dyDescent="0.3">
      <c r="A18" s="18"/>
      <c r="B18" s="405" t="s">
        <v>2668</v>
      </c>
      <c r="C18" s="405" t="s">
        <v>2669</v>
      </c>
      <c r="D18" s="123"/>
      <c r="E18" s="36" t="e" cm="1">
        <f t="array" ref="E18">_xll.U.GZIP(B18:C20)</f>
        <v>#DIV/0!</v>
      </c>
      <c r="F18" s="21"/>
      <c r="G18" s="21"/>
      <c r="H18" s="21"/>
      <c r="I18" s="21"/>
      <c r="J18" s="21"/>
      <c r="K18" s="20"/>
    </row>
    <row r="19" spans="1:13" x14ac:dyDescent="0.3">
      <c r="A19" s="18"/>
      <c r="B19" s="405" t="s">
        <v>2670</v>
      </c>
      <c r="C19" s="405" t="e">
        <f>1/0</f>
        <v>#DIV/0!</v>
      </c>
      <c r="D19" s="123"/>
      <c r="E19" s="21"/>
      <c r="F19" s="21"/>
      <c r="G19" s="21"/>
      <c r="H19" s="21"/>
      <c r="I19" s="21"/>
      <c r="J19" s="21"/>
      <c r="K19" s="20"/>
    </row>
    <row r="20" spans="1:13" x14ac:dyDescent="0.3">
      <c r="A20" s="18"/>
      <c r="B20" s="405" t="s">
        <v>2671</v>
      </c>
      <c r="C20" s="405" t="s">
        <v>2669</v>
      </c>
      <c r="D20" s="123"/>
      <c r="E20" s="101" t="s">
        <v>3461</v>
      </c>
      <c r="F20" s="21"/>
      <c r="G20" s="21"/>
      <c r="H20" s="21"/>
      <c r="I20" s="21"/>
      <c r="J20" s="21"/>
      <c r="K20" s="20"/>
    </row>
    <row r="21" spans="1:13" x14ac:dyDescent="0.3">
      <c r="A21" s="18"/>
      <c r="B21" s="117"/>
      <c r="C21" s="21"/>
      <c r="D21" s="123"/>
      <c r="E21" s="36" t="str" cm="1">
        <f t="array" ref="E21">_xll.U.GZIP(B18:C20,,TRUE)</f>
        <v>H4sIAAAAAAAEAHPOz0tOLMlNLclIzUvOzy0oSi0uzk0FAInW8AoWAAAA</v>
      </c>
      <c r="F21" s="21"/>
      <c r="G21" s="21"/>
      <c r="H21" s="21"/>
      <c r="I21" s="21"/>
      <c r="J21" s="21"/>
      <c r="K21" s="20"/>
    </row>
    <row r="22" spans="1:13" x14ac:dyDescent="0.3">
      <c r="A22" s="18"/>
      <c r="B22" s="117"/>
      <c r="C22" s="21"/>
      <c r="D22" s="123"/>
      <c r="E22" s="21"/>
      <c r="F22" s="21"/>
      <c r="G22" s="21"/>
      <c r="H22" s="21"/>
      <c r="I22" s="21"/>
      <c r="J22" s="21"/>
      <c r="K22" s="20"/>
    </row>
    <row r="23" spans="1:13" x14ac:dyDescent="0.3">
      <c r="A23" s="18"/>
      <c r="B23" s="117"/>
      <c r="C23" s="21"/>
      <c r="D23" s="123"/>
      <c r="E23" s="101" t="s">
        <v>2661</v>
      </c>
      <c r="F23" s="21"/>
      <c r="G23" s="21"/>
      <c r="H23" s="21"/>
      <c r="I23" s="21"/>
      <c r="J23" s="21"/>
      <c r="K23" s="20"/>
    </row>
    <row r="24" spans="1:13" x14ac:dyDescent="0.3">
      <c r="A24" s="18"/>
      <c r="B24" s="117"/>
      <c r="C24" s="21"/>
      <c r="D24" s="123"/>
      <c r="E24" s="36" t="str" cm="1">
        <f t="array" ref="E24">_xll.U.GZIP(E21,TRUE)</f>
        <v>Concatmethencompressme</v>
      </c>
      <c r="F24" s="21"/>
      <c r="G24" s="21"/>
      <c r="H24" s="21"/>
      <c r="I24" s="21"/>
      <c r="J24" s="21"/>
      <c r="K24" s="20"/>
    </row>
    <row r="25" spans="1:13" x14ac:dyDescent="0.3">
      <c r="A25" s="18"/>
      <c r="B25" s="117"/>
      <c r="C25" s="21"/>
      <c r="D25" s="123"/>
      <c r="E25" s="21"/>
      <c r="F25" s="21"/>
      <c r="G25" s="21"/>
      <c r="H25" s="21"/>
      <c r="I25" s="21"/>
      <c r="J25" s="21"/>
      <c r="K25" s="20"/>
    </row>
    <row r="26" spans="1:13" x14ac:dyDescent="0.3">
      <c r="A26" s="18"/>
      <c r="B26" s="117"/>
      <c r="C26" s="21"/>
      <c r="D26" s="123"/>
      <c r="E26" s="21"/>
      <c r="F26" s="21"/>
      <c r="G26" s="21"/>
      <c r="H26" s="21"/>
      <c r="I26" s="21"/>
      <c r="J26" s="21"/>
      <c r="K26" s="20"/>
    </row>
    <row r="27" spans="1:13" ht="15" thickBot="1" x14ac:dyDescent="0.35">
      <c r="A27" s="22"/>
      <c r="B27" s="23"/>
      <c r="C27" s="23"/>
      <c r="D27" s="23"/>
      <c r="E27" s="23"/>
      <c r="F27" s="23"/>
      <c r="G27" s="23"/>
      <c r="H27" s="23"/>
      <c r="I27" s="23"/>
      <c r="J27" s="23"/>
      <c r="K27" s="24"/>
    </row>
  </sheetData>
  <mergeCells count="15">
    <mergeCell ref="M8:N10"/>
    <mergeCell ref="O8:U10"/>
    <mergeCell ref="V8:V10"/>
    <mergeCell ref="B17:C17"/>
    <mergeCell ref="M3:V3"/>
    <mergeCell ref="M4:N6"/>
    <mergeCell ref="O4:V6"/>
    <mergeCell ref="M7:N7"/>
    <mergeCell ref="O7:U7"/>
    <mergeCell ref="M14:N16"/>
    <mergeCell ref="O14:U16"/>
    <mergeCell ref="V14:V16"/>
    <mergeCell ref="M11:N13"/>
    <mergeCell ref="O11:U13"/>
    <mergeCell ref="V11:V13"/>
  </mergeCells>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8"/>
  <dimension ref="A1:T186"/>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3" customWidth="1"/>
    <col min="4" max="4" width="24" bestFit="1" customWidth="1"/>
    <col min="5" max="5" width="12.21875" bestFit="1" customWidth="1"/>
    <col min="6" max="6" width="15.77734375" customWidth="1"/>
    <col min="8" max="9" width="18.77734375" customWidth="1"/>
    <col min="11" max="12" width="11" customWidth="1"/>
    <col min="13" max="19" width="19.77734375" customWidth="1"/>
  </cols>
  <sheetData>
    <row r="1" spans="1:20" ht="34.5" customHeight="1" thickBot="1" x14ac:dyDescent="0.35">
      <c r="A1" s="292" t="s">
        <v>1580</v>
      </c>
      <c r="B1" s="473" t="e" vm="1">
        <v>#VALUE!</v>
      </c>
      <c r="C1" s="8" t="s">
        <v>186</v>
      </c>
      <c r="D1" s="27"/>
      <c r="E1" s="16"/>
      <c r="F1" s="16"/>
      <c r="G1" s="16"/>
      <c r="H1" s="16"/>
      <c r="I1" s="19"/>
    </row>
    <row r="2" spans="1:20" ht="15" customHeight="1" x14ac:dyDescent="0.3">
      <c r="A2" s="18"/>
      <c r="B2" s="25"/>
      <c r="C2" s="25"/>
      <c r="D2" s="21"/>
      <c r="E2" s="21"/>
      <c r="F2" s="21"/>
      <c r="G2" s="21"/>
      <c r="H2" s="21"/>
      <c r="I2" s="20"/>
    </row>
    <row r="3" spans="1:20" ht="15" customHeight="1" x14ac:dyDescent="0.3">
      <c r="A3" s="18"/>
      <c r="B3" s="21"/>
      <c r="C3" s="21"/>
      <c r="D3" s="26"/>
      <c r="E3" s="21"/>
      <c r="F3" s="21"/>
      <c r="G3" s="21"/>
      <c r="H3" s="21"/>
      <c r="I3" s="20"/>
      <c r="K3" s="486" t="s">
        <v>3462</v>
      </c>
      <c r="L3" s="486"/>
      <c r="M3" s="486"/>
      <c r="N3" s="486"/>
      <c r="O3" s="486"/>
      <c r="P3" s="486"/>
      <c r="Q3" s="486"/>
      <c r="R3" s="486"/>
      <c r="S3" s="486"/>
      <c r="T3" s="486"/>
    </row>
    <row r="4" spans="1:20" ht="15" customHeight="1" x14ac:dyDescent="0.3">
      <c r="A4" s="18"/>
      <c r="B4" s="58" t="s">
        <v>3462</v>
      </c>
      <c r="C4" s="97" cm="1">
        <f t="array" ref="C4">_xll.U.TODAY()</f>
        <v>46145</v>
      </c>
      <c r="D4" s="26"/>
      <c r="E4" s="21"/>
      <c r="F4" s="21"/>
      <c r="G4" s="21"/>
      <c r="H4" s="21"/>
      <c r="I4" s="20"/>
      <c r="K4" s="487" t="s">
        <v>333</v>
      </c>
      <c r="L4" s="487"/>
      <c r="M4" s="487" t="s">
        <v>558</v>
      </c>
      <c r="N4" s="487"/>
      <c r="O4" s="487"/>
      <c r="P4" s="487"/>
      <c r="Q4" s="487"/>
      <c r="R4" s="487"/>
      <c r="S4" s="487"/>
      <c r="T4" s="487"/>
    </row>
    <row r="5" spans="1:20" x14ac:dyDescent="0.3">
      <c r="A5" s="18"/>
      <c r="B5" s="21"/>
      <c r="C5" s="21"/>
      <c r="D5" s="21"/>
      <c r="E5" s="21"/>
      <c r="F5" s="21"/>
      <c r="G5" s="21"/>
      <c r="H5" s="21"/>
      <c r="I5" s="20"/>
      <c r="K5" s="487"/>
      <c r="L5" s="487"/>
      <c r="M5" s="487"/>
      <c r="N5" s="487"/>
      <c r="O5" s="487"/>
      <c r="P5" s="487"/>
      <c r="Q5" s="487"/>
      <c r="R5" s="487"/>
      <c r="S5" s="487"/>
      <c r="T5" s="487"/>
    </row>
    <row r="6" spans="1:20" x14ac:dyDescent="0.3">
      <c r="A6" s="18"/>
      <c r="B6" s="21"/>
      <c r="C6" s="21"/>
      <c r="D6" s="21"/>
      <c r="E6" s="21"/>
      <c r="F6" s="21"/>
      <c r="G6" s="21"/>
      <c r="H6" s="21"/>
      <c r="I6" s="20"/>
      <c r="K6" s="487"/>
      <c r="L6" s="487"/>
      <c r="M6" s="487"/>
      <c r="N6" s="487"/>
      <c r="O6" s="487"/>
      <c r="P6" s="487"/>
      <c r="Q6" s="487"/>
      <c r="R6" s="487"/>
      <c r="S6" s="487"/>
      <c r="T6" s="487"/>
    </row>
    <row r="7" spans="1:20" x14ac:dyDescent="0.3">
      <c r="A7" s="18"/>
      <c r="B7" s="21"/>
      <c r="C7" s="21"/>
      <c r="D7" s="21"/>
      <c r="E7" s="21"/>
      <c r="F7" s="21"/>
      <c r="G7" s="21"/>
      <c r="H7" s="21"/>
      <c r="I7" s="20"/>
      <c r="K7" s="483" t="s">
        <v>323</v>
      </c>
      <c r="L7" s="483"/>
      <c r="M7" s="483" t="s">
        <v>1</v>
      </c>
      <c r="N7" s="483"/>
      <c r="O7" s="483"/>
      <c r="P7" s="483"/>
      <c r="Q7" s="483"/>
      <c r="R7" s="483"/>
      <c r="S7" s="483"/>
      <c r="T7" s="85" t="s">
        <v>324</v>
      </c>
    </row>
    <row r="8" spans="1:20" ht="15" customHeight="1" x14ac:dyDescent="0.3">
      <c r="A8" s="18"/>
      <c r="B8" s="21"/>
      <c r="C8" s="21"/>
      <c r="D8" s="21"/>
      <c r="E8" s="21"/>
      <c r="F8" s="21"/>
      <c r="G8" s="21"/>
      <c r="H8" s="21"/>
      <c r="I8" s="20"/>
      <c r="K8" s="484" t="s">
        <v>557</v>
      </c>
      <c r="L8" s="484"/>
      <c r="M8" s="484" t="s">
        <v>559</v>
      </c>
      <c r="N8" s="484"/>
      <c r="O8" s="484"/>
      <c r="P8" s="484"/>
      <c r="Q8" s="484"/>
      <c r="R8" s="484"/>
      <c r="S8" s="484"/>
      <c r="T8" s="485" t="s">
        <v>326</v>
      </c>
    </row>
    <row r="9" spans="1:20" x14ac:dyDescent="0.3">
      <c r="A9" s="18"/>
      <c r="B9" s="21"/>
      <c r="C9" s="21"/>
      <c r="D9" s="21"/>
      <c r="E9" s="21"/>
      <c r="F9" s="21"/>
      <c r="G9" s="21"/>
      <c r="H9" s="21"/>
      <c r="I9" s="20"/>
      <c r="K9" s="484"/>
      <c r="L9" s="484"/>
      <c r="M9" s="484"/>
      <c r="N9" s="484"/>
      <c r="O9" s="484"/>
      <c r="P9" s="484"/>
      <c r="Q9" s="484"/>
      <c r="R9" s="484"/>
      <c r="S9" s="484"/>
      <c r="T9" s="485"/>
    </row>
    <row r="10" spans="1:20" x14ac:dyDescent="0.3">
      <c r="A10" s="18"/>
      <c r="B10" s="21"/>
      <c r="C10" s="21"/>
      <c r="D10" s="21"/>
      <c r="E10" s="21"/>
      <c r="F10" s="21"/>
      <c r="G10" s="21"/>
      <c r="H10" s="21"/>
      <c r="I10" s="20"/>
      <c r="K10" s="484"/>
      <c r="L10" s="484"/>
      <c r="M10" s="484"/>
      <c r="N10" s="484"/>
      <c r="O10" s="484"/>
      <c r="P10" s="484"/>
      <c r="Q10" s="484"/>
      <c r="R10" s="484"/>
      <c r="S10" s="484"/>
      <c r="T10" s="485"/>
    </row>
    <row r="11" spans="1:20" ht="15" customHeight="1" x14ac:dyDescent="0.3">
      <c r="A11" s="18"/>
      <c r="B11" s="21"/>
      <c r="C11" s="21"/>
      <c r="D11" s="21"/>
      <c r="E11" s="21"/>
      <c r="F11" s="21"/>
      <c r="G11" s="21"/>
      <c r="H11" s="21"/>
      <c r="I11" s="20"/>
      <c r="K11" s="126" t="s">
        <v>328</v>
      </c>
    </row>
    <row r="12" spans="1:20" x14ac:dyDescent="0.3">
      <c r="A12" s="18"/>
      <c r="B12" s="21"/>
      <c r="C12" s="21"/>
      <c r="D12" s="21"/>
      <c r="E12" s="21"/>
      <c r="F12" s="21"/>
      <c r="G12" s="21"/>
      <c r="H12" s="21"/>
      <c r="I12" s="20"/>
    </row>
    <row r="13" spans="1:20" x14ac:dyDescent="0.3">
      <c r="A13" s="18"/>
      <c r="B13" s="21"/>
      <c r="C13" s="21"/>
      <c r="D13" s="21"/>
      <c r="E13" s="21"/>
      <c r="F13" s="21"/>
      <c r="G13" s="21"/>
      <c r="H13" s="21"/>
      <c r="I13" s="20"/>
    </row>
    <row r="14" spans="1:20" ht="15" customHeight="1" x14ac:dyDescent="0.3">
      <c r="A14" s="18"/>
      <c r="B14" s="21"/>
      <c r="C14" s="21"/>
      <c r="D14" s="21"/>
      <c r="E14" s="21"/>
      <c r="F14" s="21"/>
      <c r="G14" s="21"/>
      <c r="H14" s="21"/>
      <c r="I14" s="20"/>
      <c r="K14" s="486" t="s">
        <v>3463</v>
      </c>
      <c r="L14" s="486"/>
      <c r="M14" s="486"/>
      <c r="N14" s="486"/>
      <c r="O14" s="486"/>
      <c r="P14" s="486"/>
      <c r="Q14" s="486"/>
      <c r="R14" s="486"/>
      <c r="S14" s="486"/>
      <c r="T14" s="486"/>
    </row>
    <row r="15" spans="1:20" x14ac:dyDescent="0.3">
      <c r="A15" s="18"/>
      <c r="B15" s="21"/>
      <c r="C15" s="21"/>
      <c r="D15" s="21"/>
      <c r="E15" s="21"/>
      <c r="F15" s="21"/>
      <c r="G15" s="21"/>
      <c r="H15" s="21"/>
      <c r="I15" s="20"/>
      <c r="K15" s="487" t="s">
        <v>333</v>
      </c>
      <c r="L15" s="487"/>
      <c r="M15" s="487" t="s">
        <v>560</v>
      </c>
      <c r="N15" s="487"/>
      <c r="O15" s="487"/>
      <c r="P15" s="487"/>
      <c r="Q15" s="487"/>
      <c r="R15" s="487"/>
      <c r="S15" s="487"/>
      <c r="T15" s="487"/>
    </row>
    <row r="16" spans="1:20" x14ac:dyDescent="0.3">
      <c r="A16" s="18"/>
      <c r="B16" s="21"/>
      <c r="C16" s="21"/>
      <c r="D16" s="21"/>
      <c r="E16" s="21"/>
      <c r="F16" s="21"/>
      <c r="G16" s="21"/>
      <c r="H16" s="21"/>
      <c r="I16" s="20"/>
      <c r="K16" s="487"/>
      <c r="L16" s="487"/>
      <c r="M16" s="487"/>
      <c r="N16" s="487"/>
      <c r="O16" s="487"/>
      <c r="P16" s="487"/>
      <c r="Q16" s="487"/>
      <c r="R16" s="487"/>
      <c r="S16" s="487"/>
      <c r="T16" s="487"/>
    </row>
    <row r="17" spans="1:20" x14ac:dyDescent="0.3">
      <c r="A17" s="18"/>
      <c r="B17" s="21"/>
      <c r="C17" s="21"/>
      <c r="D17" s="21"/>
      <c r="E17" s="21"/>
      <c r="F17" s="21"/>
      <c r="G17" s="21"/>
      <c r="H17" s="21"/>
      <c r="I17" s="20"/>
      <c r="K17" s="487"/>
      <c r="L17" s="487"/>
      <c r="M17" s="487"/>
      <c r="N17" s="487"/>
      <c r="O17" s="487"/>
      <c r="P17" s="487"/>
      <c r="Q17" s="487"/>
      <c r="R17" s="487"/>
      <c r="S17" s="487"/>
      <c r="T17" s="487"/>
    </row>
    <row r="18" spans="1:20" x14ac:dyDescent="0.3">
      <c r="A18" s="18"/>
      <c r="B18" s="58" t="s">
        <v>3463</v>
      </c>
      <c r="C18" s="264" cm="1">
        <f t="array" ref="C18">_xll.U.NOW()</f>
        <v>46145.893229166701</v>
      </c>
      <c r="D18" s="21"/>
      <c r="E18" s="21"/>
      <c r="F18" s="21"/>
      <c r="G18" s="21"/>
      <c r="H18" s="21"/>
      <c r="I18" s="20"/>
      <c r="K18" s="483" t="s">
        <v>323</v>
      </c>
      <c r="L18" s="483"/>
      <c r="M18" s="483" t="s">
        <v>1</v>
      </c>
      <c r="N18" s="483"/>
      <c r="O18" s="483"/>
      <c r="P18" s="483"/>
      <c r="Q18" s="483"/>
      <c r="R18" s="483"/>
      <c r="S18" s="483"/>
      <c r="T18" s="85" t="s">
        <v>324</v>
      </c>
    </row>
    <row r="19" spans="1:20" x14ac:dyDescent="0.3">
      <c r="A19" s="18"/>
      <c r="B19" s="21"/>
      <c r="C19" s="21"/>
      <c r="D19" s="21"/>
      <c r="E19" s="21"/>
      <c r="F19" s="21"/>
      <c r="G19" s="21"/>
      <c r="H19" s="21"/>
      <c r="I19" s="20"/>
      <c r="K19" s="484" t="s">
        <v>561</v>
      </c>
      <c r="L19" s="484"/>
      <c r="M19" s="484" t="s">
        <v>983</v>
      </c>
      <c r="N19" s="484"/>
      <c r="O19" s="484"/>
      <c r="P19" s="484"/>
      <c r="Q19" s="484"/>
      <c r="R19" s="484"/>
      <c r="S19" s="484"/>
      <c r="T19" s="485" t="s">
        <v>326</v>
      </c>
    </row>
    <row r="20" spans="1:20" x14ac:dyDescent="0.3">
      <c r="A20" s="18"/>
      <c r="B20" s="21"/>
      <c r="C20" s="21"/>
      <c r="D20" s="21"/>
      <c r="E20" s="21"/>
      <c r="F20" s="21"/>
      <c r="G20" s="21"/>
      <c r="H20" s="21"/>
      <c r="I20" s="20"/>
      <c r="K20" s="484"/>
      <c r="L20" s="484"/>
      <c r="M20" s="484"/>
      <c r="N20" s="484"/>
      <c r="O20" s="484"/>
      <c r="P20" s="484"/>
      <c r="Q20" s="484"/>
      <c r="R20" s="484"/>
      <c r="S20" s="484"/>
      <c r="T20" s="485"/>
    </row>
    <row r="21" spans="1:20" x14ac:dyDescent="0.3">
      <c r="A21" s="18"/>
      <c r="B21" s="21"/>
      <c r="C21" s="21"/>
      <c r="D21" s="21"/>
      <c r="E21" s="21"/>
      <c r="F21" s="21"/>
      <c r="G21" s="21"/>
      <c r="H21" s="21"/>
      <c r="I21" s="20"/>
      <c r="K21" s="484"/>
      <c r="L21" s="484"/>
      <c r="M21" s="484"/>
      <c r="N21" s="484"/>
      <c r="O21" s="484"/>
      <c r="P21" s="484"/>
      <c r="Q21" s="484"/>
      <c r="R21" s="484"/>
      <c r="S21" s="484"/>
      <c r="T21" s="485"/>
    </row>
    <row r="22" spans="1:20" x14ac:dyDescent="0.3">
      <c r="A22" s="18"/>
      <c r="B22" s="58" t="s">
        <v>3463</v>
      </c>
      <c r="C22" s="264" cm="1">
        <f t="array" ref="C22">_xll.U.NOW(5)</f>
        <v>46145.895486111112</v>
      </c>
      <c r="D22" s="21"/>
      <c r="E22" s="21"/>
      <c r="F22" s="21"/>
      <c r="G22" s="21"/>
      <c r="H22" s="21"/>
      <c r="I22" s="20"/>
      <c r="K22" s="126" t="s">
        <v>328</v>
      </c>
    </row>
    <row r="23" spans="1:20" x14ac:dyDescent="0.3">
      <c r="A23" s="18"/>
      <c r="B23" s="21"/>
      <c r="C23" s="21"/>
      <c r="D23" s="21"/>
      <c r="E23" s="21"/>
      <c r="F23" s="21"/>
      <c r="G23" s="21"/>
      <c r="H23" s="21"/>
      <c r="I23" s="20"/>
    </row>
    <row r="24" spans="1:20" x14ac:dyDescent="0.3">
      <c r="A24" s="18"/>
      <c r="B24" s="21"/>
      <c r="C24" s="21"/>
      <c r="D24" s="21"/>
      <c r="E24" s="21"/>
      <c r="F24" s="21"/>
      <c r="G24" s="21"/>
      <c r="H24" s="21"/>
      <c r="I24" s="20"/>
    </row>
    <row r="25" spans="1:20" x14ac:dyDescent="0.3">
      <c r="A25" s="18"/>
      <c r="B25" s="21"/>
      <c r="C25" s="21"/>
      <c r="D25" s="21"/>
      <c r="E25" s="21"/>
      <c r="F25" s="21"/>
      <c r="G25" s="21"/>
      <c r="H25" s="21"/>
      <c r="I25" s="20"/>
      <c r="K25" s="486" t="s">
        <v>3464</v>
      </c>
      <c r="L25" s="486"/>
      <c r="M25" s="486"/>
      <c r="N25" s="486"/>
      <c r="O25" s="486"/>
      <c r="P25" s="486"/>
      <c r="Q25" s="486"/>
      <c r="R25" s="486"/>
      <c r="S25" s="486"/>
      <c r="T25" s="486"/>
    </row>
    <row r="26" spans="1:20" x14ac:dyDescent="0.3">
      <c r="A26" s="18"/>
      <c r="B26" s="21"/>
      <c r="C26" s="21"/>
      <c r="D26" s="21"/>
      <c r="E26" s="21"/>
      <c r="F26" s="21"/>
      <c r="G26" s="21"/>
      <c r="H26" s="21"/>
      <c r="I26" s="20"/>
      <c r="K26" s="487" t="s">
        <v>333</v>
      </c>
      <c r="L26" s="487"/>
      <c r="M26" s="487" t="s">
        <v>1255</v>
      </c>
      <c r="N26" s="487"/>
      <c r="O26" s="487"/>
      <c r="P26" s="487"/>
      <c r="Q26" s="487"/>
      <c r="R26" s="487"/>
      <c r="S26" s="487"/>
      <c r="T26" s="487"/>
    </row>
    <row r="27" spans="1:20" x14ac:dyDescent="0.3">
      <c r="A27" s="18"/>
      <c r="B27" s="21"/>
      <c r="C27" s="21"/>
      <c r="D27" s="21"/>
      <c r="E27" s="21"/>
      <c r="F27" s="21"/>
      <c r="G27" s="21"/>
      <c r="H27" s="21"/>
      <c r="I27" s="20"/>
      <c r="K27" s="487"/>
      <c r="L27" s="487"/>
      <c r="M27" s="487"/>
      <c r="N27" s="487"/>
      <c r="O27" s="487"/>
      <c r="P27" s="487"/>
      <c r="Q27" s="487"/>
      <c r="R27" s="487"/>
      <c r="S27" s="487"/>
      <c r="T27" s="487"/>
    </row>
    <row r="28" spans="1:20" x14ac:dyDescent="0.3">
      <c r="A28" s="18"/>
      <c r="B28" s="21"/>
      <c r="C28" s="21"/>
      <c r="D28" s="21"/>
      <c r="E28" s="21"/>
      <c r="F28" s="21"/>
      <c r="G28" s="21"/>
      <c r="H28" s="21"/>
      <c r="I28" s="20"/>
      <c r="K28" s="487"/>
      <c r="L28" s="487"/>
      <c r="M28" s="487"/>
      <c r="N28" s="487"/>
      <c r="O28" s="487"/>
      <c r="P28" s="487"/>
      <c r="Q28" s="487"/>
      <c r="R28" s="487"/>
      <c r="S28" s="487"/>
      <c r="T28" s="487"/>
    </row>
    <row r="29" spans="1:20" x14ac:dyDescent="0.3">
      <c r="A29" s="18"/>
      <c r="B29" s="21"/>
      <c r="C29" s="21"/>
      <c r="D29" s="21"/>
      <c r="E29" s="21"/>
      <c r="F29" s="21"/>
      <c r="G29" s="21"/>
      <c r="H29" s="21"/>
      <c r="I29" s="20"/>
      <c r="K29" s="483" t="s">
        <v>323</v>
      </c>
      <c r="L29" s="483"/>
      <c r="M29" s="483" t="s">
        <v>1</v>
      </c>
      <c r="N29" s="483"/>
      <c r="O29" s="483"/>
      <c r="P29" s="483"/>
      <c r="Q29" s="483"/>
      <c r="R29" s="483"/>
      <c r="S29" s="483"/>
      <c r="T29" s="85" t="s">
        <v>324</v>
      </c>
    </row>
    <row r="30" spans="1:20" x14ac:dyDescent="0.3">
      <c r="A30" s="18"/>
      <c r="B30" s="21"/>
      <c r="C30" s="21"/>
      <c r="D30" s="21"/>
      <c r="E30" s="21"/>
      <c r="F30" s="21"/>
      <c r="G30" s="21"/>
      <c r="H30" s="21"/>
      <c r="I30" s="20"/>
      <c r="K30" s="484" t="s">
        <v>561</v>
      </c>
      <c r="L30" s="484"/>
      <c r="M30" s="484" t="s">
        <v>983</v>
      </c>
      <c r="N30" s="484"/>
      <c r="O30" s="484"/>
      <c r="P30" s="484"/>
      <c r="Q30" s="484"/>
      <c r="R30" s="484"/>
      <c r="S30" s="484"/>
      <c r="T30" s="485" t="s">
        <v>326</v>
      </c>
    </row>
    <row r="31" spans="1:20" x14ac:dyDescent="0.3">
      <c r="A31" s="18"/>
      <c r="B31" s="21"/>
      <c r="C31" s="21"/>
      <c r="D31" s="21"/>
      <c r="E31" s="21"/>
      <c r="F31" s="21"/>
      <c r="G31" s="21"/>
      <c r="H31" s="21"/>
      <c r="I31" s="20"/>
      <c r="K31" s="484"/>
      <c r="L31" s="484"/>
      <c r="M31" s="484"/>
      <c r="N31" s="484"/>
      <c r="O31" s="484"/>
      <c r="P31" s="484"/>
      <c r="Q31" s="484"/>
      <c r="R31" s="484"/>
      <c r="S31" s="484"/>
      <c r="T31" s="485"/>
    </row>
    <row r="32" spans="1:20" x14ac:dyDescent="0.3">
      <c r="A32" s="18"/>
      <c r="B32" s="21"/>
      <c r="C32" s="21"/>
      <c r="D32" s="21"/>
      <c r="E32" s="21"/>
      <c r="F32" s="21"/>
      <c r="G32" s="21"/>
      <c r="H32" s="21"/>
      <c r="I32" s="20"/>
      <c r="K32" s="484"/>
      <c r="L32" s="484"/>
      <c r="M32" s="484"/>
      <c r="N32" s="484"/>
      <c r="O32" s="484"/>
      <c r="P32" s="484"/>
      <c r="Q32" s="484"/>
      <c r="R32" s="484"/>
      <c r="S32" s="484"/>
      <c r="T32" s="485"/>
    </row>
    <row r="33" spans="1:20" x14ac:dyDescent="0.3">
      <c r="A33" s="18"/>
      <c r="B33" s="21"/>
      <c r="C33" s="21"/>
      <c r="D33" s="21"/>
      <c r="E33" s="21"/>
      <c r="F33" s="21"/>
      <c r="G33" s="21"/>
      <c r="H33" s="21"/>
      <c r="I33" s="20"/>
      <c r="K33" s="126" t="s">
        <v>328</v>
      </c>
    </row>
    <row r="34" spans="1:20" x14ac:dyDescent="0.3">
      <c r="A34" s="18"/>
      <c r="B34" s="21"/>
      <c r="C34" s="21"/>
      <c r="D34" s="21"/>
      <c r="E34" s="21"/>
      <c r="F34" s="21"/>
      <c r="G34" s="21"/>
      <c r="H34" s="21"/>
      <c r="I34" s="20"/>
    </row>
    <row r="35" spans="1:20" x14ac:dyDescent="0.3">
      <c r="A35" s="18"/>
      <c r="B35" s="21"/>
      <c r="C35" s="21"/>
      <c r="D35" s="21"/>
      <c r="E35" s="21"/>
      <c r="F35" s="21"/>
      <c r="G35" s="21"/>
      <c r="H35" s="21"/>
      <c r="I35" s="20"/>
    </row>
    <row r="36" spans="1:20" ht="15" customHeight="1" x14ac:dyDescent="0.3">
      <c r="A36" s="18"/>
      <c r="B36" s="21"/>
      <c r="C36" s="21"/>
      <c r="D36" s="21"/>
      <c r="E36" s="21"/>
      <c r="F36" s="21"/>
      <c r="G36" s="21"/>
      <c r="H36" s="21"/>
      <c r="I36" s="20"/>
      <c r="K36" s="486" t="s">
        <v>3465</v>
      </c>
      <c r="L36" s="486"/>
      <c r="M36" s="486"/>
      <c r="N36" s="486"/>
      <c r="O36" s="486"/>
      <c r="P36" s="486"/>
      <c r="Q36" s="486"/>
      <c r="R36" s="486"/>
      <c r="S36" s="486"/>
      <c r="T36" s="486"/>
    </row>
    <row r="37" spans="1:20" x14ac:dyDescent="0.3">
      <c r="A37" s="18"/>
      <c r="B37" s="21"/>
      <c r="C37" s="21"/>
      <c r="D37" s="21"/>
      <c r="E37" s="21"/>
      <c r="F37" s="21"/>
      <c r="G37" s="21"/>
      <c r="H37" s="21"/>
      <c r="I37" s="20"/>
      <c r="K37" s="487" t="s">
        <v>333</v>
      </c>
      <c r="L37" s="487"/>
      <c r="M37" s="487" t="s">
        <v>564</v>
      </c>
      <c r="N37" s="487"/>
      <c r="O37" s="487"/>
      <c r="P37" s="487"/>
      <c r="Q37" s="487"/>
      <c r="R37" s="487"/>
      <c r="S37" s="487"/>
      <c r="T37" s="487"/>
    </row>
    <row r="38" spans="1:20" x14ac:dyDescent="0.3">
      <c r="A38" s="18"/>
      <c r="B38" s="58" t="s">
        <v>3464</v>
      </c>
      <c r="C38" s="264" cm="1">
        <f t="array" ref="C38">_xll.U.TIME()</f>
        <v>0.89322916666424101</v>
      </c>
      <c r="D38" s="21"/>
      <c r="E38" s="21"/>
      <c r="F38" s="21"/>
      <c r="G38" s="21"/>
      <c r="H38" s="21"/>
      <c r="I38" s="20"/>
      <c r="K38" s="487"/>
      <c r="L38" s="487"/>
      <c r="M38" s="487"/>
      <c r="N38" s="487"/>
      <c r="O38" s="487"/>
      <c r="P38" s="487"/>
      <c r="Q38" s="487"/>
      <c r="R38" s="487"/>
      <c r="S38" s="487"/>
      <c r="T38" s="487"/>
    </row>
    <row r="39" spans="1:20" x14ac:dyDescent="0.3">
      <c r="A39" s="18"/>
      <c r="B39" s="21"/>
      <c r="C39" s="21"/>
      <c r="D39" s="21"/>
      <c r="E39" s="21"/>
      <c r="F39" s="21"/>
      <c r="G39" s="21"/>
      <c r="H39" s="21"/>
      <c r="I39" s="20"/>
      <c r="K39" s="487"/>
      <c r="L39" s="487"/>
      <c r="M39" s="487"/>
      <c r="N39" s="487"/>
      <c r="O39" s="487"/>
      <c r="P39" s="487"/>
      <c r="Q39" s="487"/>
      <c r="R39" s="487"/>
      <c r="S39" s="487"/>
      <c r="T39" s="487"/>
    </row>
    <row r="40" spans="1:20" x14ac:dyDescent="0.3">
      <c r="A40" s="18"/>
      <c r="B40" s="21"/>
      <c r="C40" s="21"/>
      <c r="D40" s="21"/>
      <c r="E40" s="21"/>
      <c r="F40" s="21"/>
      <c r="G40" s="21"/>
      <c r="H40" s="21"/>
      <c r="I40" s="20"/>
      <c r="K40" s="483" t="s">
        <v>323</v>
      </c>
      <c r="L40" s="483"/>
      <c r="M40" s="483" t="s">
        <v>1</v>
      </c>
      <c r="N40" s="483"/>
      <c r="O40" s="483"/>
      <c r="P40" s="483"/>
      <c r="Q40" s="483"/>
      <c r="R40" s="483"/>
      <c r="S40" s="483"/>
      <c r="T40" s="85" t="s">
        <v>324</v>
      </c>
    </row>
    <row r="41" spans="1:20" x14ac:dyDescent="0.3">
      <c r="A41" s="528" t="s">
        <v>302</v>
      </c>
      <c r="B41" s="528"/>
      <c r="C41" s="528"/>
      <c r="D41" s="528"/>
      <c r="E41" s="528"/>
      <c r="F41" s="528"/>
      <c r="G41" s="528"/>
      <c r="H41" s="21"/>
      <c r="I41" s="20"/>
      <c r="K41" s="487" t="s">
        <v>499</v>
      </c>
      <c r="L41" s="487"/>
      <c r="M41" s="487" t="s">
        <v>565</v>
      </c>
      <c r="N41" s="487"/>
      <c r="O41" s="487"/>
      <c r="P41" s="487"/>
      <c r="Q41" s="487"/>
      <c r="R41" s="487"/>
      <c r="S41" s="487"/>
      <c r="T41" s="509" t="s">
        <v>325</v>
      </c>
    </row>
    <row r="42" spans="1:20" ht="15" customHeight="1" x14ac:dyDescent="0.3">
      <c r="A42" s="18"/>
      <c r="B42" s="21"/>
      <c r="C42" s="21"/>
      <c r="D42" s="21"/>
      <c r="E42" s="21"/>
      <c r="F42" s="21"/>
      <c r="G42" s="21"/>
      <c r="H42" s="21"/>
      <c r="I42" s="20"/>
      <c r="K42" s="487"/>
      <c r="L42" s="487"/>
      <c r="M42" s="487"/>
      <c r="N42" s="487"/>
      <c r="O42" s="487"/>
      <c r="P42" s="487"/>
      <c r="Q42" s="487"/>
      <c r="R42" s="487"/>
      <c r="S42" s="487"/>
      <c r="T42" s="509"/>
    </row>
    <row r="43" spans="1:20" x14ac:dyDescent="0.3">
      <c r="A43" s="18"/>
      <c r="B43" s="101" t="s">
        <v>305</v>
      </c>
      <c r="C43" s="21"/>
      <c r="D43" s="101" t="s">
        <v>3465</v>
      </c>
      <c r="E43" s="21"/>
      <c r="F43" s="21"/>
      <c r="G43" s="21"/>
      <c r="H43" s="21"/>
      <c r="I43" s="20"/>
      <c r="K43" s="487"/>
      <c r="L43" s="487"/>
      <c r="M43" s="487"/>
      <c r="N43" s="487"/>
      <c r="O43" s="487"/>
      <c r="P43" s="487"/>
      <c r="Q43" s="487"/>
      <c r="R43" s="487"/>
      <c r="S43" s="487"/>
      <c r="T43" s="509"/>
    </row>
    <row r="44" spans="1:20" x14ac:dyDescent="0.3">
      <c r="A44" s="18"/>
      <c r="B44" s="30" t="s">
        <v>303</v>
      </c>
      <c r="C44" s="21"/>
      <c r="D44" s="120" cm="1">
        <f t="array" ref="D44">_xll.U.PARSE_DATETIME(B44)</f>
        <v>43224</v>
      </c>
      <c r="E44" s="21"/>
      <c r="F44" s="21"/>
      <c r="G44" s="21"/>
      <c r="H44" s="21"/>
      <c r="I44" s="20"/>
      <c r="K44" s="484" t="s">
        <v>562</v>
      </c>
      <c r="L44" s="484"/>
      <c r="M44" s="484" t="s">
        <v>3095</v>
      </c>
      <c r="N44" s="484"/>
      <c r="O44" s="484"/>
      <c r="P44" s="484"/>
      <c r="Q44" s="484"/>
      <c r="R44" s="484"/>
      <c r="S44" s="484"/>
      <c r="T44" s="505" t="s">
        <v>326</v>
      </c>
    </row>
    <row r="45" spans="1:20" x14ac:dyDescent="0.3">
      <c r="A45" s="18"/>
      <c r="B45" s="100" t="s">
        <v>304</v>
      </c>
      <c r="C45" s="21"/>
      <c r="D45" s="120" cm="1">
        <f t="array" ref="D45">_xll.U.PARSE_DATETIME(B45)</f>
        <v>43224</v>
      </c>
      <c r="E45" s="21"/>
      <c r="F45" s="21"/>
      <c r="G45" s="21"/>
      <c r="H45" s="21"/>
      <c r="I45" s="20"/>
      <c r="K45" s="484"/>
      <c r="L45" s="484"/>
      <c r="M45" s="484"/>
      <c r="N45" s="484"/>
      <c r="O45" s="484"/>
      <c r="P45" s="484"/>
      <c r="Q45" s="484"/>
      <c r="R45" s="484"/>
      <c r="S45" s="484"/>
      <c r="T45" s="506"/>
    </row>
    <row r="46" spans="1:20" x14ac:dyDescent="0.3">
      <c r="A46" s="18"/>
      <c r="B46" s="119" t="s">
        <v>310</v>
      </c>
      <c r="C46" s="21"/>
      <c r="D46" s="120" cm="1">
        <f t="array" ref="D46">_xll.U.PARSE_DATETIME(B46)</f>
        <v>43224</v>
      </c>
      <c r="E46" s="21"/>
      <c r="F46" s="21"/>
      <c r="G46" s="21"/>
      <c r="H46" s="21"/>
      <c r="I46" s="20"/>
      <c r="K46" s="484"/>
      <c r="L46" s="484"/>
      <c r="M46" s="484"/>
      <c r="N46" s="484"/>
      <c r="O46" s="484"/>
      <c r="P46" s="484"/>
      <c r="Q46" s="484"/>
      <c r="R46" s="484"/>
      <c r="S46" s="484"/>
      <c r="T46" s="507"/>
    </row>
    <row r="47" spans="1:20" x14ac:dyDescent="0.3">
      <c r="A47" s="18"/>
      <c r="B47" s="121" t="s">
        <v>306</v>
      </c>
      <c r="C47" s="21"/>
      <c r="D47" s="122" cm="1">
        <f t="array" ref="D47">_xll.U.PARSE_DATETIME(B47)</f>
        <v>46072.458333333336</v>
      </c>
      <c r="E47" s="21"/>
      <c r="F47" s="21"/>
      <c r="G47" s="21"/>
      <c r="H47" s="21"/>
      <c r="I47" s="20"/>
      <c r="K47" s="484" t="s">
        <v>563</v>
      </c>
      <c r="L47" s="484"/>
      <c r="M47" s="484" t="s">
        <v>566</v>
      </c>
      <c r="N47" s="484"/>
      <c r="O47" s="484"/>
      <c r="P47" s="484"/>
      <c r="Q47" s="484"/>
      <c r="R47" s="484"/>
      <c r="S47" s="484"/>
      <c r="T47" s="505" t="s">
        <v>326</v>
      </c>
    </row>
    <row r="48" spans="1:20" x14ac:dyDescent="0.3">
      <c r="A48" s="18"/>
      <c r="B48" s="121" t="s">
        <v>307</v>
      </c>
      <c r="C48" s="21"/>
      <c r="D48" s="122" cm="1">
        <f t="array" ref="D48">_xll.U.PARSE_DATETIME(B48)</f>
        <v>46026.625</v>
      </c>
      <c r="E48" s="21"/>
      <c r="F48" s="21"/>
      <c r="G48" s="21"/>
      <c r="H48" s="21"/>
      <c r="I48" s="20"/>
      <c r="K48" s="484"/>
      <c r="L48" s="484"/>
      <c r="M48" s="484"/>
      <c r="N48" s="484"/>
      <c r="O48" s="484"/>
      <c r="P48" s="484"/>
      <c r="Q48" s="484"/>
      <c r="R48" s="484"/>
      <c r="S48" s="484"/>
      <c r="T48" s="506"/>
    </row>
    <row r="49" spans="1:20" x14ac:dyDescent="0.3">
      <c r="A49" s="18"/>
      <c r="B49" s="119" t="s">
        <v>309</v>
      </c>
      <c r="C49" s="21"/>
      <c r="D49" s="120" cm="1">
        <f t="array" ref="D49">_xll.U.PARSE_DATETIME(B49)</f>
        <v>43064</v>
      </c>
      <c r="E49" s="21"/>
      <c r="F49" s="21"/>
      <c r="G49" s="21"/>
      <c r="H49" s="21"/>
      <c r="I49" s="20"/>
      <c r="K49" s="484"/>
      <c r="L49" s="484"/>
      <c r="M49" s="484"/>
      <c r="N49" s="484"/>
      <c r="O49" s="484"/>
      <c r="P49" s="484"/>
      <c r="Q49" s="484"/>
      <c r="R49" s="484"/>
      <c r="S49" s="484"/>
      <c r="T49" s="507"/>
    </row>
    <row r="50" spans="1:20" x14ac:dyDescent="0.3">
      <c r="A50" s="18"/>
      <c r="B50" s="119" t="s">
        <v>316</v>
      </c>
      <c r="C50" s="21"/>
      <c r="D50" s="120" cm="1">
        <f t="array" ref="D50">_xll.U.PARSE_DATETIME(B50)</f>
        <v>43040</v>
      </c>
      <c r="E50" s="21"/>
      <c r="F50" s="21"/>
      <c r="G50" s="21"/>
      <c r="H50" s="21"/>
      <c r="I50" s="20"/>
      <c r="K50" s="484" t="s">
        <v>924</v>
      </c>
      <c r="L50" s="484"/>
      <c r="M50" s="484" t="s">
        <v>3838</v>
      </c>
      <c r="N50" s="484"/>
      <c r="O50" s="484"/>
      <c r="P50" s="484"/>
      <c r="Q50" s="484"/>
      <c r="R50" s="484"/>
      <c r="S50" s="484"/>
      <c r="T50" s="505" t="s">
        <v>326</v>
      </c>
    </row>
    <row r="51" spans="1:20" x14ac:dyDescent="0.3">
      <c r="A51" s="18"/>
      <c r="B51" s="119" t="s">
        <v>308</v>
      </c>
      <c r="C51" s="21"/>
      <c r="D51" s="120" cm="1">
        <f t="array" ref="D51">_xll.U.PARSE_DATETIME(B51)</f>
        <v>43064</v>
      </c>
      <c r="E51" s="21"/>
      <c r="F51" s="21"/>
      <c r="G51" s="21"/>
      <c r="H51" s="21"/>
      <c r="I51" s="20"/>
      <c r="K51" s="484"/>
      <c r="L51" s="484"/>
      <c r="M51" s="484"/>
      <c r="N51" s="484"/>
      <c r="O51" s="484"/>
      <c r="P51" s="484"/>
      <c r="Q51" s="484"/>
      <c r="R51" s="484"/>
      <c r="S51" s="484"/>
      <c r="T51" s="506"/>
    </row>
    <row r="52" spans="1:20" x14ac:dyDescent="0.3">
      <c r="A52" s="18"/>
      <c r="B52" s="124"/>
      <c r="C52" s="21"/>
      <c r="D52" s="118"/>
      <c r="E52" s="21"/>
      <c r="F52" s="21"/>
      <c r="G52" s="21"/>
      <c r="H52" s="21"/>
      <c r="I52" s="20"/>
      <c r="K52" s="484"/>
      <c r="L52" s="484"/>
      <c r="M52" s="484"/>
      <c r="N52" s="484"/>
      <c r="O52" s="484"/>
      <c r="P52" s="484"/>
      <c r="Q52" s="484"/>
      <c r="R52" s="484"/>
      <c r="S52" s="484"/>
      <c r="T52" s="507"/>
    </row>
    <row r="53" spans="1:20" x14ac:dyDescent="0.3">
      <c r="A53" s="18"/>
      <c r="B53" s="125">
        <v>1511595031</v>
      </c>
      <c r="C53" s="21"/>
      <c r="D53" s="122" cm="1">
        <f t="array" ref="D53">_xll.U.PARSE_DATETIME(B53)</f>
        <v>43064.312858796293</v>
      </c>
      <c r="E53" s="21"/>
      <c r="F53" s="21"/>
      <c r="G53" s="21"/>
      <c r="H53" s="21"/>
      <c r="I53" s="20"/>
      <c r="K53" s="484" t="s">
        <v>921</v>
      </c>
      <c r="L53" s="484"/>
      <c r="M53" s="484" t="s">
        <v>922</v>
      </c>
      <c r="N53" s="484"/>
      <c r="O53" s="484"/>
      <c r="P53" s="484"/>
      <c r="Q53" s="484"/>
      <c r="R53" s="484"/>
      <c r="S53" s="484"/>
      <c r="T53" s="505" t="s">
        <v>326</v>
      </c>
    </row>
    <row r="54" spans="1:20" x14ac:dyDescent="0.3">
      <c r="A54" s="18"/>
      <c r="B54" s="125" t="s">
        <v>317</v>
      </c>
      <c r="C54" s="21"/>
      <c r="D54" s="122" cm="1">
        <f t="array" ref="D54">_xll.U.PARSE_DATETIME(B54)</f>
        <v>43064.312868807872</v>
      </c>
      <c r="E54" s="21"/>
      <c r="F54" s="21"/>
      <c r="G54" s="21"/>
      <c r="H54" s="21"/>
      <c r="I54" s="20"/>
      <c r="K54" s="484"/>
      <c r="L54" s="484"/>
      <c r="M54" s="484"/>
      <c r="N54" s="484"/>
      <c r="O54" s="484"/>
      <c r="P54" s="484"/>
      <c r="Q54" s="484"/>
      <c r="R54" s="484"/>
      <c r="S54" s="484"/>
      <c r="T54" s="506"/>
    </row>
    <row r="55" spans="1:20" x14ac:dyDescent="0.3">
      <c r="A55" s="18"/>
      <c r="B55" s="21"/>
      <c r="D55" s="21"/>
      <c r="E55" s="21"/>
      <c r="F55" s="21"/>
      <c r="G55" s="21"/>
      <c r="H55" s="21"/>
      <c r="I55" s="20"/>
      <c r="K55" s="484"/>
      <c r="L55" s="484"/>
      <c r="M55" s="484"/>
      <c r="N55" s="484"/>
      <c r="O55" s="484"/>
      <c r="P55" s="484"/>
      <c r="Q55" s="484"/>
      <c r="R55" s="484"/>
      <c r="S55" s="484"/>
      <c r="T55" s="507"/>
    </row>
    <row r="56" spans="1:20" x14ac:dyDescent="0.3">
      <c r="A56" s="18"/>
      <c r="B56" s="125" t="s">
        <v>315</v>
      </c>
      <c r="C56" s="21"/>
      <c r="D56" s="120" t="e" cm="1">
        <f t="array" ref="D56">_xll.U.PARSE_DATETIME(B56)</f>
        <v>#VALUE!</v>
      </c>
      <c r="E56" s="21"/>
      <c r="F56" s="21"/>
      <c r="G56" s="21"/>
      <c r="H56" s="21"/>
      <c r="I56" s="20"/>
      <c r="K56" s="126" t="s">
        <v>328</v>
      </c>
    </row>
    <row r="57" spans="1:20" x14ac:dyDescent="0.3">
      <c r="A57" s="18"/>
      <c r="B57" s="125" t="s">
        <v>315</v>
      </c>
      <c r="C57" s="21"/>
      <c r="D57" s="120" cm="1">
        <f t="array" ref="D57">_xll.U.PARSE_DATETIME(B57,"yyyy::MM::dd")</f>
        <v>43064</v>
      </c>
      <c r="E57" s="21"/>
      <c r="F57" s="21"/>
      <c r="G57" s="21"/>
      <c r="H57" s="21"/>
      <c r="I57" s="20"/>
    </row>
    <row r="58" spans="1:20" x14ac:dyDescent="0.3">
      <c r="A58" s="18"/>
      <c r="B58" s="162" t="s">
        <v>682</v>
      </c>
      <c r="C58" s="21"/>
      <c r="D58" s="120" cm="1">
        <f t="array" ref="D58">_xll.U.PARSE_DATETIME(B58,"yyyy::MM::dd")</f>
        <v>43064</v>
      </c>
      <c r="E58" s="21"/>
      <c r="F58" s="21"/>
      <c r="G58" s="21"/>
      <c r="H58" s="21"/>
      <c r="I58" s="20"/>
    </row>
    <row r="59" spans="1:20" x14ac:dyDescent="0.3">
      <c r="A59" s="18"/>
      <c r="B59" s="21"/>
      <c r="C59" s="21"/>
      <c r="D59" s="21"/>
      <c r="E59" s="21"/>
      <c r="F59" s="21"/>
      <c r="G59" s="21"/>
      <c r="H59" s="21"/>
      <c r="I59" s="20"/>
      <c r="K59" s="486" t="s">
        <v>3466</v>
      </c>
      <c r="L59" s="486"/>
      <c r="M59" s="486"/>
      <c r="N59" s="486"/>
      <c r="O59" s="486"/>
      <c r="P59" s="486"/>
      <c r="Q59" s="486"/>
      <c r="R59" s="486"/>
      <c r="S59" s="486"/>
      <c r="T59" s="486"/>
    </row>
    <row r="60" spans="1:20" x14ac:dyDescent="0.3">
      <c r="A60" s="18"/>
      <c r="B60" s="21"/>
      <c r="C60" s="21"/>
      <c r="D60" s="21"/>
      <c r="E60" s="21"/>
      <c r="F60" s="21"/>
      <c r="G60" s="21"/>
      <c r="H60" s="21"/>
      <c r="I60" s="20"/>
      <c r="K60" s="487" t="s">
        <v>333</v>
      </c>
      <c r="L60" s="487"/>
      <c r="M60" s="487" t="s">
        <v>766</v>
      </c>
      <c r="N60" s="487"/>
      <c r="O60" s="487"/>
      <c r="P60" s="487"/>
      <c r="Q60" s="487"/>
      <c r="R60" s="487"/>
      <c r="S60" s="487"/>
      <c r="T60" s="487"/>
    </row>
    <row r="61" spans="1:20" x14ac:dyDescent="0.3">
      <c r="A61" s="18"/>
      <c r="B61" s="21"/>
      <c r="C61" s="21"/>
      <c r="D61" s="21"/>
      <c r="E61" s="21"/>
      <c r="F61" s="21"/>
      <c r="G61" s="21"/>
      <c r="H61" s="21"/>
      <c r="I61" s="20"/>
      <c r="K61" s="487"/>
      <c r="L61" s="487"/>
      <c r="M61" s="487"/>
      <c r="N61" s="487"/>
      <c r="O61" s="487"/>
      <c r="P61" s="487"/>
      <c r="Q61" s="487"/>
      <c r="R61" s="487"/>
      <c r="S61" s="487"/>
      <c r="T61" s="487"/>
    </row>
    <row r="62" spans="1:20" x14ac:dyDescent="0.3">
      <c r="A62" s="18"/>
      <c r="B62" s="21"/>
      <c r="C62" s="21"/>
      <c r="D62" s="21"/>
      <c r="E62" s="21"/>
      <c r="F62" s="21"/>
      <c r="G62" s="21"/>
      <c r="H62" s="21"/>
      <c r="I62" s="20"/>
      <c r="K62" s="487"/>
      <c r="L62" s="487"/>
      <c r="M62" s="487"/>
      <c r="N62" s="487"/>
      <c r="O62" s="487"/>
      <c r="P62" s="487"/>
      <c r="Q62" s="487"/>
      <c r="R62" s="487"/>
      <c r="S62" s="487"/>
      <c r="T62" s="487"/>
    </row>
    <row r="63" spans="1:20" x14ac:dyDescent="0.3">
      <c r="A63" s="18"/>
      <c r="B63" s="21"/>
      <c r="C63" s="21"/>
      <c r="D63" s="21"/>
      <c r="E63" s="21"/>
      <c r="F63" s="21"/>
      <c r="G63" s="21"/>
      <c r="H63" s="21"/>
      <c r="I63" s="20"/>
      <c r="K63" s="483" t="s">
        <v>323</v>
      </c>
      <c r="L63" s="483"/>
      <c r="M63" s="483" t="s">
        <v>1</v>
      </c>
      <c r="N63" s="483"/>
      <c r="O63" s="483"/>
      <c r="P63" s="483"/>
      <c r="Q63" s="483"/>
      <c r="R63" s="483"/>
      <c r="S63" s="483"/>
      <c r="T63" s="85" t="s">
        <v>324</v>
      </c>
    </row>
    <row r="64" spans="1:20" x14ac:dyDescent="0.3">
      <c r="A64" s="18"/>
      <c r="B64" s="21"/>
      <c r="C64" s="21"/>
      <c r="D64" s="21"/>
      <c r="E64" s="21"/>
      <c r="F64" s="21"/>
      <c r="G64" s="21"/>
      <c r="H64" s="21"/>
      <c r="I64" s="20"/>
      <c r="K64" s="488" t="s">
        <v>775</v>
      </c>
      <c r="L64" s="488"/>
      <c r="M64" s="488" t="s">
        <v>776</v>
      </c>
      <c r="N64" s="488"/>
      <c r="O64" s="488"/>
      <c r="P64" s="488"/>
      <c r="Q64" s="488"/>
      <c r="R64" s="488"/>
      <c r="S64" s="488"/>
      <c r="T64" s="489" t="s">
        <v>325</v>
      </c>
    </row>
    <row r="65" spans="1:20" x14ac:dyDescent="0.3">
      <c r="A65" s="18"/>
      <c r="B65" s="21"/>
      <c r="C65" s="21"/>
      <c r="D65" s="21"/>
      <c r="E65" s="21"/>
      <c r="F65" s="21"/>
      <c r="G65" s="21"/>
      <c r="H65" s="21"/>
      <c r="I65" s="20"/>
      <c r="K65" s="488"/>
      <c r="L65" s="488"/>
      <c r="M65" s="488"/>
      <c r="N65" s="488"/>
      <c r="O65" s="488"/>
      <c r="P65" s="488"/>
      <c r="Q65" s="488"/>
      <c r="R65" s="488"/>
      <c r="S65" s="488"/>
      <c r="T65" s="489"/>
    </row>
    <row r="66" spans="1:20" ht="15" customHeight="1" x14ac:dyDescent="0.3">
      <c r="A66" s="18"/>
      <c r="B66" s="21"/>
      <c r="C66" s="21"/>
      <c r="D66" s="21"/>
      <c r="E66" s="21"/>
      <c r="F66" s="21"/>
      <c r="G66" s="21"/>
      <c r="H66" s="21"/>
      <c r="I66" s="20"/>
      <c r="K66" s="488"/>
      <c r="L66" s="488"/>
      <c r="M66" s="488"/>
      <c r="N66" s="488"/>
      <c r="O66" s="488"/>
      <c r="P66" s="488"/>
      <c r="Q66" s="488"/>
      <c r="R66" s="488"/>
      <c r="S66" s="488"/>
      <c r="T66" s="489"/>
    </row>
    <row r="67" spans="1:20" x14ac:dyDescent="0.3">
      <c r="A67" s="18"/>
      <c r="B67" s="100" t="s">
        <v>304</v>
      </c>
      <c r="C67" s="21"/>
      <c r="D67" s="120" cm="1">
        <f t="array" ref="D67">_xll.U.PARSE_DATETIME(B67,"UK")</f>
        <v>43195</v>
      </c>
      <c r="E67" s="21"/>
      <c r="F67" s="21"/>
      <c r="G67" s="21"/>
      <c r="H67" s="21"/>
      <c r="I67" s="20"/>
      <c r="K67" s="488" t="s">
        <v>699</v>
      </c>
      <c r="L67" s="488"/>
      <c r="M67" s="488" t="s">
        <v>2675</v>
      </c>
      <c r="N67" s="488"/>
      <c r="O67" s="488"/>
      <c r="P67" s="488"/>
      <c r="Q67" s="488"/>
      <c r="R67" s="488"/>
      <c r="S67" s="488"/>
      <c r="T67" s="489" t="s">
        <v>325</v>
      </c>
    </row>
    <row r="68" spans="1:20" x14ac:dyDescent="0.3">
      <c r="A68" s="18"/>
      <c r="B68" s="97" t="s">
        <v>311</v>
      </c>
      <c r="C68" s="21"/>
      <c r="D68" s="120" cm="1">
        <f t="array" ref="D68">_xll.U.PARSE_DATETIME(B68,"UK")</f>
        <v>43195</v>
      </c>
      <c r="E68" s="21"/>
      <c r="F68" s="21"/>
      <c r="G68" s="21"/>
      <c r="H68" s="21"/>
      <c r="I68" s="20"/>
      <c r="K68" s="488"/>
      <c r="L68" s="488"/>
      <c r="M68" s="488"/>
      <c r="N68" s="488"/>
      <c r="O68" s="488"/>
      <c r="P68" s="488"/>
      <c r="Q68" s="488"/>
      <c r="R68" s="488"/>
      <c r="S68" s="488"/>
      <c r="T68" s="489"/>
    </row>
    <row r="69" spans="1:20" x14ac:dyDescent="0.3">
      <c r="A69" s="18"/>
      <c r="B69" s="117"/>
      <c r="C69" s="21"/>
      <c r="D69" s="118"/>
      <c r="E69" s="21"/>
      <c r="F69" s="21"/>
      <c r="G69" s="21"/>
      <c r="H69" s="21"/>
      <c r="I69" s="20"/>
      <c r="K69" s="488"/>
      <c r="L69" s="488"/>
      <c r="M69" s="488"/>
      <c r="N69" s="488"/>
      <c r="O69" s="488"/>
      <c r="P69" s="488"/>
      <c r="Q69" s="488"/>
      <c r="R69" s="488"/>
      <c r="S69" s="488"/>
      <c r="T69" s="489"/>
    </row>
    <row r="70" spans="1:20" ht="15" customHeight="1" x14ac:dyDescent="0.3">
      <c r="A70" s="18"/>
      <c r="B70" s="117"/>
      <c r="C70" s="21"/>
      <c r="D70" s="118"/>
      <c r="E70" s="21"/>
      <c r="F70" s="21"/>
      <c r="G70" s="21"/>
      <c r="H70" s="21"/>
      <c r="I70" s="20"/>
      <c r="K70" s="484" t="s">
        <v>700</v>
      </c>
      <c r="L70" s="484"/>
      <c r="M70" s="484" t="s">
        <v>2756</v>
      </c>
      <c r="N70" s="484"/>
      <c r="O70" s="484"/>
      <c r="P70" s="484"/>
      <c r="Q70" s="484"/>
      <c r="R70" s="484"/>
      <c r="S70" s="484"/>
      <c r="T70" s="485" t="s">
        <v>326</v>
      </c>
    </row>
    <row r="71" spans="1:20" x14ac:dyDescent="0.3">
      <c r="A71" s="18"/>
      <c r="B71" s="117"/>
      <c r="C71" s="21"/>
      <c r="D71" s="118"/>
      <c r="E71" s="21"/>
      <c r="F71" s="21"/>
      <c r="G71" s="21"/>
      <c r="H71" s="21"/>
      <c r="I71" s="20"/>
      <c r="K71" s="484"/>
      <c r="L71" s="484"/>
      <c r="M71" s="484"/>
      <c r="N71" s="484"/>
      <c r="O71" s="484"/>
      <c r="P71" s="484"/>
      <c r="Q71" s="484"/>
      <c r="R71" s="484"/>
      <c r="S71" s="484"/>
      <c r="T71" s="485"/>
    </row>
    <row r="72" spans="1:20" x14ac:dyDescent="0.3">
      <c r="A72" s="18"/>
      <c r="B72" s="100" t="s">
        <v>312</v>
      </c>
      <c r="C72" s="21"/>
      <c r="D72" s="122" cm="1">
        <f t="array" ref="D72">_xll.U.PARSE_DATETIME(B72)</f>
        <v>43054.336585648147</v>
      </c>
      <c r="E72" s="21"/>
      <c r="F72" s="21"/>
      <c r="G72" s="21"/>
      <c r="H72" s="21"/>
      <c r="I72" s="20"/>
      <c r="K72" s="484"/>
      <c r="L72" s="484"/>
      <c r="M72" s="484"/>
      <c r="N72" s="484"/>
      <c r="O72" s="484"/>
      <c r="P72" s="484"/>
      <c r="Q72" s="484"/>
      <c r="R72" s="484"/>
      <c r="S72" s="484"/>
      <c r="T72" s="485"/>
    </row>
    <row r="73" spans="1:20" x14ac:dyDescent="0.3">
      <c r="A73" s="18"/>
      <c r="B73" s="100" t="s">
        <v>313</v>
      </c>
      <c r="C73" s="21"/>
      <c r="D73" s="122" cm="1">
        <f t="array" ref="D73">_xll.U.PARSE_DATETIME(B73)</f>
        <v>43054.419918981483</v>
      </c>
      <c r="E73" s="21"/>
      <c r="F73" s="21"/>
      <c r="G73" s="21"/>
      <c r="H73" s="21"/>
      <c r="I73" s="20"/>
      <c r="K73" s="484" t="s">
        <v>921</v>
      </c>
      <c r="L73" s="484"/>
      <c r="M73" s="484" t="s">
        <v>2753</v>
      </c>
      <c r="N73" s="484"/>
      <c r="O73" s="484"/>
      <c r="P73" s="484"/>
      <c r="Q73" s="484"/>
      <c r="R73" s="484"/>
      <c r="S73" s="484"/>
      <c r="T73" s="505" t="s">
        <v>326</v>
      </c>
    </row>
    <row r="74" spans="1:20" x14ac:dyDescent="0.3">
      <c r="A74" s="18"/>
      <c r="B74" s="117"/>
      <c r="C74" s="21"/>
      <c r="D74" s="118"/>
      <c r="E74" s="21"/>
      <c r="F74" s="21"/>
      <c r="G74" s="21"/>
      <c r="H74" s="21"/>
      <c r="I74" s="20"/>
      <c r="K74" s="484"/>
      <c r="L74" s="484"/>
      <c r="M74" s="484"/>
      <c r="N74" s="484"/>
      <c r="O74" s="484"/>
      <c r="P74" s="484"/>
      <c r="Q74" s="484"/>
      <c r="R74" s="484"/>
      <c r="S74" s="484"/>
      <c r="T74" s="506"/>
    </row>
    <row r="75" spans="1:20" x14ac:dyDescent="0.3">
      <c r="A75" s="18"/>
      <c r="B75" s="100" t="s">
        <v>312</v>
      </c>
      <c r="C75" s="21"/>
      <c r="D75" s="122" cm="1">
        <f t="array" ref="D75">_xll.U.PARSE_DATETIME(B75,,TRUE)</f>
        <v>43054.544918981483</v>
      </c>
      <c r="E75" s="21"/>
      <c r="F75" s="21"/>
      <c r="G75" s="21"/>
      <c r="H75" s="21"/>
      <c r="I75" s="20"/>
      <c r="K75" s="484"/>
      <c r="L75" s="484"/>
      <c r="M75" s="484"/>
      <c r="N75" s="484"/>
      <c r="O75" s="484"/>
      <c r="P75" s="484"/>
      <c r="Q75" s="484"/>
      <c r="R75" s="484"/>
      <c r="S75" s="484"/>
      <c r="T75" s="507"/>
    </row>
    <row r="76" spans="1:20" x14ac:dyDescent="0.3">
      <c r="A76" s="18"/>
      <c r="B76" s="100" t="s">
        <v>313</v>
      </c>
      <c r="C76" s="21"/>
      <c r="D76" s="122" cm="1">
        <f t="array" ref="D76">_xll.U.PARSE_DATETIME(B76,,TRUE)</f>
        <v>43054.544918981483</v>
      </c>
      <c r="E76" s="21"/>
      <c r="F76" s="21"/>
      <c r="G76" s="21"/>
      <c r="H76" s="21"/>
      <c r="I76" s="20"/>
      <c r="K76" s="126" t="s">
        <v>328</v>
      </c>
    </row>
    <row r="77" spans="1:20" x14ac:dyDescent="0.3">
      <c r="A77" s="18"/>
      <c r="B77" s="117"/>
      <c r="C77" s="21"/>
      <c r="D77" s="123"/>
      <c r="E77" s="21"/>
      <c r="F77" s="21"/>
      <c r="G77" s="21"/>
      <c r="H77" s="21"/>
      <c r="I77" s="20"/>
    </row>
    <row r="78" spans="1:20" x14ac:dyDescent="0.3">
      <c r="A78" s="18"/>
      <c r="B78" s="117"/>
      <c r="C78" s="21"/>
      <c r="D78" s="123"/>
      <c r="E78" s="21"/>
      <c r="F78" s="21"/>
      <c r="G78" s="21"/>
      <c r="H78" s="21"/>
      <c r="I78" s="20"/>
    </row>
    <row r="79" spans="1:20" x14ac:dyDescent="0.3">
      <c r="A79" s="18"/>
      <c r="B79" s="117"/>
      <c r="C79" s="21"/>
      <c r="D79" s="123"/>
      <c r="E79" s="21"/>
      <c r="F79" s="21"/>
      <c r="G79" s="21"/>
      <c r="H79" s="21"/>
      <c r="I79" s="20"/>
      <c r="K79" s="574" t="s">
        <v>3467</v>
      </c>
      <c r="L79" s="575"/>
      <c r="M79" s="575"/>
      <c r="N79" s="575"/>
      <c r="O79" s="575"/>
      <c r="P79" s="575"/>
      <c r="Q79" s="575"/>
      <c r="R79" s="575"/>
      <c r="S79" s="575"/>
      <c r="T79" s="576"/>
    </row>
    <row r="80" spans="1:20" x14ac:dyDescent="0.3">
      <c r="A80" s="18"/>
      <c r="B80" s="117"/>
      <c r="C80" s="21"/>
      <c r="D80" s="123"/>
      <c r="E80" s="21"/>
      <c r="F80" s="21"/>
      <c r="G80" s="21"/>
      <c r="H80" s="21"/>
      <c r="I80" s="20"/>
      <c r="K80" s="539" t="s">
        <v>333</v>
      </c>
      <c r="L80" s="541"/>
      <c r="M80" s="539" t="s">
        <v>766</v>
      </c>
      <c r="N80" s="540"/>
      <c r="O80" s="540"/>
      <c r="P80" s="540"/>
      <c r="Q80" s="540"/>
      <c r="R80" s="540"/>
      <c r="S80" s="540"/>
      <c r="T80" s="541"/>
    </row>
    <row r="81" spans="1:20" x14ac:dyDescent="0.3">
      <c r="A81" s="18"/>
      <c r="B81" s="30" t="s">
        <v>303</v>
      </c>
      <c r="C81" s="21"/>
      <c r="D81" s="122">
        <f t="array" ref="D81:D83">_xll.U.PARSE_DATETIME(B81:B83,,,,TRUE)</f>
        <v>43224</v>
      </c>
      <c r="E81" s="21"/>
      <c r="F81" s="21"/>
      <c r="G81" s="21"/>
      <c r="H81" s="21"/>
      <c r="I81" s="20"/>
      <c r="K81" s="542"/>
      <c r="L81" s="544"/>
      <c r="M81" s="542"/>
      <c r="N81" s="543"/>
      <c r="O81" s="543"/>
      <c r="P81" s="543"/>
      <c r="Q81" s="543"/>
      <c r="R81" s="543"/>
      <c r="S81" s="543"/>
      <c r="T81" s="544"/>
    </row>
    <row r="82" spans="1:20" x14ac:dyDescent="0.3">
      <c r="A82" s="18"/>
      <c r="B82" s="100" t="s">
        <v>304</v>
      </c>
      <c r="C82" s="21"/>
      <c r="D82" s="122">
        <v>43224</v>
      </c>
      <c r="E82" s="21"/>
      <c r="F82" s="21"/>
      <c r="G82" s="21"/>
      <c r="H82" s="21"/>
      <c r="I82" s="20"/>
      <c r="K82" s="545"/>
      <c r="L82" s="547"/>
      <c r="M82" s="545"/>
      <c r="N82" s="546"/>
      <c r="O82" s="546"/>
      <c r="P82" s="546"/>
      <c r="Q82" s="546"/>
      <c r="R82" s="546"/>
      <c r="S82" s="546"/>
      <c r="T82" s="547"/>
    </row>
    <row r="83" spans="1:20" x14ac:dyDescent="0.3">
      <c r="A83" s="18"/>
      <c r="B83" s="162" t="s">
        <v>923</v>
      </c>
      <c r="C83" s="21"/>
      <c r="D83" s="122" t="str">
        <v>Tom is happy</v>
      </c>
      <c r="E83" s="21"/>
      <c r="F83" s="21"/>
      <c r="G83" s="21"/>
      <c r="H83" s="21"/>
      <c r="I83" s="20"/>
      <c r="K83" s="513" t="s">
        <v>323</v>
      </c>
      <c r="L83" s="515"/>
      <c r="M83" s="513" t="s">
        <v>1</v>
      </c>
      <c r="N83" s="514"/>
      <c r="O83" s="514"/>
      <c r="P83" s="514"/>
      <c r="Q83" s="514"/>
      <c r="R83" s="514"/>
      <c r="S83" s="515"/>
      <c r="T83" s="85" t="s">
        <v>324</v>
      </c>
    </row>
    <row r="84" spans="1:20" x14ac:dyDescent="0.3">
      <c r="A84" s="18"/>
      <c r="B84" s="117"/>
      <c r="C84" s="21"/>
      <c r="D84" s="123"/>
      <c r="E84" s="21"/>
      <c r="F84" s="21"/>
      <c r="G84" s="21"/>
      <c r="H84" s="21"/>
      <c r="I84" s="20"/>
      <c r="K84" s="496" t="s">
        <v>765</v>
      </c>
      <c r="L84" s="497"/>
      <c r="M84" s="496" t="s">
        <v>767</v>
      </c>
      <c r="N84" s="502"/>
      <c r="O84" s="502"/>
      <c r="P84" s="502"/>
      <c r="Q84" s="502"/>
      <c r="R84" s="502"/>
      <c r="S84" s="497"/>
      <c r="T84" s="505" t="s">
        <v>326</v>
      </c>
    </row>
    <row r="85" spans="1:20" x14ac:dyDescent="0.3">
      <c r="A85" s="18"/>
      <c r="B85" s="117"/>
      <c r="C85" s="21"/>
      <c r="D85" s="123"/>
      <c r="E85" s="21"/>
      <c r="F85" s="21"/>
      <c r="G85" s="21"/>
      <c r="H85" s="21"/>
      <c r="I85" s="20"/>
      <c r="K85" s="498"/>
      <c r="L85" s="499"/>
      <c r="M85" s="498"/>
      <c r="N85" s="503"/>
      <c r="O85" s="503"/>
      <c r="P85" s="503"/>
      <c r="Q85" s="503"/>
      <c r="R85" s="503"/>
      <c r="S85" s="499"/>
      <c r="T85" s="506"/>
    </row>
    <row r="86" spans="1:20" x14ac:dyDescent="0.3">
      <c r="A86" s="18"/>
      <c r="B86" s="117"/>
      <c r="C86" s="21"/>
      <c r="D86" s="123"/>
      <c r="E86" s="21"/>
      <c r="F86" s="21"/>
      <c r="G86" s="21"/>
      <c r="H86" s="21"/>
      <c r="I86" s="20"/>
      <c r="K86" s="500"/>
      <c r="L86" s="501"/>
      <c r="M86" s="500"/>
      <c r="N86" s="504"/>
      <c r="O86" s="504"/>
      <c r="P86" s="504"/>
      <c r="Q86" s="504"/>
      <c r="R86" s="504"/>
      <c r="S86" s="501"/>
      <c r="T86" s="507"/>
    </row>
    <row r="87" spans="1:20" x14ac:dyDescent="0.3">
      <c r="A87" s="18"/>
      <c r="B87" s="236" cm="1">
        <f t="array" ref="B87">_xll.U.PUBLISH("TIME","EXAMPLE",_xll.U.NOW())</f>
        <v>46145.893231296293</v>
      </c>
      <c r="C87" s="21"/>
      <c r="D87" s="123"/>
      <c r="E87" s="21"/>
      <c r="F87" s="21"/>
      <c r="G87" s="21"/>
      <c r="H87" s="21"/>
      <c r="I87" s="20"/>
      <c r="K87" s="126" t="s">
        <v>328</v>
      </c>
    </row>
    <row r="88" spans="1:20" x14ac:dyDescent="0.3">
      <c r="A88" s="18"/>
      <c r="B88" s="100" t="str" cm="1">
        <f t="array" ref="B88">_xll.U.SUBSCRIBE("TIME","EXAMPLE")</f>
        <v>U/TIME/EXAMPLE | 2026-05-03 21:26:15.243</v>
      </c>
      <c r="C88" s="21"/>
      <c r="D88" s="122" cm="1">
        <f t="array" ref="D88">_xll.U.PARSE_DATETIME(B88)</f>
        <v>46145.893229166664</v>
      </c>
      <c r="E88" s="21"/>
      <c r="F88" s="21"/>
      <c r="G88" s="21"/>
      <c r="H88" s="21"/>
      <c r="I88" s="20"/>
    </row>
    <row r="89" spans="1:20" x14ac:dyDescent="0.3">
      <c r="A89" s="18"/>
      <c r="B89" s="117"/>
      <c r="C89" s="21"/>
      <c r="D89" s="122" cm="1">
        <f t="array" ref="D89">_xll.U.PARSE_DATETIME(B88,,,TRUE)</f>
        <v>46145.893231979164</v>
      </c>
      <c r="E89" s="21"/>
      <c r="F89" s="21"/>
      <c r="G89" s="21"/>
      <c r="H89" s="21"/>
      <c r="I89" s="20"/>
    </row>
    <row r="90" spans="1:20" x14ac:dyDescent="0.3">
      <c r="A90" s="18"/>
      <c r="B90" s="117"/>
      <c r="C90" s="21"/>
      <c r="D90" s="123"/>
      <c r="E90" s="21"/>
      <c r="F90" s="21"/>
      <c r="G90" s="21"/>
      <c r="H90" s="21"/>
      <c r="I90" s="20"/>
    </row>
    <row r="91" spans="1:20" x14ac:dyDescent="0.3">
      <c r="A91" s="18"/>
      <c r="B91" s="117"/>
      <c r="C91" s="21"/>
      <c r="D91" s="123"/>
      <c r="E91" s="21"/>
      <c r="F91" s="21"/>
      <c r="G91" s="21"/>
      <c r="H91" s="21"/>
      <c r="I91" s="20"/>
    </row>
    <row r="92" spans="1:20" x14ac:dyDescent="0.3">
      <c r="A92" s="18"/>
      <c r="B92" s="125" t="s">
        <v>2504</v>
      </c>
      <c r="C92" s="21"/>
      <c r="D92" s="97">
        <f t="array" ref="D92:D93">TRANSPOSE(_xll.U.PARSE_DATETIME(B92,{"yyyy::MM::dd",FALSE}))</f>
        <v>43064</v>
      </c>
      <c r="E92" s="21"/>
      <c r="F92" s="21"/>
      <c r="G92" s="21"/>
      <c r="H92" s="21"/>
      <c r="I92" s="20"/>
    </row>
    <row r="93" spans="1:20" x14ac:dyDescent="0.3">
      <c r="A93" s="18"/>
      <c r="B93" s="117"/>
      <c r="C93" s="21"/>
      <c r="D93" s="97">
        <v>43067</v>
      </c>
      <c r="E93" s="21"/>
      <c r="F93" s="21"/>
      <c r="G93" s="21"/>
      <c r="H93" s="21"/>
      <c r="I93" s="20"/>
    </row>
    <row r="94" spans="1:20" x14ac:dyDescent="0.3">
      <c r="A94" s="18"/>
      <c r="B94" s="117"/>
      <c r="C94" s="21"/>
      <c r="D94" s="123"/>
      <c r="E94" s="21"/>
      <c r="F94" s="21"/>
      <c r="G94" s="21"/>
      <c r="H94" s="21"/>
      <c r="I94" s="20"/>
    </row>
    <row r="95" spans="1:20" x14ac:dyDescent="0.3">
      <c r="A95" s="18"/>
      <c r="B95" s="117"/>
      <c r="C95" s="21"/>
      <c r="D95" s="123"/>
      <c r="E95" s="21"/>
      <c r="F95" s="21"/>
      <c r="G95" s="21"/>
      <c r="H95" s="21"/>
      <c r="I95" s="20"/>
    </row>
    <row r="96" spans="1:20" x14ac:dyDescent="0.3">
      <c r="A96" s="18"/>
      <c r="B96" s="117"/>
      <c r="C96" s="21"/>
      <c r="D96" s="123"/>
      <c r="E96" s="21"/>
      <c r="F96" s="21"/>
      <c r="G96" s="21"/>
      <c r="H96" s="21"/>
      <c r="I96" s="20"/>
    </row>
    <row r="97" spans="1:9" x14ac:dyDescent="0.3">
      <c r="A97" s="18"/>
      <c r="B97" s="117"/>
      <c r="C97" s="21"/>
      <c r="D97" s="123"/>
      <c r="E97" s="21"/>
      <c r="F97" s="21"/>
      <c r="G97" s="21"/>
      <c r="H97" s="21"/>
      <c r="I97" s="20"/>
    </row>
    <row r="98" spans="1:9" x14ac:dyDescent="0.3">
      <c r="A98" s="528" t="s">
        <v>770</v>
      </c>
      <c r="B98" s="528"/>
      <c r="C98" s="528"/>
      <c r="D98" s="528"/>
      <c r="E98" s="528"/>
      <c r="F98" s="528"/>
      <c r="G98" s="528"/>
      <c r="H98" s="21"/>
      <c r="I98" s="20"/>
    </row>
    <row r="99" spans="1:9" x14ac:dyDescent="0.3">
      <c r="A99" s="21"/>
      <c r="B99" s="117"/>
      <c r="C99" s="21"/>
      <c r="D99" s="123"/>
      <c r="E99" s="21"/>
      <c r="F99" s="21"/>
      <c r="G99" s="21"/>
      <c r="H99" s="21"/>
      <c r="I99" s="20"/>
    </row>
    <row r="100" spans="1:9" x14ac:dyDescent="0.3">
      <c r="A100" s="21"/>
      <c r="B100" s="58" t="s">
        <v>3466</v>
      </c>
      <c r="C100" s="122" cm="1">
        <f t="array" ref="C100">_xll.U.CONVERT_DATETIME(C103,C104,C105)</f>
        <v>43176.25</v>
      </c>
      <c r="D100" s="123"/>
      <c r="E100" s="21"/>
      <c r="F100" s="21"/>
      <c r="G100" s="21"/>
      <c r="H100" s="21"/>
      <c r="I100" s="20"/>
    </row>
    <row r="101" spans="1:9" x14ac:dyDescent="0.3">
      <c r="A101" s="21"/>
      <c r="B101" s="21"/>
      <c r="C101" s="21"/>
      <c r="D101" s="123"/>
      <c r="E101" s="21"/>
      <c r="F101" s="21"/>
      <c r="G101" s="21"/>
      <c r="H101" s="21"/>
      <c r="I101" s="20"/>
    </row>
    <row r="102" spans="1:9" x14ac:dyDescent="0.3">
      <c r="A102" s="21"/>
      <c r="B102" s="21"/>
      <c r="C102" s="21"/>
      <c r="D102" s="123"/>
      <c r="E102" s="21"/>
      <c r="F102" s="21"/>
      <c r="G102" s="21"/>
      <c r="H102" s="21"/>
      <c r="I102" s="20"/>
    </row>
    <row r="103" spans="1:9" x14ac:dyDescent="0.3">
      <c r="A103" s="21"/>
      <c r="B103" s="3" t="s">
        <v>771</v>
      </c>
      <c r="C103" s="122">
        <v>43175.708333333336</v>
      </c>
      <c r="D103" s="123"/>
      <c r="E103" s="21"/>
      <c r="F103" s="21"/>
      <c r="G103" s="21"/>
      <c r="H103" s="21"/>
      <c r="I103" s="20"/>
    </row>
    <row r="104" spans="1:9" x14ac:dyDescent="0.3">
      <c r="A104" s="21"/>
      <c r="B104" s="3" t="s">
        <v>693</v>
      </c>
      <c r="C104" s="30" t="s">
        <v>774</v>
      </c>
      <c r="D104" s="123"/>
      <c r="E104" s="21"/>
      <c r="F104" s="21"/>
      <c r="G104" s="21"/>
      <c r="H104" s="21"/>
      <c r="I104" s="20"/>
    </row>
    <row r="105" spans="1:9" x14ac:dyDescent="0.3">
      <c r="A105" s="21"/>
      <c r="B105" s="3" t="s">
        <v>772</v>
      </c>
      <c r="C105" s="30" t="s">
        <v>773</v>
      </c>
      <c r="D105" s="123"/>
      <c r="E105" s="21"/>
      <c r="F105" s="21"/>
      <c r="G105" s="21"/>
      <c r="H105" s="21"/>
      <c r="I105" s="20"/>
    </row>
    <row r="106" spans="1:9" x14ac:dyDescent="0.3">
      <c r="A106" s="21"/>
      <c r="B106" s="117"/>
      <c r="C106" s="21"/>
      <c r="D106" s="123"/>
      <c r="E106" s="21"/>
      <c r="F106" s="21"/>
      <c r="G106" s="21"/>
      <c r="H106" s="21"/>
      <c r="I106" s="20"/>
    </row>
    <row r="107" spans="1:9" x14ac:dyDescent="0.3">
      <c r="A107" s="21"/>
      <c r="B107" s="117"/>
      <c r="C107" s="21"/>
      <c r="D107" s="123"/>
      <c r="E107" s="21"/>
      <c r="F107" s="21"/>
      <c r="G107" s="21"/>
      <c r="H107" s="21"/>
      <c r="I107" s="20"/>
    </row>
    <row r="108" spans="1:9" x14ac:dyDescent="0.3">
      <c r="A108" s="21"/>
      <c r="B108" s="117"/>
      <c r="C108" s="21"/>
      <c r="D108" s="123"/>
      <c r="E108" s="21"/>
      <c r="F108" s="21"/>
      <c r="G108" s="21"/>
      <c r="H108" s="21"/>
      <c r="I108" s="20"/>
    </row>
    <row r="109" spans="1:9" x14ac:dyDescent="0.3">
      <c r="A109" s="21"/>
      <c r="B109" s="58" t="s">
        <v>3466</v>
      </c>
      <c r="C109" s="122" cm="1">
        <f t="array" ref="C109">_xll.U.CONVERT_DATETIME(C112,C113,C114)</f>
        <v>43176.25</v>
      </c>
      <c r="D109" s="123"/>
      <c r="E109" s="21"/>
      <c r="F109" s="21"/>
      <c r="G109" s="21"/>
      <c r="H109" s="21"/>
      <c r="I109" s="20"/>
    </row>
    <row r="110" spans="1:9" x14ac:dyDescent="0.3">
      <c r="A110" s="21"/>
      <c r="B110" s="117"/>
      <c r="C110" s="21"/>
      <c r="D110" s="123"/>
      <c r="E110" s="21"/>
      <c r="F110" s="21"/>
      <c r="G110" s="21"/>
      <c r="H110" s="21"/>
      <c r="I110" s="20"/>
    </row>
    <row r="111" spans="1:9" x14ac:dyDescent="0.3">
      <c r="A111" s="21"/>
      <c r="B111" s="117"/>
      <c r="C111" s="21"/>
      <c r="D111" s="123"/>
      <c r="E111" s="21"/>
      <c r="F111" s="21"/>
      <c r="G111" s="21"/>
      <c r="H111" s="21"/>
      <c r="I111" s="20"/>
    </row>
    <row r="112" spans="1:9" x14ac:dyDescent="0.3">
      <c r="A112" s="21"/>
      <c r="B112" s="3" t="s">
        <v>771</v>
      </c>
      <c r="C112" s="122">
        <v>43175.708333333336</v>
      </c>
      <c r="D112" s="123"/>
      <c r="E112" s="21"/>
      <c r="F112" s="21"/>
      <c r="G112" s="21"/>
      <c r="H112" s="21"/>
      <c r="I112" s="20"/>
    </row>
    <row r="113" spans="1:9" x14ac:dyDescent="0.3">
      <c r="A113" s="21"/>
      <c r="B113" s="3" t="s">
        <v>693</v>
      </c>
      <c r="C113" s="30" t="s">
        <v>813</v>
      </c>
      <c r="D113" s="123"/>
      <c r="E113" s="21"/>
      <c r="F113" s="21"/>
      <c r="G113" s="21"/>
      <c r="H113" s="21"/>
      <c r="I113" s="20"/>
    </row>
    <row r="114" spans="1:9" x14ac:dyDescent="0.3">
      <c r="A114" s="21"/>
      <c r="B114" s="3" t="s">
        <v>772</v>
      </c>
      <c r="C114" s="30" t="s">
        <v>812</v>
      </c>
      <c r="D114" s="123"/>
      <c r="E114" s="21"/>
      <c r="F114" s="21"/>
      <c r="G114" s="21"/>
      <c r="H114" s="21"/>
      <c r="I114" s="20"/>
    </row>
    <row r="115" spans="1:9" x14ac:dyDescent="0.3">
      <c r="A115" s="21"/>
      <c r="B115" s="117"/>
      <c r="C115" s="21"/>
      <c r="D115" s="123"/>
      <c r="E115" s="21"/>
      <c r="F115" s="21"/>
      <c r="G115" s="21"/>
      <c r="H115" s="21"/>
      <c r="I115" s="20"/>
    </row>
    <row r="116" spans="1:9" x14ac:dyDescent="0.3">
      <c r="A116" s="21"/>
      <c r="B116" s="117"/>
      <c r="C116" s="21"/>
      <c r="D116" s="123"/>
      <c r="E116" s="21"/>
      <c r="F116" s="21"/>
      <c r="G116" s="21"/>
      <c r="H116" s="21"/>
      <c r="I116" s="20"/>
    </row>
    <row r="117" spans="1:9" x14ac:dyDescent="0.3">
      <c r="A117" s="21"/>
      <c r="B117" s="117"/>
      <c r="C117" s="21"/>
      <c r="D117" s="123"/>
      <c r="E117" s="21"/>
      <c r="F117" s="21"/>
      <c r="G117" s="21"/>
      <c r="H117" s="21"/>
      <c r="I117" s="20"/>
    </row>
    <row r="118" spans="1:9" x14ac:dyDescent="0.3">
      <c r="A118" s="21"/>
      <c r="B118" s="58" t="s">
        <v>3466</v>
      </c>
      <c r="C118" s="122" t="str" cm="1">
        <f t="array" ref="C118">_xll.U.CONVERT_DATETIME(C121,C122,C123)</f>
        <v>2020-07-20T23:05:54.448+09:00</v>
      </c>
      <c r="D118" s="123"/>
      <c r="E118" s="21"/>
      <c r="F118" s="21"/>
      <c r="G118" s="21"/>
      <c r="H118" s="21"/>
      <c r="I118" s="20"/>
    </row>
    <row r="119" spans="1:9" x14ac:dyDescent="0.3">
      <c r="A119" s="21"/>
      <c r="B119" s="117"/>
      <c r="C119" s="21"/>
      <c r="D119" s="123"/>
      <c r="E119" s="21"/>
      <c r="F119" s="21"/>
      <c r="G119" s="21"/>
      <c r="H119" s="21"/>
      <c r="I119" s="20"/>
    </row>
    <row r="120" spans="1:9" x14ac:dyDescent="0.3">
      <c r="A120" s="21"/>
      <c r="B120" s="117"/>
      <c r="C120" s="21"/>
      <c r="D120" s="123"/>
      <c r="E120" s="21"/>
      <c r="F120" s="21"/>
      <c r="G120" s="21"/>
      <c r="H120" s="21"/>
      <c r="I120" s="20"/>
    </row>
    <row r="121" spans="1:9" x14ac:dyDescent="0.3">
      <c r="A121" s="21"/>
      <c r="B121" s="3" t="s">
        <v>771</v>
      </c>
      <c r="C121" s="122">
        <v>44032.420769074073</v>
      </c>
      <c r="D121" s="123"/>
      <c r="E121" s="21"/>
      <c r="F121" s="21"/>
      <c r="G121" s="21"/>
      <c r="H121" s="21"/>
      <c r="I121" s="20"/>
    </row>
    <row r="122" spans="1:9" x14ac:dyDescent="0.3">
      <c r="A122" s="21"/>
      <c r="B122" s="3" t="s">
        <v>693</v>
      </c>
      <c r="C122" s="30" t="s">
        <v>2040</v>
      </c>
      <c r="D122" s="123"/>
      <c r="E122" s="21"/>
      <c r="F122" s="21"/>
      <c r="G122" s="21"/>
      <c r="H122" s="21"/>
      <c r="I122" s="20"/>
    </row>
    <row r="123" spans="1:9" x14ac:dyDescent="0.3">
      <c r="A123" s="21"/>
      <c r="B123" s="3" t="s">
        <v>772</v>
      </c>
      <c r="C123" s="30" t="s">
        <v>812</v>
      </c>
      <c r="D123" s="123"/>
      <c r="E123" s="21"/>
      <c r="F123" s="21"/>
      <c r="G123" s="21"/>
      <c r="H123" s="21"/>
      <c r="I123" s="20"/>
    </row>
    <row r="124" spans="1:9" x14ac:dyDescent="0.3">
      <c r="A124" s="21"/>
      <c r="B124" s="117"/>
      <c r="C124" s="21"/>
      <c r="D124" s="123"/>
      <c r="E124" s="21"/>
      <c r="F124" s="21"/>
      <c r="G124" s="21"/>
      <c r="H124" s="21"/>
      <c r="I124" s="20"/>
    </row>
    <row r="125" spans="1:9" x14ac:dyDescent="0.3">
      <c r="A125" s="21"/>
      <c r="B125" s="117"/>
      <c r="C125" s="21"/>
      <c r="D125" s="123"/>
      <c r="E125" s="21"/>
      <c r="F125" s="21"/>
      <c r="G125" s="21"/>
      <c r="H125" s="21"/>
      <c r="I125" s="20"/>
    </row>
    <row r="126" spans="1:9" x14ac:dyDescent="0.3">
      <c r="A126" s="21"/>
      <c r="B126" s="117"/>
      <c r="C126" s="21"/>
      <c r="D126" s="123"/>
      <c r="E126" s="21"/>
      <c r="F126" s="21"/>
      <c r="G126" s="21"/>
      <c r="H126" s="21"/>
      <c r="I126" s="20"/>
    </row>
    <row r="127" spans="1:9" x14ac:dyDescent="0.3">
      <c r="A127" s="21"/>
      <c r="B127" s="58" t="s">
        <v>3466</v>
      </c>
      <c r="C127" s="162" cm="1">
        <f t="array" ref="C127">_xll.U.CONVERT_DATETIME(C130,C131,C132)</f>
        <v>1511613031</v>
      </c>
      <c r="D127" s="123"/>
      <c r="E127" s="21"/>
      <c r="F127" s="21"/>
      <c r="G127" s="21"/>
      <c r="H127" s="21"/>
      <c r="I127" s="20"/>
    </row>
    <row r="128" spans="1:9" x14ac:dyDescent="0.3">
      <c r="A128" s="21"/>
      <c r="B128" s="117"/>
      <c r="C128" s="21"/>
      <c r="D128" s="123"/>
      <c r="E128" s="21"/>
      <c r="F128" s="21"/>
      <c r="G128" s="21"/>
      <c r="H128" s="21"/>
      <c r="I128" s="20"/>
    </row>
    <row r="129" spans="1:9" x14ac:dyDescent="0.3">
      <c r="A129" s="21"/>
      <c r="B129" s="117"/>
      <c r="C129" s="117"/>
      <c r="D129" s="123"/>
      <c r="E129" s="21"/>
      <c r="F129" s="21"/>
      <c r="G129" s="21"/>
      <c r="H129" s="21"/>
      <c r="I129" s="20"/>
    </row>
    <row r="130" spans="1:9" x14ac:dyDescent="0.3">
      <c r="A130" s="21"/>
      <c r="B130" s="3" t="s">
        <v>771</v>
      </c>
      <c r="C130" s="264">
        <v>43064.312858796293</v>
      </c>
      <c r="D130" s="123"/>
      <c r="E130" s="21"/>
      <c r="F130" s="21"/>
      <c r="G130" s="21"/>
      <c r="H130" s="21"/>
      <c r="I130" s="20"/>
    </row>
    <row r="131" spans="1:9" x14ac:dyDescent="0.3">
      <c r="A131" s="21"/>
      <c r="B131" s="3" t="s">
        <v>693</v>
      </c>
      <c r="C131" s="30" t="s">
        <v>2674</v>
      </c>
      <c r="D131" s="123"/>
      <c r="E131" s="21"/>
      <c r="F131" s="21"/>
      <c r="G131" s="21"/>
      <c r="H131" s="21"/>
      <c r="I131" s="20"/>
    </row>
    <row r="132" spans="1:9" x14ac:dyDescent="0.3">
      <c r="A132" s="21"/>
      <c r="B132" s="3" t="s">
        <v>772</v>
      </c>
      <c r="C132" s="30" t="s">
        <v>812</v>
      </c>
      <c r="D132" s="123"/>
      <c r="E132" s="21"/>
      <c r="F132" s="21"/>
      <c r="G132" s="21"/>
      <c r="H132" s="21"/>
      <c r="I132" s="20"/>
    </row>
    <row r="133" spans="1:9" x14ac:dyDescent="0.3">
      <c r="A133" s="21"/>
      <c r="B133" s="117"/>
      <c r="C133" s="21"/>
      <c r="D133" s="123"/>
      <c r="E133" s="21"/>
      <c r="F133" s="21"/>
      <c r="G133" s="21"/>
      <c r="H133" s="21"/>
      <c r="I133" s="20"/>
    </row>
    <row r="134" spans="1:9" x14ac:dyDescent="0.3">
      <c r="A134" s="21"/>
      <c r="B134" s="117"/>
      <c r="C134" s="21"/>
      <c r="D134" s="123"/>
      <c r="E134" s="21"/>
      <c r="F134" s="21"/>
      <c r="G134" s="21"/>
      <c r="H134" s="21"/>
      <c r="I134" s="20"/>
    </row>
    <row r="135" spans="1:9" x14ac:dyDescent="0.3">
      <c r="A135" s="21"/>
      <c r="B135" s="117"/>
      <c r="C135" s="21"/>
      <c r="D135" s="123"/>
      <c r="E135" s="21"/>
      <c r="F135" s="21"/>
      <c r="G135" s="21"/>
      <c r="H135" s="21"/>
      <c r="I135" s="20"/>
    </row>
    <row r="136" spans="1:9" x14ac:dyDescent="0.3">
      <c r="A136" s="21"/>
      <c r="B136" s="58" t="s">
        <v>3466</v>
      </c>
      <c r="C136" s="122" cm="1">
        <f t="array" ref="C136">_xll.U.CONVERT_DATETIME(C138,C139)</f>
        <v>44032.420769074073</v>
      </c>
      <c r="D136" s="123"/>
      <c r="E136" s="21"/>
      <c r="F136" s="21"/>
      <c r="G136" s="21"/>
      <c r="H136" s="21"/>
      <c r="I136" s="20"/>
    </row>
    <row r="137" spans="1:9" x14ac:dyDescent="0.3">
      <c r="A137" s="21"/>
      <c r="B137" s="117"/>
      <c r="C137" s="21"/>
      <c r="D137" s="123"/>
      <c r="E137" s="21"/>
      <c r="F137" s="21"/>
      <c r="G137" s="21"/>
      <c r="H137" s="21"/>
      <c r="I137" s="20"/>
    </row>
    <row r="138" spans="1:9" x14ac:dyDescent="0.3">
      <c r="A138" s="21"/>
      <c r="B138" s="3" t="s">
        <v>771</v>
      </c>
      <c r="C138" s="122" t="s">
        <v>2755</v>
      </c>
      <c r="D138" s="123"/>
      <c r="E138" s="21"/>
      <c r="F138" s="21"/>
      <c r="G138" s="21"/>
      <c r="H138" s="21"/>
      <c r="I138" s="20"/>
    </row>
    <row r="139" spans="1:9" x14ac:dyDescent="0.3">
      <c r="A139" s="21"/>
      <c r="B139" s="3" t="s">
        <v>693</v>
      </c>
      <c r="C139" s="30" t="s">
        <v>600</v>
      </c>
      <c r="D139" s="123"/>
      <c r="E139" s="21"/>
      <c r="F139" s="21"/>
      <c r="G139" s="21"/>
      <c r="H139" s="21"/>
      <c r="I139" s="20"/>
    </row>
    <row r="140" spans="1:9" x14ac:dyDescent="0.3">
      <c r="A140" s="21"/>
      <c r="B140" s="21"/>
      <c r="C140" s="21"/>
      <c r="D140" s="123"/>
      <c r="E140" s="21"/>
      <c r="F140" s="21"/>
      <c r="G140" s="21"/>
      <c r="H140" s="21"/>
      <c r="I140" s="20"/>
    </row>
    <row r="141" spans="1:9" x14ac:dyDescent="0.3">
      <c r="A141" s="21"/>
      <c r="B141" s="58" t="s">
        <v>3466</v>
      </c>
      <c r="C141" s="122" cm="1">
        <f t="array" ref="C141">_xll.U.CONVERT_DATETIME(C138,C139,C143)</f>
        <v>44032.545769074073</v>
      </c>
      <c r="D141" s="123"/>
      <c r="E141" s="21"/>
      <c r="F141" s="21"/>
      <c r="G141" s="21"/>
      <c r="H141" s="21"/>
      <c r="I141" s="20"/>
    </row>
    <row r="142" spans="1:9" x14ac:dyDescent="0.3">
      <c r="A142" s="21"/>
      <c r="B142" s="21"/>
      <c r="C142" s="21"/>
      <c r="D142" s="123"/>
      <c r="E142" s="21"/>
      <c r="F142" s="21"/>
      <c r="G142" s="21"/>
      <c r="H142" s="21"/>
      <c r="I142" s="20"/>
    </row>
    <row r="143" spans="1:9" x14ac:dyDescent="0.3">
      <c r="A143" s="21"/>
      <c r="B143" s="3" t="s">
        <v>772</v>
      </c>
      <c r="C143" s="30" t="s">
        <v>2754</v>
      </c>
      <c r="D143" s="123"/>
      <c r="E143" s="21"/>
      <c r="F143" s="21"/>
      <c r="G143" s="21"/>
      <c r="H143" s="21"/>
      <c r="I143" s="20"/>
    </row>
    <row r="144" spans="1:9" x14ac:dyDescent="0.3">
      <c r="A144" s="21"/>
      <c r="B144" s="117"/>
      <c r="C144" s="21"/>
      <c r="D144" s="123"/>
      <c r="E144" s="21"/>
      <c r="F144" s="21"/>
      <c r="G144" s="21"/>
      <c r="H144" s="21"/>
      <c r="I144" s="20"/>
    </row>
    <row r="145" spans="1:9" x14ac:dyDescent="0.3">
      <c r="A145" s="21"/>
      <c r="B145" s="58" t="s">
        <v>3466</v>
      </c>
      <c r="C145" s="122" cm="1">
        <f t="array" ref="C145">_xll.U.CONVERT_DATETIME(C138,C139,C147:D147)</f>
        <v>44032.420769074073</v>
      </c>
      <c r="D145" s="123"/>
      <c r="E145" s="21"/>
      <c r="F145" s="21"/>
      <c r="G145" s="21"/>
      <c r="H145" s="21"/>
      <c r="I145" s="20"/>
    </row>
    <row r="146" spans="1:9" x14ac:dyDescent="0.3">
      <c r="A146" s="21"/>
      <c r="B146" s="117"/>
      <c r="C146" s="21"/>
      <c r="D146" s="123"/>
      <c r="E146" s="21"/>
      <c r="F146" s="21"/>
      <c r="G146" s="21"/>
      <c r="H146" s="21"/>
      <c r="I146" s="20"/>
    </row>
    <row r="147" spans="1:9" x14ac:dyDescent="0.3">
      <c r="A147" s="21"/>
      <c r="B147" s="3" t="s">
        <v>772</v>
      </c>
      <c r="C147" s="30" t="s">
        <v>2754</v>
      </c>
      <c r="D147" s="30" t="b">
        <v>1</v>
      </c>
      <c r="E147" s="21"/>
      <c r="F147" s="21"/>
      <c r="G147" s="21"/>
      <c r="H147" s="21"/>
      <c r="I147" s="20"/>
    </row>
    <row r="148" spans="1:9" x14ac:dyDescent="0.3">
      <c r="A148" s="21"/>
      <c r="B148" s="117"/>
      <c r="C148" s="21"/>
      <c r="D148" s="123"/>
      <c r="E148" s="21"/>
      <c r="F148" s="21"/>
      <c r="G148" s="21"/>
      <c r="H148" s="21"/>
      <c r="I148" s="20"/>
    </row>
    <row r="149" spans="1:9" x14ac:dyDescent="0.3">
      <c r="A149" s="528" t="s">
        <v>764</v>
      </c>
      <c r="B149" s="528"/>
      <c r="C149" s="528"/>
      <c r="D149" s="528"/>
      <c r="E149" s="528"/>
      <c r="F149" s="528"/>
      <c r="G149" s="528"/>
      <c r="H149" s="21"/>
      <c r="I149" s="20"/>
    </row>
    <row r="150" spans="1:9" x14ac:dyDescent="0.3">
      <c r="A150" s="18"/>
      <c r="B150" s="117"/>
      <c r="C150" s="21"/>
      <c r="D150" s="123"/>
      <c r="E150" s="21"/>
      <c r="F150" s="21"/>
      <c r="G150" s="21"/>
      <c r="H150" s="21"/>
      <c r="I150" s="20"/>
    </row>
    <row r="151" spans="1:9" x14ac:dyDescent="0.3">
      <c r="A151" s="18"/>
      <c r="B151" s="117"/>
      <c r="C151" s="21"/>
      <c r="D151" s="123"/>
      <c r="E151" s="21"/>
      <c r="F151" s="21"/>
      <c r="G151" s="21"/>
      <c r="H151" s="21"/>
      <c r="I151" s="20"/>
    </row>
    <row r="152" spans="1:9" x14ac:dyDescent="0.3">
      <c r="A152" s="18"/>
      <c r="B152" s="58" t="s">
        <v>3467</v>
      </c>
      <c r="C152" s="97" t="str" cm="1">
        <f t="array" ref="C152">_xll.U.TIMEZONE()</f>
        <v>Eastern Standard Time</v>
      </c>
      <c r="D152" s="123"/>
      <c r="E152" s="21"/>
      <c r="F152" s="21"/>
      <c r="G152" s="21"/>
      <c r="H152" s="21"/>
      <c r="I152" s="20"/>
    </row>
    <row r="153" spans="1:9" x14ac:dyDescent="0.3">
      <c r="A153" s="18"/>
      <c r="B153" s="117"/>
      <c r="C153" s="21"/>
      <c r="D153" s="123"/>
      <c r="E153" s="21"/>
      <c r="F153" s="21"/>
      <c r="G153" s="21"/>
      <c r="H153" s="21"/>
      <c r="I153" s="20"/>
    </row>
    <row r="154" spans="1:9" x14ac:dyDescent="0.3">
      <c r="A154" s="18"/>
      <c r="B154" s="117"/>
      <c r="C154" s="21"/>
      <c r="D154" s="123"/>
      <c r="E154" s="21"/>
      <c r="F154" s="21"/>
      <c r="G154" s="21"/>
      <c r="H154" s="21"/>
      <c r="I154" s="20"/>
    </row>
    <row r="155" spans="1:9" x14ac:dyDescent="0.3">
      <c r="A155" s="18"/>
      <c r="B155" s="117"/>
      <c r="C155" s="21"/>
      <c r="D155" s="123"/>
      <c r="E155" s="21"/>
      <c r="F155" s="21"/>
      <c r="G155" s="21"/>
      <c r="H155" s="21"/>
      <c r="I155" s="20"/>
    </row>
    <row r="156" spans="1:9" x14ac:dyDescent="0.3">
      <c r="A156" s="18"/>
      <c r="B156" s="117"/>
      <c r="C156" s="21"/>
      <c r="D156" s="123"/>
      <c r="E156" s="21"/>
      <c r="F156" s="21"/>
      <c r="G156" s="21"/>
      <c r="H156" s="21"/>
      <c r="I156" s="20"/>
    </row>
    <row r="157" spans="1:9" x14ac:dyDescent="0.3">
      <c r="A157" s="18"/>
      <c r="B157" s="170" t="str">
        <f t="array" ref="B157:F185">_xll.U.TIMEZONE(TRUE)</f>
        <v>Windows TimeZone ID</v>
      </c>
      <c r="C157" s="85" t="str">
        <v>Standard UTC Offset</v>
      </c>
      <c r="D157" s="171" t="str">
        <v>Has DST</v>
      </c>
      <c r="E157" s="85" t="str">
        <v>Local Setting</v>
      </c>
      <c r="F157" s="85" t="str">
        <v>Locations</v>
      </c>
      <c r="G157" s="21"/>
      <c r="H157" s="21"/>
      <c r="I157" s="20"/>
    </row>
    <row r="158" spans="1:9" x14ac:dyDescent="0.3">
      <c r="A158" s="18"/>
      <c r="B158" s="100" t="str">
        <v>Dateline Standard Time</v>
      </c>
      <c r="C158" s="30">
        <v>-12</v>
      </c>
      <c r="D158" s="122" t="b">
        <v>0</v>
      </c>
      <c r="E158" s="30" t="str">
        <v/>
      </c>
      <c r="F158" s="30" t="str">
        <v/>
      </c>
      <c r="G158" s="21"/>
      <c r="H158" s="21"/>
      <c r="I158" s="20"/>
    </row>
    <row r="159" spans="1:9" x14ac:dyDescent="0.3">
      <c r="A159" s="18"/>
      <c r="B159" s="100" t="str">
        <v>UTC-11</v>
      </c>
      <c r="C159" s="30">
        <v>-11</v>
      </c>
      <c r="D159" s="122" t="b">
        <v>0</v>
      </c>
      <c r="E159" s="30" t="str">
        <v/>
      </c>
      <c r="F159" s="30" t="str">
        <v/>
      </c>
      <c r="G159" s="21"/>
      <c r="H159" s="21"/>
      <c r="I159" s="20"/>
    </row>
    <row r="160" spans="1:9" x14ac:dyDescent="0.3">
      <c r="A160" s="18"/>
      <c r="B160" s="100" t="str">
        <v>Aleutian Standard Time</v>
      </c>
      <c r="C160" s="30">
        <v>-10</v>
      </c>
      <c r="D160" s="122" t="b">
        <v>1</v>
      </c>
      <c r="E160" s="30" t="str">
        <v/>
      </c>
      <c r="F160" s="30" t="str">
        <v/>
      </c>
      <c r="G160" s="21"/>
      <c r="H160" s="21"/>
      <c r="I160" s="20"/>
    </row>
    <row r="161" spans="1:9" x14ac:dyDescent="0.3">
      <c r="A161" s="18"/>
      <c r="B161" s="100" t="str">
        <v>Hawaiian Standard Time</v>
      </c>
      <c r="C161" s="30">
        <v>-10</v>
      </c>
      <c r="D161" s="122" t="b">
        <v>0</v>
      </c>
      <c r="E161" s="30" t="str">
        <v/>
      </c>
      <c r="F161" s="30" t="str">
        <v>Hawaii|Honolulu</v>
      </c>
      <c r="G161" s="21"/>
      <c r="H161" s="21"/>
      <c r="I161" s="20"/>
    </row>
    <row r="162" spans="1:9" x14ac:dyDescent="0.3">
      <c r="A162" s="18"/>
      <c r="B162" s="100" t="str">
        <v>Marquesas Standard Time</v>
      </c>
      <c r="C162" s="30">
        <v>-9.5</v>
      </c>
      <c r="D162" s="122" t="b">
        <v>0</v>
      </c>
      <c r="E162" s="30" t="str">
        <v/>
      </c>
      <c r="F162" s="30" t="str">
        <v/>
      </c>
      <c r="G162" s="21"/>
      <c r="H162" s="21"/>
      <c r="I162" s="20"/>
    </row>
    <row r="163" spans="1:9" x14ac:dyDescent="0.3">
      <c r="A163" s="18"/>
      <c r="B163" s="100" t="str">
        <v>Alaskan Standard Time</v>
      </c>
      <c r="C163" s="30">
        <v>-9</v>
      </c>
      <c r="D163" s="122" t="b">
        <v>1</v>
      </c>
      <c r="E163" s="30" t="str">
        <v/>
      </c>
      <c r="F163" s="30" t="str">
        <v>Anchorage</v>
      </c>
      <c r="G163" s="21"/>
      <c r="H163" s="21"/>
      <c r="I163" s="20"/>
    </row>
    <row r="164" spans="1:9" x14ac:dyDescent="0.3">
      <c r="A164" s="18"/>
      <c r="B164" s="100" t="str">
        <v>UTC-09</v>
      </c>
      <c r="C164" s="30">
        <v>-9</v>
      </c>
      <c r="D164" s="122" t="b">
        <v>0</v>
      </c>
      <c r="E164" s="30" t="str">
        <v/>
      </c>
      <c r="F164" s="30" t="str">
        <v/>
      </c>
      <c r="G164" s="21"/>
      <c r="H164" s="21"/>
      <c r="I164" s="20"/>
    </row>
    <row r="165" spans="1:9" x14ac:dyDescent="0.3">
      <c r="A165" s="18"/>
      <c r="B165" s="100" t="str">
        <v>Pacific Standard Time</v>
      </c>
      <c r="C165" s="30">
        <v>-8</v>
      </c>
      <c r="D165" s="122" t="b">
        <v>1</v>
      </c>
      <c r="E165" s="30" t="str">
        <v/>
      </c>
      <c r="F165" s="30" t="str">
        <v>LA|Las Vegas|Los Angeles|PDT|Portland|PST|PT|San Diego|San Francisco|San Jose|Seattle|Vancouver</v>
      </c>
      <c r="G165" s="21"/>
      <c r="H165" s="21"/>
      <c r="I165" s="20"/>
    </row>
    <row r="166" spans="1:9" x14ac:dyDescent="0.3">
      <c r="A166" s="18"/>
      <c r="B166" s="100" t="str">
        <v>Pacific Standard Time (Mexico)</v>
      </c>
      <c r="C166" s="30">
        <v>-8</v>
      </c>
      <c r="D166" s="122" t="b">
        <v>1</v>
      </c>
      <c r="E166" s="30" t="str">
        <v/>
      </c>
      <c r="F166" s="30" t="str">
        <v/>
      </c>
      <c r="G166" s="21"/>
      <c r="H166" s="21"/>
      <c r="I166" s="20"/>
    </row>
    <row r="167" spans="1:9" x14ac:dyDescent="0.3">
      <c r="A167" s="18"/>
      <c r="B167" s="100" t="str">
        <v>UTC-08</v>
      </c>
      <c r="C167" s="30">
        <v>-8</v>
      </c>
      <c r="D167" s="122" t="b">
        <v>0</v>
      </c>
      <c r="E167" s="30" t="str">
        <v/>
      </c>
      <c r="F167" s="30" t="str">
        <v/>
      </c>
      <c r="G167" s="21"/>
      <c r="H167" s="21"/>
      <c r="I167" s="20"/>
    </row>
    <row r="168" spans="1:9" x14ac:dyDescent="0.3">
      <c r="A168" s="18"/>
      <c r="B168" s="100" t="str">
        <v>Mountain Standard Time</v>
      </c>
      <c r="C168" s="30">
        <v>-7</v>
      </c>
      <c r="D168" s="122" t="b">
        <v>1</v>
      </c>
      <c r="E168" s="30" t="str">
        <v/>
      </c>
      <c r="F168" s="30" t="str">
        <v>Albuquerque|Denver|El Paso|MDT|MST|MT|Phoenix|Tucson</v>
      </c>
      <c r="G168" s="21"/>
      <c r="H168" s="21"/>
      <c r="I168" s="20"/>
    </row>
    <row r="169" spans="1:9" x14ac:dyDescent="0.3">
      <c r="A169" s="18"/>
      <c r="B169" s="100" t="str">
        <v>Mountain Standard Time (Mexico)</v>
      </c>
      <c r="C169" s="30">
        <v>-7</v>
      </c>
      <c r="D169" s="122" t="b">
        <v>1</v>
      </c>
      <c r="E169" s="30" t="str">
        <v/>
      </c>
      <c r="F169" s="30" t="str">
        <v/>
      </c>
      <c r="G169" s="21"/>
      <c r="H169" s="21"/>
      <c r="I169" s="20"/>
    </row>
    <row r="170" spans="1:9" x14ac:dyDescent="0.3">
      <c r="A170" s="18"/>
      <c r="B170" s="100" t="str">
        <v>US Mountain Standard Time</v>
      </c>
      <c r="C170" s="30">
        <v>-7</v>
      </c>
      <c r="D170" s="122" t="b">
        <v>0</v>
      </c>
      <c r="E170" s="30" t="str">
        <v/>
      </c>
      <c r="F170" s="30" t="str">
        <v/>
      </c>
      <c r="G170" s="21"/>
      <c r="H170" s="21"/>
      <c r="I170" s="20"/>
    </row>
    <row r="171" spans="1:9" x14ac:dyDescent="0.3">
      <c r="A171" s="18"/>
      <c r="B171" s="100" t="str">
        <v>Yukon Standard Time</v>
      </c>
      <c r="C171" s="30">
        <v>-7</v>
      </c>
      <c r="D171" s="122" t="b">
        <v>1</v>
      </c>
      <c r="E171" s="30" t="str">
        <v/>
      </c>
      <c r="F171" s="30" t="str">
        <v/>
      </c>
      <c r="G171" s="21"/>
      <c r="H171" s="21"/>
      <c r="I171" s="20"/>
    </row>
    <row r="172" spans="1:9" x14ac:dyDescent="0.3">
      <c r="A172" s="18"/>
      <c r="B172" s="100" t="str">
        <v>Canada Central Standard Time</v>
      </c>
      <c r="C172" s="30">
        <v>-6</v>
      </c>
      <c r="D172" s="122" t="b">
        <v>0</v>
      </c>
      <c r="E172" s="30" t="str">
        <v/>
      </c>
      <c r="F172" s="30" t="str">
        <v/>
      </c>
      <c r="G172" s="21"/>
      <c r="H172" s="21"/>
      <c r="I172" s="20"/>
    </row>
    <row r="173" spans="1:9" x14ac:dyDescent="0.3">
      <c r="A173" s="18"/>
      <c r="B173" s="100" t="str">
        <v>Central America Standard Time</v>
      </c>
      <c r="C173" s="30">
        <v>-6</v>
      </c>
      <c r="D173" s="122" t="b">
        <v>0</v>
      </c>
      <c r="E173" s="30" t="str">
        <v/>
      </c>
      <c r="F173" s="30" t="str">
        <v/>
      </c>
      <c r="G173" s="21"/>
      <c r="H173" s="21"/>
      <c r="I173" s="20"/>
    </row>
    <row r="174" spans="1:9" x14ac:dyDescent="0.3">
      <c r="A174" s="18"/>
      <c r="B174" s="100" t="str">
        <v>Central Standard Time</v>
      </c>
      <c r="C174" s="30">
        <v>-6</v>
      </c>
      <c r="D174" s="122" t="b">
        <v>1</v>
      </c>
      <c r="E174" s="30" t="str">
        <v/>
      </c>
      <c r="F174" s="30" t="str">
        <v>Aurora|Austin|CDT|Chi|Chicago|CST|CT|Dallas|Houston|Memphis|Milwaukee|Nashville|San Antonio|St. Louis</v>
      </c>
      <c r="G174" s="21"/>
      <c r="H174" s="21"/>
      <c r="I174" s="20"/>
    </row>
    <row r="175" spans="1:9" x14ac:dyDescent="0.3">
      <c r="A175" s="18"/>
      <c r="B175" s="100" t="str">
        <v>Central Standard Time (Mexico)</v>
      </c>
      <c r="C175" s="30">
        <v>-6</v>
      </c>
      <c r="D175" s="122" t="b">
        <v>1</v>
      </c>
      <c r="E175" s="30" t="str">
        <v/>
      </c>
      <c r="F175" s="30" t="str">
        <v>Guadalajara|Mexico City|Monterrey</v>
      </c>
      <c r="G175" s="21"/>
      <c r="H175" s="21"/>
      <c r="I175" s="20"/>
    </row>
    <row r="176" spans="1:9" x14ac:dyDescent="0.3">
      <c r="A176" s="18"/>
      <c r="B176" s="100" t="str">
        <v>Easter Island Standard Time</v>
      </c>
      <c r="C176" s="30">
        <v>-6</v>
      </c>
      <c r="D176" s="122" t="b">
        <v>1</v>
      </c>
      <c r="E176" s="30" t="str">
        <v/>
      </c>
      <c r="F176" s="30" t="str">
        <v/>
      </c>
      <c r="G176" s="21"/>
      <c r="H176" s="21"/>
      <c r="I176" s="20"/>
    </row>
    <row r="177" spans="1:9" x14ac:dyDescent="0.3">
      <c r="A177" s="18"/>
      <c r="B177" s="100" t="str">
        <v>Cuba Standard Time</v>
      </c>
      <c r="C177" s="30">
        <v>-5</v>
      </c>
      <c r="D177" s="122" t="b">
        <v>1</v>
      </c>
      <c r="E177" s="30" t="str">
        <v/>
      </c>
      <c r="F177" s="30" t="str">
        <v/>
      </c>
      <c r="G177" s="21"/>
      <c r="H177" s="21"/>
      <c r="I177" s="20"/>
    </row>
    <row r="178" spans="1:9" x14ac:dyDescent="0.3">
      <c r="A178" s="18"/>
      <c r="B178" s="100" t="str">
        <v>Eastern Standard Time</v>
      </c>
      <c r="C178" s="30">
        <v>-5</v>
      </c>
      <c r="D178" s="122" t="b">
        <v>1</v>
      </c>
      <c r="E178" s="30" t="str">
        <v>*</v>
      </c>
      <c r="F178" s="30" t="str">
        <v>Atlanta|Bahamas|Baltimore|Boston|Cayman Islands|Charlotte|Columbus|D.C.|Detroit|EDT|EST|ET|Indianapolis|Jacksonville|Miami|Montreal|New York|NY|NYC|Philadelphia|Tampa|Toledo|Toronto|Washington|Washington D.C.</v>
      </c>
      <c r="G178" s="21"/>
      <c r="H178" s="21"/>
      <c r="I178" s="20"/>
    </row>
    <row r="179" spans="1:9" x14ac:dyDescent="0.3">
      <c r="A179" s="18"/>
      <c r="B179" s="100" t="str">
        <v>Eastern Standard Time (Mexico)</v>
      </c>
      <c r="C179" s="30">
        <v>-5</v>
      </c>
      <c r="D179" s="122" t="b">
        <v>1</v>
      </c>
      <c r="E179" s="30" t="str">
        <v/>
      </c>
      <c r="F179" s="30" t="str">
        <v/>
      </c>
      <c r="G179" s="21"/>
      <c r="H179" s="21"/>
      <c r="I179" s="20"/>
    </row>
    <row r="180" spans="1:9" x14ac:dyDescent="0.3">
      <c r="A180" s="18"/>
      <c r="B180" s="100" t="str">
        <v>Haiti Standard Time</v>
      </c>
      <c r="C180" s="30">
        <v>-5</v>
      </c>
      <c r="D180" s="122" t="b">
        <v>1</v>
      </c>
      <c r="E180" s="30" t="str">
        <v/>
      </c>
      <c r="F180" s="30" t="str">
        <v/>
      </c>
      <c r="G180" s="21"/>
      <c r="H180" s="21"/>
      <c r="I180" s="20"/>
    </row>
    <row r="181" spans="1:9" x14ac:dyDescent="0.3">
      <c r="A181" s="18"/>
      <c r="B181" s="100" t="str">
        <v>SA Pacific Standard Time</v>
      </c>
      <c r="C181" s="30">
        <v>-5</v>
      </c>
      <c r="D181" s="122" t="b">
        <v>0</v>
      </c>
      <c r="E181" s="30" t="str">
        <v/>
      </c>
      <c r="F181" s="30" t="str">
        <v>Bogota|Lima|Panama|Quito|Rio Branco</v>
      </c>
      <c r="G181" s="21"/>
      <c r="H181" s="21"/>
      <c r="I181" s="20"/>
    </row>
    <row r="182" spans="1:9" x14ac:dyDescent="0.3">
      <c r="A182" s="18"/>
      <c r="B182" s="100" t="str">
        <v>Turks And Caicos Standard Time</v>
      </c>
      <c r="C182" s="30">
        <v>-5</v>
      </c>
      <c r="D182" s="122" t="b">
        <v>1</v>
      </c>
      <c r="E182" s="30" t="str">
        <v/>
      </c>
      <c r="F182" s="30" t="str">
        <v/>
      </c>
      <c r="G182" s="21"/>
      <c r="H182" s="21"/>
      <c r="I182" s="20"/>
    </row>
    <row r="183" spans="1:9" x14ac:dyDescent="0.3">
      <c r="A183" s="18"/>
      <c r="B183" s="100" t="str">
        <v>US Eastern Standard Time</v>
      </c>
      <c r="C183" s="30">
        <v>-5</v>
      </c>
      <c r="D183" s="122" t="b">
        <v>1</v>
      </c>
      <c r="E183" s="30" t="str">
        <v/>
      </c>
      <c r="F183" s="30" t="str">
        <v/>
      </c>
      <c r="G183" s="21"/>
      <c r="H183" s="21"/>
      <c r="I183" s="20"/>
    </row>
    <row r="184" spans="1:9" x14ac:dyDescent="0.3">
      <c r="A184" s="18"/>
      <c r="B184" s="100" t="str">
        <v>Atlantic Standard Time</v>
      </c>
      <c r="C184" s="30">
        <v>-4</v>
      </c>
      <c r="D184" s="122" t="b">
        <v>1</v>
      </c>
      <c r="E184" s="30" t="str">
        <v/>
      </c>
      <c r="F184" s="30" t="str">
        <v>Bermuda|British Virgin Islands|Calgary</v>
      </c>
      <c r="G184" s="21"/>
      <c r="H184" s="21"/>
      <c r="I184" s="20"/>
    </row>
    <row r="185" spans="1:9" x14ac:dyDescent="0.3">
      <c r="A185" s="18"/>
      <c r="B185" s="100" t="str">
        <v>Central Brazilian Standard Time</v>
      </c>
      <c r="C185" s="30">
        <v>-4</v>
      </c>
      <c r="D185" s="122" t="b">
        <v>1</v>
      </c>
      <c r="E185" s="30" t="str">
        <v/>
      </c>
      <c r="F185" s="30" t="str">
        <v/>
      </c>
      <c r="G185" s="21"/>
      <c r="H185" s="21"/>
      <c r="I185" s="20"/>
    </row>
    <row r="186" spans="1:9" ht="15" thickBot="1" x14ac:dyDescent="0.35">
      <c r="A186" s="22"/>
      <c r="B186" s="23"/>
      <c r="C186" s="23"/>
      <c r="D186" s="23"/>
      <c r="E186" s="23"/>
      <c r="F186" s="23"/>
      <c r="G186" s="23"/>
      <c r="H186" s="23"/>
      <c r="I186" s="24"/>
    </row>
  </sheetData>
  <mergeCells count="72">
    <mergeCell ref="A149:G149"/>
    <mergeCell ref="A98:G98"/>
    <mergeCell ref="A41:G41"/>
    <mergeCell ref="K3:T3"/>
    <mergeCell ref="K4:L6"/>
    <mergeCell ref="M4:T6"/>
    <mergeCell ref="K7:L7"/>
    <mergeCell ref="M7:S7"/>
    <mergeCell ref="K8:L10"/>
    <mergeCell ref="M8:S10"/>
    <mergeCell ref="T8:T10"/>
    <mergeCell ref="K14:T14"/>
    <mergeCell ref="K15:L17"/>
    <mergeCell ref="M15:T17"/>
    <mergeCell ref="K18:L18"/>
    <mergeCell ref="M18:S18"/>
    <mergeCell ref="K19:L21"/>
    <mergeCell ref="M19:S21"/>
    <mergeCell ref="T19:T21"/>
    <mergeCell ref="K36:T36"/>
    <mergeCell ref="K37:L39"/>
    <mergeCell ref="M37:T39"/>
    <mergeCell ref="K25:T25"/>
    <mergeCell ref="K26:L28"/>
    <mergeCell ref="M26:T28"/>
    <mergeCell ref="K29:L29"/>
    <mergeCell ref="M29:S29"/>
    <mergeCell ref="K30:L32"/>
    <mergeCell ref="M30:S32"/>
    <mergeCell ref="T30:T32"/>
    <mergeCell ref="K40:L40"/>
    <mergeCell ref="M40:S40"/>
    <mergeCell ref="K53:L55"/>
    <mergeCell ref="M53:S55"/>
    <mergeCell ref="T53:T55"/>
    <mergeCell ref="K41:L43"/>
    <mergeCell ref="M41:S43"/>
    <mergeCell ref="T41:T43"/>
    <mergeCell ref="K44:L46"/>
    <mergeCell ref="M44:S46"/>
    <mergeCell ref="T44:T46"/>
    <mergeCell ref="K47:L49"/>
    <mergeCell ref="M47:S49"/>
    <mergeCell ref="T47:T49"/>
    <mergeCell ref="K50:L52"/>
    <mergeCell ref="M50:S52"/>
    <mergeCell ref="K59:T59"/>
    <mergeCell ref="K60:L62"/>
    <mergeCell ref="M60:T62"/>
    <mergeCell ref="T50:T52"/>
    <mergeCell ref="K63:L63"/>
    <mergeCell ref="M63:S63"/>
    <mergeCell ref="K64:L66"/>
    <mergeCell ref="M64:S66"/>
    <mergeCell ref="T64:T66"/>
    <mergeCell ref="K67:L69"/>
    <mergeCell ref="M67:S69"/>
    <mergeCell ref="T67:T69"/>
    <mergeCell ref="K70:L72"/>
    <mergeCell ref="M70:S72"/>
    <mergeCell ref="T70:T72"/>
    <mergeCell ref="M80:T82"/>
    <mergeCell ref="K80:L82"/>
    <mergeCell ref="K79:T79"/>
    <mergeCell ref="K73:L75"/>
    <mergeCell ref="M73:S75"/>
    <mergeCell ref="T73:T75"/>
    <mergeCell ref="T84:T86"/>
    <mergeCell ref="M84:S86"/>
    <mergeCell ref="K84:L86"/>
    <mergeCell ref="M83:S83"/>
    <mergeCell ref="K83:L83"/>
  </mergeCells>
  <pageMargins left="0.7" right="0.7" top="0.75" bottom="0.75" header="0.3" footer="0.3"/>
  <pageSetup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9"/>
  <dimension ref="A1:V101"/>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3" customWidth="1"/>
    <col min="4" max="5" width="10.21875" customWidth="1"/>
    <col min="6" max="6" width="17.77734375" bestFit="1" customWidth="1"/>
  </cols>
  <sheetData>
    <row r="1" spans="1:22" ht="34.5" customHeight="1" thickBot="1" x14ac:dyDescent="0.35">
      <c r="A1" s="292" t="s">
        <v>1580</v>
      </c>
      <c r="B1" s="473" t="e" vm="1">
        <v>#VALUE!</v>
      </c>
      <c r="C1" s="8" t="s">
        <v>244</v>
      </c>
      <c r="D1" s="27"/>
      <c r="E1" s="16"/>
      <c r="F1" s="16"/>
      <c r="G1" s="16"/>
      <c r="H1" s="16"/>
      <c r="I1" s="16"/>
      <c r="J1" s="16"/>
      <c r="K1" s="19"/>
    </row>
    <row r="2" spans="1:22" ht="15" customHeight="1" x14ac:dyDescent="0.3">
      <c r="A2" s="18"/>
      <c r="B2" s="25"/>
      <c r="C2" s="25"/>
      <c r="D2" s="21"/>
      <c r="E2" s="21"/>
      <c r="F2" s="21"/>
      <c r="G2" s="21"/>
      <c r="H2" s="21"/>
      <c r="I2" s="21"/>
      <c r="J2" s="21"/>
      <c r="K2" s="20"/>
    </row>
    <row r="3" spans="1:22" ht="15" customHeight="1" x14ac:dyDescent="0.3">
      <c r="A3" s="18"/>
      <c r="B3" s="25"/>
      <c r="C3" s="25"/>
      <c r="D3" s="21"/>
      <c r="E3" s="21"/>
      <c r="F3" s="21"/>
      <c r="G3" s="21"/>
      <c r="H3" s="21"/>
      <c r="I3" s="21"/>
      <c r="J3" s="21"/>
      <c r="K3" s="20"/>
      <c r="M3" s="486" t="s">
        <v>3468</v>
      </c>
      <c r="N3" s="486"/>
      <c r="O3" s="486"/>
      <c r="P3" s="486"/>
      <c r="Q3" s="486"/>
      <c r="R3" s="486"/>
      <c r="S3" s="486"/>
      <c r="T3" s="486"/>
      <c r="U3" s="486"/>
      <c r="V3" s="486"/>
    </row>
    <row r="4" spans="1:22" ht="15" customHeight="1" x14ac:dyDescent="0.3">
      <c r="A4" s="18"/>
      <c r="B4" s="21"/>
      <c r="C4" s="21"/>
      <c r="D4" s="26"/>
      <c r="E4" s="21"/>
      <c r="F4" s="21"/>
      <c r="G4" s="21"/>
      <c r="H4" s="21"/>
      <c r="I4" s="21"/>
      <c r="J4" s="21"/>
      <c r="K4" s="20"/>
      <c r="M4" s="487" t="s">
        <v>333</v>
      </c>
      <c r="N4" s="487"/>
      <c r="O4" s="487" t="s">
        <v>571</v>
      </c>
      <c r="P4" s="487"/>
      <c r="Q4" s="487"/>
      <c r="R4" s="487"/>
      <c r="S4" s="487"/>
      <c r="T4" s="487"/>
      <c r="U4" s="487"/>
      <c r="V4" s="487"/>
    </row>
    <row r="5" spans="1:22" ht="15" customHeight="1" x14ac:dyDescent="0.3">
      <c r="A5" s="18"/>
      <c r="B5" s="58" t="s">
        <v>245</v>
      </c>
      <c r="C5" s="104">
        <v>42993</v>
      </c>
      <c r="D5" s="26"/>
      <c r="E5" s="21"/>
      <c r="F5" s="101" t="s">
        <v>3468</v>
      </c>
      <c r="G5" s="21"/>
      <c r="H5" s="21"/>
      <c r="I5" s="21"/>
      <c r="J5" s="21"/>
      <c r="K5" s="20"/>
      <c r="M5" s="487"/>
      <c r="N5" s="487"/>
      <c r="O5" s="487"/>
      <c r="P5" s="487"/>
      <c r="Q5" s="487"/>
      <c r="R5" s="487"/>
      <c r="S5" s="487"/>
      <c r="T5" s="487"/>
      <c r="U5" s="487"/>
      <c r="V5" s="487"/>
    </row>
    <row r="6" spans="1:22" x14ac:dyDescent="0.3">
      <c r="A6" s="18"/>
      <c r="B6" s="58" t="s">
        <v>246</v>
      </c>
      <c r="C6" s="42">
        <v>1</v>
      </c>
      <c r="D6" s="21"/>
      <c r="E6" s="21"/>
      <c r="F6" s="97">
        <f t="array" ref="F6:F10">_xll.U.SEQUENCE(C5,C6,C7)</f>
        <v>42993</v>
      </c>
      <c r="G6" s="21"/>
      <c r="H6" s="21"/>
      <c r="I6" s="21"/>
      <c r="J6" s="21"/>
      <c r="K6" s="20"/>
      <c r="M6" s="487"/>
      <c r="N6" s="487"/>
      <c r="O6" s="487"/>
      <c r="P6" s="487"/>
      <c r="Q6" s="487"/>
      <c r="R6" s="487"/>
      <c r="S6" s="487"/>
      <c r="T6" s="487"/>
      <c r="U6" s="487"/>
      <c r="V6" s="487"/>
    </row>
    <row r="7" spans="1:22" x14ac:dyDescent="0.3">
      <c r="A7" s="18"/>
      <c r="B7" s="58" t="s">
        <v>247</v>
      </c>
      <c r="C7" s="42">
        <v>5</v>
      </c>
      <c r="D7" s="21"/>
      <c r="E7" s="21"/>
      <c r="F7" s="97">
        <v>42994</v>
      </c>
      <c r="G7" s="21"/>
      <c r="H7" s="21"/>
      <c r="I7" s="21"/>
      <c r="J7" s="21"/>
      <c r="K7" s="20"/>
      <c r="M7" s="483" t="s">
        <v>323</v>
      </c>
      <c r="N7" s="483"/>
      <c r="O7" s="483" t="s">
        <v>1</v>
      </c>
      <c r="P7" s="483"/>
      <c r="Q7" s="483"/>
      <c r="R7" s="483"/>
      <c r="S7" s="483"/>
      <c r="T7" s="483"/>
      <c r="U7" s="483"/>
      <c r="V7" s="85" t="s">
        <v>324</v>
      </c>
    </row>
    <row r="8" spans="1:22" x14ac:dyDescent="0.3">
      <c r="A8" s="18"/>
      <c r="B8" s="21"/>
      <c r="C8" s="21"/>
      <c r="D8" s="21"/>
      <c r="E8" s="21"/>
      <c r="F8" s="97">
        <v>42995</v>
      </c>
      <c r="G8" s="21"/>
      <c r="H8" s="21"/>
      <c r="I8" s="21"/>
      <c r="J8" s="21"/>
      <c r="K8" s="20"/>
      <c r="M8" s="487" t="s">
        <v>567</v>
      </c>
      <c r="N8" s="487"/>
      <c r="O8" s="487" t="s">
        <v>572</v>
      </c>
      <c r="P8" s="487"/>
      <c r="Q8" s="487"/>
      <c r="R8" s="487"/>
      <c r="S8" s="487"/>
      <c r="T8" s="487"/>
      <c r="U8" s="487"/>
      <c r="V8" s="509" t="s">
        <v>325</v>
      </c>
    </row>
    <row r="9" spans="1:22" x14ac:dyDescent="0.3">
      <c r="A9" s="18"/>
      <c r="B9" s="21"/>
      <c r="C9" s="21"/>
      <c r="D9" s="21"/>
      <c r="E9" s="21"/>
      <c r="F9" s="97">
        <v>42996</v>
      </c>
      <c r="G9" s="21"/>
      <c r="H9" s="21"/>
      <c r="I9" s="21"/>
      <c r="J9" s="21"/>
      <c r="K9" s="20"/>
      <c r="M9" s="487"/>
      <c r="N9" s="487"/>
      <c r="O9" s="487"/>
      <c r="P9" s="487"/>
      <c r="Q9" s="487"/>
      <c r="R9" s="487"/>
      <c r="S9" s="487"/>
      <c r="T9" s="487"/>
      <c r="U9" s="487"/>
      <c r="V9" s="509"/>
    </row>
    <row r="10" spans="1:22" x14ac:dyDescent="0.3">
      <c r="A10" s="18"/>
      <c r="B10" s="21"/>
      <c r="C10" s="21"/>
      <c r="D10" s="21"/>
      <c r="E10" s="21"/>
      <c r="F10" s="97">
        <v>42997</v>
      </c>
      <c r="G10" s="21"/>
      <c r="H10" s="21"/>
      <c r="I10" s="21"/>
      <c r="J10" s="21"/>
      <c r="K10" s="20"/>
      <c r="M10" s="487"/>
      <c r="N10" s="487"/>
      <c r="O10" s="487"/>
      <c r="P10" s="487"/>
      <c r="Q10" s="487"/>
      <c r="R10" s="487"/>
      <c r="S10" s="487"/>
      <c r="T10" s="487"/>
      <c r="U10" s="487"/>
      <c r="V10" s="509"/>
    </row>
    <row r="11" spans="1:22" x14ac:dyDescent="0.3">
      <c r="A11" s="18"/>
      <c r="B11" s="21"/>
      <c r="C11" s="21"/>
      <c r="D11" s="21"/>
      <c r="E11" s="21"/>
      <c r="F11" s="21"/>
      <c r="G11" s="21"/>
      <c r="H11" s="21"/>
      <c r="I11" s="21"/>
      <c r="J11" s="21"/>
      <c r="K11" s="20"/>
      <c r="M11" s="484" t="s">
        <v>568</v>
      </c>
      <c r="N11" s="484"/>
      <c r="O11" s="484" t="s">
        <v>2806</v>
      </c>
      <c r="P11" s="484"/>
      <c r="Q11" s="484"/>
      <c r="R11" s="484"/>
      <c r="S11" s="484"/>
      <c r="T11" s="484"/>
      <c r="U11" s="484"/>
      <c r="V11" s="485" t="s">
        <v>326</v>
      </c>
    </row>
    <row r="12" spans="1:22" x14ac:dyDescent="0.3">
      <c r="A12" s="18"/>
      <c r="B12" s="21"/>
      <c r="C12" s="21"/>
      <c r="D12" s="21"/>
      <c r="E12" s="21"/>
      <c r="F12" s="21"/>
      <c r="G12" s="21"/>
      <c r="H12" s="21"/>
      <c r="I12" s="21"/>
      <c r="J12" s="21"/>
      <c r="K12" s="20"/>
      <c r="M12" s="484"/>
      <c r="N12" s="484"/>
      <c r="O12" s="484"/>
      <c r="P12" s="484"/>
      <c r="Q12" s="484"/>
      <c r="R12" s="484"/>
      <c r="S12" s="484"/>
      <c r="T12" s="484"/>
      <c r="U12" s="484"/>
      <c r="V12" s="485"/>
    </row>
    <row r="13" spans="1:22" x14ac:dyDescent="0.3">
      <c r="A13" s="18"/>
      <c r="B13" s="58" t="s">
        <v>248</v>
      </c>
      <c r="C13" s="42" t="b">
        <v>1</v>
      </c>
      <c r="D13" s="21"/>
      <c r="E13" s="21"/>
      <c r="F13" s="101" t="s">
        <v>3468</v>
      </c>
      <c r="G13" s="21"/>
      <c r="H13" s="21"/>
      <c r="I13" s="21"/>
      <c r="J13" s="21"/>
      <c r="K13" s="20"/>
      <c r="M13" s="484"/>
      <c r="N13" s="484"/>
      <c r="O13" s="484"/>
      <c r="P13" s="484"/>
      <c r="Q13" s="484"/>
      <c r="R13" s="484"/>
      <c r="S13" s="484"/>
      <c r="T13" s="484"/>
      <c r="U13" s="484"/>
      <c r="V13" s="485"/>
    </row>
    <row r="14" spans="1:22" x14ac:dyDescent="0.3">
      <c r="A14" s="18"/>
      <c r="B14" s="21"/>
      <c r="C14" s="21"/>
      <c r="D14" s="21"/>
      <c r="E14" s="21"/>
      <c r="F14" s="97">
        <f t="array" ref="F14:F18">_xll.U.SEQUENCE(C5,C6,C7,C13)</f>
        <v>42993</v>
      </c>
      <c r="G14" s="21"/>
      <c r="H14" s="21"/>
      <c r="I14" s="21"/>
      <c r="J14" s="21"/>
      <c r="K14" s="20"/>
      <c r="M14" s="484" t="s">
        <v>569</v>
      </c>
      <c r="N14" s="484"/>
      <c r="O14" s="484" t="s">
        <v>2805</v>
      </c>
      <c r="P14" s="484"/>
      <c r="Q14" s="484"/>
      <c r="R14" s="484"/>
      <c r="S14" s="484"/>
      <c r="T14" s="484"/>
      <c r="U14" s="484"/>
      <c r="V14" s="485" t="s">
        <v>326</v>
      </c>
    </row>
    <row r="15" spans="1:22" x14ac:dyDescent="0.3">
      <c r="A15" s="18"/>
      <c r="B15" s="21"/>
      <c r="C15" s="21"/>
      <c r="D15" s="21"/>
      <c r="E15" s="21"/>
      <c r="F15" s="97">
        <v>42996</v>
      </c>
      <c r="G15" s="21"/>
      <c r="H15" s="21"/>
      <c r="I15" s="21"/>
      <c r="J15" s="21"/>
      <c r="K15" s="20"/>
      <c r="M15" s="484"/>
      <c r="N15" s="484"/>
      <c r="O15" s="484"/>
      <c r="P15" s="484"/>
      <c r="Q15" s="484"/>
      <c r="R15" s="484"/>
      <c r="S15" s="484"/>
      <c r="T15" s="484"/>
      <c r="U15" s="484"/>
      <c r="V15" s="485"/>
    </row>
    <row r="16" spans="1:22" x14ac:dyDescent="0.3">
      <c r="A16" s="18"/>
      <c r="B16" s="21"/>
      <c r="C16" s="21"/>
      <c r="D16" s="21"/>
      <c r="E16" s="21"/>
      <c r="F16" s="97">
        <v>42997</v>
      </c>
      <c r="G16" s="21"/>
      <c r="H16" s="21"/>
      <c r="I16" s="21"/>
      <c r="J16" s="21"/>
      <c r="K16" s="20"/>
      <c r="M16" s="484"/>
      <c r="N16" s="484"/>
      <c r="O16" s="484"/>
      <c r="P16" s="484"/>
      <c r="Q16" s="484"/>
      <c r="R16" s="484"/>
      <c r="S16" s="484"/>
      <c r="T16" s="484"/>
      <c r="U16" s="484"/>
      <c r="V16" s="485"/>
    </row>
    <row r="17" spans="1:22" x14ac:dyDescent="0.3">
      <c r="A17" s="18"/>
      <c r="B17" s="21"/>
      <c r="C17" s="21"/>
      <c r="D17" s="21"/>
      <c r="E17" s="21"/>
      <c r="F17" s="97">
        <v>42998</v>
      </c>
      <c r="G17" s="21"/>
      <c r="H17" s="21"/>
      <c r="I17" s="21"/>
      <c r="J17" s="21"/>
      <c r="K17" s="20"/>
      <c r="M17" s="484" t="s">
        <v>570</v>
      </c>
      <c r="N17" s="484"/>
      <c r="O17" s="484" t="s">
        <v>573</v>
      </c>
      <c r="P17" s="484"/>
      <c r="Q17" s="484"/>
      <c r="R17" s="484"/>
      <c r="S17" s="484"/>
      <c r="T17" s="484"/>
      <c r="U17" s="484"/>
      <c r="V17" s="485" t="s">
        <v>326</v>
      </c>
    </row>
    <row r="18" spans="1:22" x14ac:dyDescent="0.3">
      <c r="A18" s="18"/>
      <c r="B18" s="21"/>
      <c r="C18" s="21"/>
      <c r="D18" s="21"/>
      <c r="E18" s="21"/>
      <c r="F18" s="97">
        <v>42999</v>
      </c>
      <c r="G18" s="21"/>
      <c r="H18" s="21"/>
      <c r="I18" s="21"/>
      <c r="J18" s="21"/>
      <c r="K18" s="20"/>
      <c r="M18" s="484"/>
      <c r="N18" s="484"/>
      <c r="O18" s="484"/>
      <c r="P18" s="484"/>
      <c r="Q18" s="484"/>
      <c r="R18" s="484"/>
      <c r="S18" s="484"/>
      <c r="T18" s="484"/>
      <c r="U18" s="484"/>
      <c r="V18" s="485"/>
    </row>
    <row r="19" spans="1:22" x14ac:dyDescent="0.3">
      <c r="A19" s="18"/>
      <c r="B19" s="21"/>
      <c r="C19" s="21"/>
      <c r="D19" s="21"/>
      <c r="E19" s="21"/>
      <c r="F19" s="21"/>
      <c r="G19" s="21"/>
      <c r="H19" s="21"/>
      <c r="I19" s="21"/>
      <c r="J19" s="21"/>
      <c r="K19" s="20"/>
      <c r="M19" s="484"/>
      <c r="N19" s="484"/>
      <c r="O19" s="484"/>
      <c r="P19" s="484"/>
      <c r="Q19" s="484"/>
      <c r="R19" s="484"/>
      <c r="S19" s="484"/>
      <c r="T19" s="484"/>
      <c r="U19" s="484"/>
      <c r="V19" s="485"/>
    </row>
    <row r="20" spans="1:22" x14ac:dyDescent="0.3">
      <c r="A20" s="18"/>
      <c r="B20" s="21"/>
      <c r="C20" s="21"/>
      <c r="D20" s="21"/>
      <c r="E20" s="21"/>
      <c r="F20" s="21"/>
      <c r="G20" s="21"/>
      <c r="H20" s="21"/>
      <c r="I20" s="21"/>
      <c r="J20" s="21"/>
      <c r="K20" s="20"/>
      <c r="M20" s="126" t="s">
        <v>328</v>
      </c>
    </row>
    <row r="21" spans="1:22" x14ac:dyDescent="0.3">
      <c r="A21" s="18"/>
      <c r="B21" s="21"/>
      <c r="C21" s="21"/>
      <c r="D21" s="21"/>
      <c r="E21" s="21"/>
      <c r="F21" s="21"/>
      <c r="G21" s="21"/>
      <c r="H21" s="21"/>
      <c r="I21" s="21"/>
      <c r="J21" s="21"/>
      <c r="K21" s="20"/>
    </row>
    <row r="22" spans="1:22" x14ac:dyDescent="0.3">
      <c r="A22" s="18"/>
      <c r="B22" s="58" t="s">
        <v>245</v>
      </c>
      <c r="C22" s="42">
        <v>1</v>
      </c>
      <c r="D22" s="21"/>
      <c r="E22" s="21"/>
      <c r="F22" s="101" t="s">
        <v>3468</v>
      </c>
      <c r="G22" s="21"/>
      <c r="H22" s="21"/>
      <c r="I22" s="21"/>
      <c r="J22" s="21"/>
      <c r="K22" s="20"/>
    </row>
    <row r="23" spans="1:22" x14ac:dyDescent="0.3">
      <c r="A23" s="18"/>
      <c r="B23" s="58" t="s">
        <v>246</v>
      </c>
      <c r="C23" s="42">
        <v>2.5</v>
      </c>
      <c r="D23" s="21"/>
      <c r="E23" s="21"/>
      <c r="F23" s="35">
        <f t="array" ref="F23:F30">_xll.U.SEQUENCE(C22,C23,C24,C26:C28)</f>
        <v>1</v>
      </c>
      <c r="G23" s="21"/>
      <c r="H23" s="21"/>
      <c r="I23" s="21"/>
      <c r="J23" s="21"/>
      <c r="K23" s="20"/>
    </row>
    <row r="24" spans="1:22" x14ac:dyDescent="0.3">
      <c r="A24" s="18"/>
      <c r="B24" s="58" t="s">
        <v>247</v>
      </c>
      <c r="C24" s="42">
        <v>8</v>
      </c>
      <c r="D24" s="21"/>
      <c r="E24" s="21"/>
      <c r="F24" s="35">
        <v>6</v>
      </c>
      <c r="G24" s="21"/>
      <c r="H24" s="21"/>
      <c r="I24" s="21"/>
      <c r="J24" s="21"/>
      <c r="K24" s="20"/>
    </row>
    <row r="25" spans="1:22" x14ac:dyDescent="0.3">
      <c r="A25" s="18"/>
      <c r="B25" s="21"/>
      <c r="C25" s="21"/>
      <c r="D25" s="21"/>
      <c r="E25" s="21"/>
      <c r="F25" s="35">
        <v>8.5</v>
      </c>
      <c r="G25" s="21"/>
      <c r="H25" s="21"/>
      <c r="I25" s="21"/>
      <c r="J25" s="21"/>
      <c r="K25" s="20"/>
    </row>
    <row r="26" spans="1:22" x14ac:dyDescent="0.3">
      <c r="A26" s="18"/>
      <c r="B26" s="58" t="s">
        <v>249</v>
      </c>
      <c r="C26" s="42">
        <v>3.5</v>
      </c>
      <c r="D26" s="21"/>
      <c r="E26" s="21"/>
      <c r="F26" s="35">
        <v>13.5</v>
      </c>
      <c r="G26" s="21"/>
      <c r="H26" s="21"/>
      <c r="I26" s="21"/>
      <c r="J26" s="21"/>
      <c r="K26" s="20"/>
    </row>
    <row r="27" spans="1:22" x14ac:dyDescent="0.3">
      <c r="A27" s="18"/>
      <c r="B27" s="21"/>
      <c r="C27" s="42">
        <v>11</v>
      </c>
      <c r="D27" s="21"/>
      <c r="E27" s="21"/>
      <c r="F27" s="35">
        <v>16</v>
      </c>
      <c r="G27" s="21"/>
      <c r="H27" s="21"/>
      <c r="I27" s="21"/>
      <c r="J27" s="21"/>
      <c r="K27" s="20"/>
    </row>
    <row r="28" spans="1:22" x14ac:dyDescent="0.3">
      <c r="A28" s="18"/>
      <c r="B28" s="21"/>
      <c r="C28" s="42">
        <v>18.5</v>
      </c>
      <c r="D28" s="21"/>
      <c r="E28" s="21"/>
      <c r="F28" s="35">
        <v>21</v>
      </c>
      <c r="G28" s="21"/>
      <c r="H28" s="21"/>
      <c r="I28" s="21"/>
      <c r="J28" s="21"/>
      <c r="K28" s="20"/>
    </row>
    <row r="29" spans="1:22" x14ac:dyDescent="0.3">
      <c r="A29" s="18"/>
      <c r="B29" s="21"/>
      <c r="C29" s="21"/>
      <c r="D29" s="21"/>
      <c r="E29" s="21"/>
      <c r="F29" s="35">
        <v>23.5</v>
      </c>
      <c r="G29" s="21"/>
      <c r="H29" s="21"/>
      <c r="I29" s="21"/>
      <c r="J29" s="21"/>
      <c r="K29" s="20"/>
    </row>
    <row r="30" spans="1:22" x14ac:dyDescent="0.3">
      <c r="A30" s="18"/>
      <c r="B30" s="21"/>
      <c r="C30" s="21"/>
      <c r="D30" s="21"/>
      <c r="E30" s="21"/>
      <c r="F30" s="35">
        <v>26</v>
      </c>
      <c r="G30" s="21"/>
      <c r="H30" s="21"/>
      <c r="I30" s="21"/>
      <c r="J30" s="21"/>
      <c r="K30" s="20"/>
    </row>
    <row r="31" spans="1:22" x14ac:dyDescent="0.3">
      <c r="A31" s="18"/>
      <c r="B31" s="21"/>
      <c r="C31" s="21"/>
      <c r="D31" s="21"/>
      <c r="E31" s="21"/>
      <c r="F31" s="21"/>
      <c r="G31" s="21"/>
      <c r="H31" s="21"/>
      <c r="I31" s="21"/>
      <c r="J31" s="21"/>
      <c r="K31" s="20"/>
    </row>
    <row r="32" spans="1:22" x14ac:dyDescent="0.3">
      <c r="A32" s="18"/>
      <c r="B32" s="21"/>
      <c r="C32" s="21"/>
      <c r="D32" s="21"/>
      <c r="E32" s="21"/>
      <c r="F32" s="21"/>
      <c r="G32" s="21"/>
      <c r="H32" s="21"/>
      <c r="I32" s="21"/>
      <c r="J32" s="21"/>
      <c r="K32" s="20"/>
    </row>
    <row r="33" spans="1:11" x14ac:dyDescent="0.3">
      <c r="A33" s="18"/>
      <c r="B33" s="58" t="s">
        <v>245</v>
      </c>
      <c r="C33" s="104">
        <v>43091</v>
      </c>
      <c r="D33" s="26"/>
      <c r="E33" s="21"/>
      <c r="F33" s="101" t="s">
        <v>3468</v>
      </c>
      <c r="G33" s="21"/>
      <c r="H33" s="21"/>
      <c r="I33" s="21"/>
      <c r="J33" s="21"/>
      <c r="K33" s="20"/>
    </row>
    <row r="34" spans="1:11" x14ac:dyDescent="0.3">
      <c r="A34" s="18"/>
      <c r="B34" s="58" t="s">
        <v>246</v>
      </c>
      <c r="C34" s="42">
        <v>1</v>
      </c>
      <c r="D34" s="21"/>
      <c r="E34" s="21"/>
      <c r="F34" s="97">
        <f t="array" ref="F34:F40">_xll.U.SEQUENCE(C33,C34,C35,(C36,C37:C38))</f>
        <v>43091</v>
      </c>
      <c r="G34" s="21"/>
      <c r="H34" s="21"/>
      <c r="I34" s="21"/>
      <c r="J34" s="21"/>
      <c r="K34" s="20"/>
    </row>
    <row r="35" spans="1:11" x14ac:dyDescent="0.3">
      <c r="A35" s="18"/>
      <c r="B35" s="58" t="s">
        <v>247</v>
      </c>
      <c r="C35" s="42">
        <v>7</v>
      </c>
      <c r="D35" s="21"/>
      <c r="E35" s="21"/>
      <c r="F35" s="97">
        <v>43095</v>
      </c>
      <c r="G35" s="21"/>
      <c r="H35" s="21"/>
      <c r="I35" s="21"/>
      <c r="J35" s="21"/>
      <c r="K35" s="20"/>
    </row>
    <row r="36" spans="1:11" x14ac:dyDescent="0.3">
      <c r="A36" s="18"/>
      <c r="B36" s="58" t="s">
        <v>248</v>
      </c>
      <c r="C36" s="42" t="b">
        <v>1</v>
      </c>
      <c r="D36" s="21"/>
      <c r="E36" s="21"/>
      <c r="F36" s="97">
        <v>43096</v>
      </c>
      <c r="G36" s="21"/>
      <c r="H36" s="21"/>
      <c r="I36" s="21"/>
      <c r="J36" s="21"/>
      <c r="K36" s="20"/>
    </row>
    <row r="37" spans="1:11" x14ac:dyDescent="0.3">
      <c r="A37" s="18"/>
      <c r="B37" s="58" t="s">
        <v>249</v>
      </c>
      <c r="C37" s="104">
        <v>43094</v>
      </c>
      <c r="D37" s="21"/>
      <c r="E37" s="21"/>
      <c r="F37" s="97">
        <v>43097</v>
      </c>
      <c r="G37" s="21"/>
      <c r="H37" s="21"/>
      <c r="I37" s="21"/>
      <c r="J37" s="21"/>
      <c r="K37" s="20"/>
    </row>
    <row r="38" spans="1:11" x14ac:dyDescent="0.3">
      <c r="A38" s="18"/>
      <c r="B38" s="21"/>
      <c r="C38" s="104">
        <v>43101</v>
      </c>
      <c r="D38" s="21"/>
      <c r="E38" s="21"/>
      <c r="F38" s="97">
        <v>43098</v>
      </c>
      <c r="G38" s="21"/>
      <c r="H38" s="21"/>
      <c r="I38" s="21"/>
      <c r="J38" s="21"/>
      <c r="K38" s="20"/>
    </row>
    <row r="39" spans="1:11" x14ac:dyDescent="0.3">
      <c r="A39" s="18"/>
      <c r="B39" s="21"/>
      <c r="C39" s="21"/>
      <c r="D39" s="21"/>
      <c r="E39" s="21"/>
      <c r="F39" s="97">
        <v>43102</v>
      </c>
      <c r="G39" s="21"/>
      <c r="H39" s="21"/>
      <c r="I39" s="21"/>
      <c r="J39" s="21"/>
      <c r="K39" s="20"/>
    </row>
    <row r="40" spans="1:11" x14ac:dyDescent="0.3">
      <c r="A40" s="18"/>
      <c r="B40" s="21"/>
      <c r="C40" s="21"/>
      <c r="D40" s="21"/>
      <c r="E40" s="21"/>
      <c r="F40" s="97">
        <v>43103</v>
      </c>
      <c r="G40" s="21"/>
      <c r="H40" s="21"/>
      <c r="I40" s="21"/>
      <c r="J40" s="21"/>
      <c r="K40" s="20"/>
    </row>
    <row r="41" spans="1:11" x14ac:dyDescent="0.3">
      <c r="A41" s="18"/>
      <c r="B41" s="21"/>
      <c r="C41" s="21"/>
      <c r="D41" s="21"/>
      <c r="E41" s="21"/>
      <c r="F41" s="21"/>
      <c r="G41" s="21"/>
      <c r="H41" s="21"/>
      <c r="I41" s="21"/>
      <c r="J41" s="21"/>
      <c r="K41" s="20"/>
    </row>
    <row r="42" spans="1:11" x14ac:dyDescent="0.3">
      <c r="A42" s="18"/>
      <c r="B42" s="21"/>
      <c r="C42" s="21"/>
      <c r="D42" s="21"/>
      <c r="E42" s="21"/>
      <c r="F42" s="21"/>
      <c r="G42" s="21"/>
      <c r="H42" s="21"/>
      <c r="I42" s="21"/>
      <c r="J42" s="21"/>
      <c r="K42" s="20"/>
    </row>
    <row r="43" spans="1:11" x14ac:dyDescent="0.3">
      <c r="A43" s="18"/>
      <c r="B43" s="58" t="s">
        <v>245</v>
      </c>
      <c r="C43" s="42">
        <v>10</v>
      </c>
      <c r="D43" s="26"/>
      <c r="E43" s="21"/>
      <c r="F43" s="101" t="s">
        <v>3468</v>
      </c>
      <c r="G43" s="21"/>
      <c r="H43" s="21"/>
      <c r="I43" s="21"/>
      <c r="J43" s="21"/>
      <c r="K43" s="20"/>
    </row>
    <row r="44" spans="1:11" x14ac:dyDescent="0.3">
      <c r="A44" s="18"/>
      <c r="B44" s="58" t="s">
        <v>246</v>
      </c>
      <c r="C44" s="42" t="s">
        <v>2786</v>
      </c>
      <c r="D44" s="21"/>
      <c r="E44" s="21"/>
      <c r="F44" s="410">
        <f t="array" ref="F44:F51">_xll.U.SEQUENCE(C43,C44,C45)</f>
        <v>10</v>
      </c>
      <c r="G44" s="21"/>
      <c r="H44" s="21"/>
      <c r="I44" s="21"/>
      <c r="J44" s="21"/>
      <c r="K44" s="20"/>
    </row>
    <row r="45" spans="1:11" x14ac:dyDescent="0.3">
      <c r="A45" s="18"/>
      <c r="B45" s="58" t="s">
        <v>247</v>
      </c>
      <c r="C45" s="42">
        <v>8</v>
      </c>
      <c r="D45" s="21"/>
      <c r="E45" s="21"/>
      <c r="F45" s="410">
        <v>12.5</v>
      </c>
      <c r="G45" s="21"/>
      <c r="H45" s="21"/>
      <c r="I45" s="21"/>
      <c r="J45" s="21"/>
      <c r="K45" s="20"/>
    </row>
    <row r="46" spans="1:11" x14ac:dyDescent="0.3">
      <c r="A46" s="18"/>
      <c r="B46" s="21"/>
      <c r="C46" s="21"/>
      <c r="D46" s="21"/>
      <c r="E46" s="21"/>
      <c r="F46" s="410">
        <v>15.625</v>
      </c>
      <c r="G46" s="21"/>
      <c r="H46" s="21"/>
      <c r="I46" s="21"/>
      <c r="J46" s="21"/>
      <c r="K46" s="20"/>
    </row>
    <row r="47" spans="1:11" x14ac:dyDescent="0.3">
      <c r="A47" s="18"/>
      <c r="B47" s="21"/>
      <c r="C47" s="21"/>
      <c r="D47" s="21"/>
      <c r="E47" s="21"/>
      <c r="F47" s="410">
        <v>19.53125</v>
      </c>
      <c r="G47" s="21"/>
      <c r="H47" s="21"/>
      <c r="I47" s="21"/>
      <c r="J47" s="21"/>
      <c r="K47" s="20"/>
    </row>
    <row r="48" spans="1:11" x14ac:dyDescent="0.3">
      <c r="A48" s="18"/>
      <c r="B48" s="21"/>
      <c r="C48" s="21"/>
      <c r="D48" s="21"/>
      <c r="E48" s="21"/>
      <c r="F48" s="410">
        <v>24.4140625</v>
      </c>
      <c r="G48" s="21"/>
      <c r="H48" s="21"/>
      <c r="I48" s="21"/>
      <c r="J48" s="21"/>
      <c r="K48" s="20"/>
    </row>
    <row r="49" spans="1:11" x14ac:dyDescent="0.3">
      <c r="A49" s="18"/>
      <c r="B49" s="21"/>
      <c r="C49" s="21"/>
      <c r="D49" s="21"/>
      <c r="E49" s="21"/>
      <c r="F49" s="410">
        <v>30.517578125</v>
      </c>
      <c r="G49" s="21"/>
      <c r="H49" s="21"/>
      <c r="I49" s="21"/>
      <c r="J49" s="21"/>
      <c r="K49" s="20"/>
    </row>
    <row r="50" spans="1:11" x14ac:dyDescent="0.3">
      <c r="A50" s="18"/>
      <c r="B50" s="21"/>
      <c r="C50" s="21"/>
      <c r="D50" s="21"/>
      <c r="E50" s="21"/>
      <c r="F50" s="410">
        <v>38.14697265625</v>
      </c>
      <c r="G50" s="21"/>
      <c r="H50" s="21"/>
      <c r="I50" s="21"/>
      <c r="J50" s="21"/>
      <c r="K50" s="20"/>
    </row>
    <row r="51" spans="1:11" x14ac:dyDescent="0.3">
      <c r="A51" s="18"/>
      <c r="B51" s="21"/>
      <c r="C51" s="21"/>
      <c r="D51" s="21"/>
      <c r="E51" s="21"/>
      <c r="F51" s="410">
        <v>47.6837158203125</v>
      </c>
      <c r="G51" s="21"/>
      <c r="H51" s="21"/>
      <c r="I51" s="21"/>
      <c r="J51" s="21"/>
      <c r="K51" s="20"/>
    </row>
    <row r="52" spans="1:11" x14ac:dyDescent="0.3">
      <c r="A52" s="18"/>
      <c r="B52" s="21"/>
      <c r="C52" s="21"/>
      <c r="D52" s="21"/>
      <c r="E52" s="21"/>
      <c r="F52" s="21"/>
      <c r="G52" s="21"/>
      <c r="H52" s="21"/>
      <c r="I52" s="21"/>
      <c r="J52" s="21"/>
      <c r="K52" s="20"/>
    </row>
    <row r="53" spans="1:11" x14ac:dyDescent="0.3">
      <c r="A53" s="18"/>
      <c r="B53" s="21"/>
      <c r="C53" s="21"/>
      <c r="D53" s="21"/>
      <c r="E53" s="21"/>
      <c r="F53" s="21"/>
      <c r="G53" s="21"/>
      <c r="H53" s="21"/>
      <c r="I53" s="21"/>
      <c r="J53" s="21"/>
      <c r="K53" s="20"/>
    </row>
    <row r="54" spans="1:11" x14ac:dyDescent="0.3">
      <c r="A54" s="18"/>
      <c r="B54" s="21"/>
      <c r="C54" s="21"/>
      <c r="D54" s="21"/>
      <c r="E54" s="21"/>
      <c r="F54" s="21"/>
      <c r="G54" s="21"/>
      <c r="H54" s="21"/>
      <c r="I54" s="21"/>
      <c r="J54" s="21"/>
      <c r="K54" s="20"/>
    </row>
    <row r="55" spans="1:11" x14ac:dyDescent="0.3">
      <c r="A55" s="18"/>
      <c r="B55" s="21"/>
      <c r="C55" s="21"/>
      <c r="D55" s="21"/>
      <c r="E55" s="21"/>
      <c r="F55" s="21"/>
      <c r="G55" s="21"/>
      <c r="H55" s="21"/>
      <c r="I55" s="21"/>
      <c r="J55" s="21"/>
      <c r="K55" s="20"/>
    </row>
    <row r="56" spans="1:11" x14ac:dyDescent="0.3">
      <c r="A56" s="18"/>
      <c r="B56" s="58" t="s">
        <v>245</v>
      </c>
      <c r="C56" s="42" t="s">
        <v>250</v>
      </c>
      <c r="D56" s="21"/>
      <c r="E56" s="21"/>
      <c r="F56" s="101" t="s">
        <v>3468</v>
      </c>
      <c r="G56" s="21"/>
      <c r="H56" s="21"/>
      <c r="I56" s="21"/>
      <c r="J56" s="21"/>
      <c r="K56" s="20"/>
    </row>
    <row r="57" spans="1:11" x14ac:dyDescent="0.3">
      <c r="A57" s="18"/>
      <c r="B57" s="58" t="s">
        <v>246</v>
      </c>
      <c r="C57" s="42">
        <v>1</v>
      </c>
      <c r="D57" s="21"/>
      <c r="E57" s="21"/>
      <c r="F57" s="36" t="str">
        <f t="array" ref="F57:F61">_xll.U.SEQUENCE(C56,C57,C58)</f>
        <v>ay</v>
      </c>
      <c r="G57" s="21"/>
      <c r="H57" s="21"/>
      <c r="I57" s="21"/>
      <c r="J57" s="21"/>
      <c r="K57" s="20"/>
    </row>
    <row r="58" spans="1:11" x14ac:dyDescent="0.3">
      <c r="A58" s="18"/>
      <c r="B58" s="58" t="s">
        <v>247</v>
      </c>
      <c r="C58" s="42">
        <v>5</v>
      </c>
      <c r="D58" s="21"/>
      <c r="E58" s="21"/>
      <c r="F58" s="36" t="str">
        <v>az</v>
      </c>
      <c r="G58" s="21"/>
      <c r="H58" s="21"/>
      <c r="I58" s="21"/>
      <c r="J58" s="21"/>
      <c r="K58" s="20"/>
    </row>
    <row r="59" spans="1:11" x14ac:dyDescent="0.3">
      <c r="A59" s="18"/>
      <c r="B59" s="21"/>
      <c r="C59" s="21"/>
      <c r="D59" s="21"/>
      <c r="E59" s="21"/>
      <c r="F59" s="36" t="str">
        <v>b0</v>
      </c>
      <c r="G59" s="21"/>
      <c r="H59" s="21"/>
      <c r="I59" s="21"/>
      <c r="J59" s="21"/>
      <c r="K59" s="20"/>
    </row>
    <row r="60" spans="1:11" x14ac:dyDescent="0.3">
      <c r="A60" s="18"/>
      <c r="B60" s="21"/>
      <c r="C60" s="21"/>
      <c r="D60" s="21"/>
      <c r="E60" s="21"/>
      <c r="F60" s="36" t="str">
        <v>b1</v>
      </c>
      <c r="G60" s="21"/>
      <c r="H60" s="21"/>
      <c r="I60" s="21"/>
      <c r="J60" s="21"/>
      <c r="K60" s="20"/>
    </row>
    <row r="61" spans="1:11" x14ac:dyDescent="0.3">
      <c r="A61" s="18"/>
      <c r="B61" s="21"/>
      <c r="C61" s="21"/>
      <c r="D61" s="21"/>
      <c r="E61" s="21"/>
      <c r="F61" s="36" t="str">
        <v>b2</v>
      </c>
      <c r="G61" s="21"/>
      <c r="H61" s="21"/>
      <c r="I61" s="21"/>
      <c r="J61" s="21"/>
      <c r="K61" s="20"/>
    </row>
    <row r="62" spans="1:11" x14ac:dyDescent="0.3">
      <c r="A62" s="18"/>
      <c r="B62" s="21"/>
      <c r="C62" s="21"/>
      <c r="D62" s="21"/>
      <c r="E62" s="21"/>
      <c r="F62" s="412"/>
      <c r="G62" s="21"/>
      <c r="H62" s="21"/>
      <c r="I62" s="21"/>
      <c r="J62" s="21"/>
      <c r="K62" s="20"/>
    </row>
    <row r="63" spans="1:11" x14ac:dyDescent="0.3">
      <c r="A63" s="18"/>
      <c r="B63" s="21"/>
      <c r="C63" s="21"/>
      <c r="D63" s="21"/>
      <c r="E63" s="21"/>
      <c r="F63" s="412"/>
      <c r="G63" s="21"/>
      <c r="H63" s="21"/>
      <c r="I63" s="21"/>
      <c r="J63" s="21"/>
      <c r="K63" s="20"/>
    </row>
    <row r="64" spans="1:11" x14ac:dyDescent="0.3">
      <c r="A64" s="18"/>
      <c r="B64" s="21"/>
      <c r="C64" s="21"/>
      <c r="D64" s="21"/>
      <c r="E64" s="21"/>
      <c r="F64" s="412"/>
      <c r="G64" s="21"/>
      <c r="H64" s="21"/>
      <c r="I64" s="21"/>
      <c r="J64" s="21"/>
      <c r="K64" s="20"/>
    </row>
    <row r="65" spans="1:11" x14ac:dyDescent="0.3">
      <c r="A65" s="18"/>
      <c r="B65" s="21"/>
      <c r="C65" s="21"/>
      <c r="D65" s="21"/>
      <c r="E65" s="21"/>
      <c r="F65" s="412"/>
      <c r="G65" s="21"/>
      <c r="H65" s="21"/>
      <c r="I65" s="21"/>
      <c r="J65" s="21"/>
      <c r="K65" s="20"/>
    </row>
    <row r="66" spans="1:11" x14ac:dyDescent="0.3">
      <c r="A66" s="18"/>
      <c r="B66" s="42">
        <v>2</v>
      </c>
      <c r="C66" s="42">
        <v>100</v>
      </c>
      <c r="D66" s="42">
        <v>100</v>
      </c>
      <c r="E66" s="42">
        <v>0</v>
      </c>
      <c r="F66" s="42">
        <v>10</v>
      </c>
      <c r="G66" s="21"/>
      <c r="H66" s="21"/>
      <c r="I66" s="21"/>
      <c r="J66" s="21"/>
      <c r="K66" s="20"/>
    </row>
    <row r="67" spans="1:11" x14ac:dyDescent="0.3">
      <c r="A67" s="18"/>
      <c r="B67" s="42" t="s">
        <v>2795</v>
      </c>
      <c r="C67" s="42" t="s">
        <v>2798</v>
      </c>
      <c r="D67" s="42" t="s">
        <v>2800</v>
      </c>
      <c r="E67" s="42" t="s">
        <v>2803</v>
      </c>
      <c r="F67" s="42" t="s">
        <v>2804</v>
      </c>
      <c r="G67" s="21"/>
      <c r="H67" s="21"/>
      <c r="I67" s="21"/>
      <c r="J67" s="21"/>
      <c r="K67" s="20"/>
    </row>
    <row r="68" spans="1:11" x14ac:dyDescent="0.3">
      <c r="A68" s="18"/>
      <c r="B68" s="101" t="s">
        <v>2796</v>
      </c>
      <c r="C68" s="101" t="s">
        <v>2797</v>
      </c>
      <c r="D68" s="101" t="s">
        <v>2799</v>
      </c>
      <c r="E68" s="101" t="s">
        <v>2802</v>
      </c>
      <c r="F68" s="101" t="s">
        <v>2801</v>
      </c>
      <c r="G68" s="21"/>
      <c r="H68" s="21"/>
      <c r="I68" s="21"/>
      <c r="J68" s="21"/>
      <c r="K68" s="20"/>
    </row>
    <row r="69" spans="1:11" x14ac:dyDescent="0.3">
      <c r="A69" s="18"/>
      <c r="B69" s="410">
        <f t="array" ref="B69:B78">_xll.U.SEQUENCE(B66,B67)</f>
        <v>2</v>
      </c>
      <c r="C69" s="410">
        <f t="array" ref="C69:C78">_xll.U.SEQUENCE(C66,C67)</f>
        <v>100</v>
      </c>
      <c r="D69" s="410">
        <f t="array" ref="D69:D78">_xll.U.SEQUENCE(D66,D67)</f>
        <v>100</v>
      </c>
      <c r="E69" s="410">
        <f t="array" ref="E69:E78">_xll.U.SEQUENCE(E66,E67)</f>
        <v>0</v>
      </c>
      <c r="F69" s="410">
        <f t="array" ref="F69:F78">_xll.U.SEQUENCE(F66,F67)</f>
        <v>10</v>
      </c>
      <c r="G69" s="21"/>
      <c r="H69" s="21"/>
      <c r="I69" s="21"/>
      <c r="J69" s="21"/>
      <c r="K69" s="20"/>
    </row>
    <row r="70" spans="1:11" x14ac:dyDescent="0.3">
      <c r="A70" s="18"/>
      <c r="B70" s="410">
        <v>4</v>
      </c>
      <c r="C70" s="410">
        <v>4.6051701859880998</v>
      </c>
      <c r="D70" s="410">
        <v>3.32192809488736</v>
      </c>
      <c r="E70" s="410">
        <v>1</v>
      </c>
      <c r="F70" s="410">
        <v>8.3333333333333339</v>
      </c>
      <c r="G70" s="413"/>
      <c r="H70" s="21"/>
      <c r="I70" s="21"/>
      <c r="J70" s="21"/>
      <c r="K70" s="20"/>
    </row>
    <row r="71" spans="1:11" x14ac:dyDescent="0.3">
      <c r="A71" s="18"/>
      <c r="B71" s="410">
        <v>16</v>
      </c>
      <c r="C71" s="410">
        <v>1.52717962580791</v>
      </c>
      <c r="D71" s="410">
        <v>0.866010422822309</v>
      </c>
      <c r="E71" s="410">
        <v>1</v>
      </c>
      <c r="F71" s="410">
        <v>7.1428571428571432</v>
      </c>
      <c r="G71" s="413"/>
      <c r="H71" s="21"/>
      <c r="I71" s="21"/>
      <c r="J71" s="21"/>
      <c r="K71" s="20"/>
    </row>
    <row r="72" spans="1:11" x14ac:dyDescent="0.3">
      <c r="A72" s="18"/>
      <c r="B72" s="410">
        <v>64</v>
      </c>
      <c r="C72" s="410">
        <v>0.42342265246031002</v>
      </c>
      <c r="D72" s="410">
        <v>-0.103771853175782</v>
      </c>
      <c r="E72" s="410">
        <v>2</v>
      </c>
      <c r="F72" s="410">
        <v>6.25</v>
      </c>
      <c r="G72" s="413"/>
      <c r="H72" s="21"/>
      <c r="I72" s="21"/>
      <c r="J72" s="21"/>
      <c r="K72" s="20"/>
    </row>
    <row r="73" spans="1:11" x14ac:dyDescent="0.3">
      <c r="A73" s="18"/>
      <c r="B73" s="410">
        <v>256</v>
      </c>
      <c r="C73" s="410">
        <v>-0.85938442038915996</v>
      </c>
      <c r="D73" s="410" t="e">
        <v>#NUM!</v>
      </c>
      <c r="E73" s="410">
        <v>3</v>
      </c>
      <c r="F73" s="410">
        <v>5.5555555555555554</v>
      </c>
      <c r="G73" s="21"/>
      <c r="H73" s="21"/>
      <c r="I73" s="21"/>
      <c r="J73" s="21"/>
      <c r="K73" s="20"/>
    </row>
    <row r="74" spans="1:11" x14ac:dyDescent="0.3">
      <c r="A74" s="18"/>
      <c r="B74" s="410">
        <v>1024</v>
      </c>
      <c r="C74" s="410" t="e">
        <v>#NUM!</v>
      </c>
      <c r="D74" s="410" t="e">
        <v>#NUM!</v>
      </c>
      <c r="E74" s="410">
        <v>5</v>
      </c>
      <c r="F74" s="410">
        <v>5</v>
      </c>
      <c r="G74" s="21"/>
      <c r="H74" s="21"/>
      <c r="I74" s="21"/>
      <c r="J74" s="21"/>
      <c r="K74" s="20"/>
    </row>
    <row r="75" spans="1:11" x14ac:dyDescent="0.3">
      <c r="A75" s="18"/>
      <c r="B75" s="410">
        <v>4096</v>
      </c>
      <c r="C75" s="410" t="e">
        <v>#NUM!</v>
      </c>
      <c r="D75" s="410" t="e">
        <v>#NUM!</v>
      </c>
      <c r="E75" s="410">
        <v>8</v>
      </c>
      <c r="F75" s="410">
        <v>4.5454545454545459</v>
      </c>
      <c r="G75" s="21"/>
      <c r="H75" s="21"/>
      <c r="I75" s="21"/>
      <c r="J75" s="21"/>
      <c r="K75" s="20"/>
    </row>
    <row r="76" spans="1:11" x14ac:dyDescent="0.3">
      <c r="A76" s="18"/>
      <c r="B76" s="410">
        <v>16384</v>
      </c>
      <c r="C76" s="410" t="e">
        <v>#NUM!</v>
      </c>
      <c r="D76" s="410" t="e">
        <v>#NUM!</v>
      </c>
      <c r="E76" s="410">
        <v>13</v>
      </c>
      <c r="F76" s="410">
        <v>4.166666666666667</v>
      </c>
      <c r="G76" s="21"/>
      <c r="H76" s="21"/>
      <c r="I76" s="21"/>
      <c r="J76" s="21"/>
      <c r="K76" s="20"/>
    </row>
    <row r="77" spans="1:11" x14ac:dyDescent="0.3">
      <c r="A77" s="18"/>
      <c r="B77" s="410">
        <v>65536</v>
      </c>
      <c r="C77" s="410" t="e">
        <v>#NUM!</v>
      </c>
      <c r="D77" s="410" t="e">
        <v>#NUM!</v>
      </c>
      <c r="E77" s="410">
        <v>21</v>
      </c>
      <c r="F77" s="410">
        <v>3.8461538461538463</v>
      </c>
      <c r="G77" s="21"/>
      <c r="H77" s="21"/>
      <c r="I77" s="21"/>
      <c r="J77" s="21"/>
      <c r="K77" s="20"/>
    </row>
    <row r="78" spans="1:11" x14ac:dyDescent="0.3">
      <c r="A78" s="18"/>
      <c r="B78" s="410">
        <v>262144</v>
      </c>
      <c r="C78" s="410" t="e">
        <v>#NUM!</v>
      </c>
      <c r="D78" s="410" t="e">
        <v>#NUM!</v>
      </c>
      <c r="E78" s="410">
        <v>34</v>
      </c>
      <c r="F78" s="410">
        <v>3.5714285714285716</v>
      </c>
      <c r="G78" s="21"/>
      <c r="H78" s="21"/>
      <c r="I78" s="21"/>
      <c r="J78" s="21"/>
      <c r="K78" s="20"/>
    </row>
    <row r="79" spans="1:11" x14ac:dyDescent="0.3">
      <c r="A79" s="18"/>
      <c r="B79" s="21"/>
      <c r="C79" s="21"/>
      <c r="D79" s="21"/>
      <c r="E79" s="21"/>
      <c r="F79" s="21"/>
      <c r="G79" s="21"/>
      <c r="H79" s="21"/>
      <c r="I79" s="21"/>
      <c r="J79" s="21"/>
      <c r="K79" s="20"/>
    </row>
    <row r="80" spans="1:11" x14ac:dyDescent="0.3">
      <c r="A80" s="18"/>
      <c r="B80" s="21"/>
      <c r="C80" s="21"/>
      <c r="D80" s="21"/>
      <c r="E80" s="21"/>
      <c r="F80" s="21"/>
      <c r="G80" s="21"/>
      <c r="H80" s="21"/>
      <c r="I80" s="21"/>
      <c r="J80" s="21"/>
      <c r="K80" s="20"/>
    </row>
    <row r="81" spans="1:11" x14ac:dyDescent="0.3">
      <c r="A81" s="18"/>
      <c r="B81" s="21"/>
      <c r="C81" s="21"/>
      <c r="D81" s="21"/>
      <c r="E81" s="21"/>
      <c r="F81" s="21"/>
      <c r="G81" s="21"/>
      <c r="H81" s="21"/>
      <c r="I81" s="21"/>
      <c r="J81" s="21"/>
      <c r="K81" s="20"/>
    </row>
    <row r="82" spans="1:11" x14ac:dyDescent="0.3">
      <c r="A82" s="18"/>
      <c r="B82" s="21"/>
      <c r="C82" s="21"/>
      <c r="D82" s="21"/>
      <c r="E82" s="21"/>
      <c r="F82" s="21"/>
      <c r="G82" s="21"/>
      <c r="H82" s="21"/>
      <c r="I82" s="21"/>
      <c r="J82" s="21"/>
      <c r="K82" s="20"/>
    </row>
    <row r="83" spans="1:11" x14ac:dyDescent="0.3">
      <c r="A83" s="18"/>
      <c r="B83" s="21"/>
      <c r="C83" s="21"/>
      <c r="D83" s="21"/>
      <c r="E83" s="21"/>
      <c r="F83" s="21"/>
      <c r="G83" s="21"/>
      <c r="H83" s="21"/>
      <c r="I83" s="21"/>
      <c r="J83" s="21"/>
      <c r="K83" s="20"/>
    </row>
    <row r="84" spans="1:11" x14ac:dyDescent="0.3">
      <c r="A84" s="18"/>
      <c r="B84" s="21"/>
      <c r="C84" s="21"/>
      <c r="D84" s="21"/>
      <c r="E84" s="21"/>
      <c r="F84" s="21"/>
      <c r="G84" s="21"/>
      <c r="H84" s="21"/>
      <c r="I84" s="21"/>
      <c r="J84" s="21"/>
      <c r="K84" s="20"/>
    </row>
    <row r="85" spans="1:11" x14ac:dyDescent="0.3">
      <c r="A85" s="18"/>
      <c r="B85" s="21"/>
      <c r="C85" s="21"/>
      <c r="D85" s="21"/>
      <c r="E85" s="21"/>
      <c r="F85" s="21"/>
      <c r="G85" s="21"/>
      <c r="H85" s="21"/>
      <c r="I85" s="21"/>
      <c r="J85" s="21"/>
      <c r="K85" s="20"/>
    </row>
    <row r="86" spans="1:11" x14ac:dyDescent="0.3">
      <c r="A86" s="18"/>
      <c r="B86" s="21"/>
      <c r="C86" s="21"/>
      <c r="D86" s="21"/>
      <c r="E86" s="21"/>
      <c r="F86" s="21"/>
      <c r="G86" s="21"/>
      <c r="H86" s="21"/>
      <c r="I86" s="21"/>
      <c r="J86" s="21"/>
      <c r="K86" s="20"/>
    </row>
    <row r="87" spans="1:11" x14ac:dyDescent="0.3">
      <c r="A87" s="18"/>
      <c r="B87" s="21"/>
      <c r="C87" s="21"/>
      <c r="D87" s="21"/>
      <c r="E87" s="21"/>
      <c r="F87" s="21"/>
      <c r="G87" s="21"/>
      <c r="H87" s="21"/>
      <c r="I87" s="21"/>
      <c r="J87" s="21"/>
      <c r="K87" s="20"/>
    </row>
    <row r="88" spans="1:11" x14ac:dyDescent="0.3">
      <c r="A88" s="18"/>
      <c r="B88" s="21"/>
      <c r="C88" s="21"/>
      <c r="D88" s="21"/>
      <c r="E88" s="21"/>
      <c r="F88" s="21"/>
      <c r="G88" s="21"/>
      <c r="H88" s="21"/>
      <c r="I88" s="21"/>
      <c r="J88" s="21"/>
      <c r="K88" s="20"/>
    </row>
    <row r="89" spans="1:11" x14ac:dyDescent="0.3">
      <c r="A89" s="18"/>
      <c r="B89" s="58" t="s">
        <v>245</v>
      </c>
      <c r="C89" s="42">
        <v>1.5</v>
      </c>
      <c r="D89" s="21"/>
      <c r="E89" s="21"/>
      <c r="F89" s="343" t="s">
        <v>3468</v>
      </c>
      <c r="G89" s="21"/>
      <c r="H89" s="21"/>
      <c r="I89" s="21"/>
      <c r="J89" s="21"/>
      <c r="K89" s="20"/>
    </row>
    <row r="90" spans="1:11" x14ac:dyDescent="0.3">
      <c r="A90" s="18"/>
      <c r="B90" s="58" t="s">
        <v>2791</v>
      </c>
      <c r="C90" s="42" t="s">
        <v>2793</v>
      </c>
      <c r="D90" s="42" t="s">
        <v>2794</v>
      </c>
      <c r="E90" s="21"/>
      <c r="F90" s="30">
        <f t="array" ref="F90:H93">_xll.U.SEQUENCE(C89,C90:D90,C91:D91)</f>
        <v>1.5</v>
      </c>
      <c r="G90" s="30">
        <v>-0.75</v>
      </c>
      <c r="H90" s="30">
        <v>0.375</v>
      </c>
      <c r="I90" s="21"/>
      <c r="J90" s="21"/>
      <c r="K90" s="20"/>
    </row>
    <row r="91" spans="1:11" x14ac:dyDescent="0.3">
      <c r="A91" s="18"/>
      <c r="B91" s="58" t="s">
        <v>2792</v>
      </c>
      <c r="C91" s="42">
        <v>4</v>
      </c>
      <c r="D91" s="42">
        <v>3</v>
      </c>
      <c r="E91" s="21"/>
      <c r="F91" s="30">
        <v>4.2541637099058898</v>
      </c>
      <c r="G91" s="30">
        <v>-2.1270818549529449</v>
      </c>
      <c r="H91" s="30">
        <v>1.0635409274764724</v>
      </c>
      <c r="I91" s="21"/>
      <c r="J91" s="21"/>
      <c r="K91" s="20"/>
    </row>
    <row r="92" spans="1:11" x14ac:dyDescent="0.3">
      <c r="A92" s="18"/>
      <c r="B92" s="21"/>
      <c r="C92" s="21"/>
      <c r="D92" s="21"/>
      <c r="E92" s="21"/>
      <c r="F92" s="30">
        <v>15.1914328854273</v>
      </c>
      <c r="G92" s="30">
        <v>-7.5957164427136501</v>
      </c>
      <c r="H92" s="30">
        <v>3.797858221356825</v>
      </c>
      <c r="I92" s="21"/>
      <c r="J92" s="21"/>
      <c r="K92" s="20"/>
    </row>
    <row r="93" spans="1:11" x14ac:dyDescent="0.3">
      <c r="A93" s="18"/>
      <c r="B93" s="21"/>
      <c r="C93" s="21"/>
      <c r="D93" s="21"/>
      <c r="E93" s="21"/>
      <c r="F93" s="30">
        <v>28.546076070598499</v>
      </c>
      <c r="G93" s="30">
        <v>-14.273038035299249</v>
      </c>
      <c r="H93" s="30">
        <v>7.1365190176496247</v>
      </c>
      <c r="I93" s="21"/>
      <c r="J93" s="21"/>
      <c r="K93" s="20"/>
    </row>
    <row r="94" spans="1:11" x14ac:dyDescent="0.3">
      <c r="A94" s="18"/>
      <c r="B94" s="21"/>
      <c r="C94" s="21"/>
      <c r="D94" s="21"/>
      <c r="E94" s="21"/>
      <c r="F94" s="21"/>
      <c r="G94" s="21"/>
      <c r="H94" s="21"/>
      <c r="I94" s="21"/>
      <c r="J94" s="21"/>
      <c r="K94" s="20"/>
    </row>
    <row r="95" spans="1:11" x14ac:dyDescent="0.3">
      <c r="A95" s="18"/>
      <c r="B95" s="21"/>
      <c r="C95" s="21"/>
      <c r="D95" s="21"/>
      <c r="E95" s="21"/>
      <c r="F95" s="21"/>
      <c r="G95" s="21"/>
      <c r="H95" s="21"/>
      <c r="I95" s="21"/>
      <c r="J95" s="21"/>
      <c r="K95" s="20"/>
    </row>
    <row r="96" spans="1:11" x14ac:dyDescent="0.3">
      <c r="A96" s="18"/>
      <c r="B96" s="21"/>
      <c r="C96" s="21"/>
      <c r="D96" s="21"/>
      <c r="E96" s="21"/>
      <c r="F96" s="21"/>
      <c r="G96" s="21"/>
      <c r="H96" s="21"/>
      <c r="I96" s="21"/>
      <c r="J96" s="21"/>
      <c r="K96" s="20"/>
    </row>
    <row r="97" spans="1:11" x14ac:dyDescent="0.3">
      <c r="A97" s="18"/>
      <c r="B97" s="21"/>
      <c r="C97" s="21"/>
      <c r="D97" s="21"/>
      <c r="E97" s="21"/>
      <c r="F97" s="21"/>
      <c r="G97" s="21"/>
      <c r="H97" s="21"/>
      <c r="I97" s="21"/>
      <c r="J97" s="21"/>
      <c r="K97" s="20"/>
    </row>
    <row r="98" spans="1:11" x14ac:dyDescent="0.3">
      <c r="A98" s="18"/>
      <c r="B98" s="21"/>
      <c r="C98" s="21"/>
      <c r="D98" s="21"/>
      <c r="E98" s="21"/>
      <c r="F98" s="21"/>
      <c r="G98" s="21"/>
      <c r="H98" s="21"/>
      <c r="I98" s="21"/>
      <c r="J98" s="21"/>
      <c r="K98" s="20"/>
    </row>
    <row r="99" spans="1:11" x14ac:dyDescent="0.3">
      <c r="A99" s="18"/>
      <c r="B99" s="21"/>
      <c r="C99" s="21"/>
      <c r="D99" s="21"/>
      <c r="E99" s="21"/>
      <c r="F99" s="21"/>
      <c r="G99" s="21"/>
      <c r="H99" s="21"/>
      <c r="I99" s="21"/>
      <c r="J99" s="21"/>
      <c r="K99" s="20"/>
    </row>
    <row r="100" spans="1:11" x14ac:dyDescent="0.3">
      <c r="A100" s="18"/>
      <c r="B100" s="21"/>
      <c r="C100" s="21"/>
      <c r="D100" s="21"/>
      <c r="E100" s="21"/>
      <c r="F100" s="21"/>
      <c r="G100" s="21"/>
      <c r="H100" s="21"/>
      <c r="I100" s="21"/>
      <c r="J100" s="21"/>
      <c r="K100" s="20"/>
    </row>
    <row r="101" spans="1:11" ht="15" thickBot="1" x14ac:dyDescent="0.35">
      <c r="A101" s="22"/>
      <c r="B101" s="23"/>
      <c r="C101" s="23"/>
      <c r="D101" s="23"/>
      <c r="E101" s="23"/>
      <c r="F101" s="23"/>
      <c r="G101" s="23"/>
      <c r="H101" s="23"/>
      <c r="I101" s="23"/>
      <c r="J101" s="23"/>
      <c r="K101" s="24"/>
    </row>
  </sheetData>
  <mergeCells count="17">
    <mergeCell ref="M8:N10"/>
    <mergeCell ref="O8:U10"/>
    <mergeCell ref="V8:V10"/>
    <mergeCell ref="M3:V3"/>
    <mergeCell ref="M4:N6"/>
    <mergeCell ref="O4:V6"/>
    <mergeCell ref="M7:N7"/>
    <mergeCell ref="O7:U7"/>
    <mergeCell ref="M17:N19"/>
    <mergeCell ref="O17:U19"/>
    <mergeCell ref="V17:V19"/>
    <mergeCell ref="M11:N13"/>
    <mergeCell ref="O11:U13"/>
    <mergeCell ref="V11:V13"/>
    <mergeCell ref="M14:N16"/>
    <mergeCell ref="O14:U16"/>
    <mergeCell ref="V14:V16"/>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78"/>
  <sheetViews>
    <sheetView zoomScaleNormal="100"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5.77734375" customWidth="1"/>
    <col min="4" max="4" width="10.77734375" customWidth="1"/>
    <col min="5" max="5" width="10.21875" customWidth="1"/>
    <col min="6" max="6" width="11.5546875" bestFit="1" customWidth="1"/>
    <col min="7" max="7" width="11.5546875" customWidth="1"/>
    <col min="8" max="8" width="15.77734375" customWidth="1"/>
    <col min="10" max="10" width="18.21875" customWidth="1"/>
    <col min="11" max="15" width="22.77734375" customWidth="1"/>
    <col min="19" max="25" width="15.21875" customWidth="1"/>
  </cols>
  <sheetData>
    <row r="1" spans="1:26" ht="34.5" customHeight="1" thickBot="1" x14ac:dyDescent="0.35">
      <c r="A1" s="292" t="s">
        <v>1580</v>
      </c>
      <c r="B1" s="473" t="e" vm="1">
        <v>#VALUE!</v>
      </c>
      <c r="C1" s="8" t="s">
        <v>652</v>
      </c>
      <c r="D1" s="27"/>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3372</v>
      </c>
      <c r="R3" s="486"/>
      <c r="S3" s="486"/>
      <c r="T3" s="486"/>
      <c r="U3" s="486"/>
      <c r="V3" s="486"/>
      <c r="W3" s="486"/>
      <c r="X3" s="486"/>
      <c r="Y3" s="486"/>
      <c r="Z3" s="486"/>
    </row>
    <row r="4" spans="1:26" ht="15" customHeight="1" x14ac:dyDescent="0.3">
      <c r="A4" s="18"/>
      <c r="B4" s="85" t="s">
        <v>8</v>
      </c>
      <c r="C4" s="21"/>
      <c r="D4" s="21"/>
      <c r="E4" s="21"/>
      <c r="F4" s="21"/>
      <c r="G4" s="21"/>
      <c r="H4" s="475" t="s">
        <v>3372</v>
      </c>
      <c r="I4" s="475"/>
      <c r="J4" s="21"/>
      <c r="K4" s="21"/>
      <c r="L4" s="21"/>
      <c r="M4" s="21"/>
      <c r="N4" s="21"/>
      <c r="O4" s="20"/>
      <c r="Q4" s="487" t="s">
        <v>333</v>
      </c>
      <c r="R4" s="487"/>
      <c r="S4" s="487" t="s">
        <v>653</v>
      </c>
      <c r="T4" s="487"/>
      <c r="U4" s="487"/>
      <c r="V4" s="487"/>
      <c r="W4" s="487"/>
      <c r="X4" s="487"/>
      <c r="Y4" s="487"/>
      <c r="Z4" s="487"/>
    </row>
    <row r="5" spans="1:26" x14ac:dyDescent="0.3">
      <c r="A5" s="18"/>
      <c r="B5" s="79">
        <v>950</v>
      </c>
      <c r="C5" s="21"/>
      <c r="D5" s="21"/>
      <c r="E5" s="21"/>
      <c r="F5" s="21"/>
      <c r="G5" s="21"/>
      <c r="H5" s="163" t="s">
        <v>689</v>
      </c>
      <c r="I5" s="163" t="s">
        <v>688</v>
      </c>
      <c r="J5" s="21"/>
      <c r="K5" s="21"/>
      <c r="L5" s="21"/>
      <c r="M5" s="21"/>
      <c r="N5" s="21"/>
      <c r="O5" s="20"/>
      <c r="Q5" s="487"/>
      <c r="R5" s="487"/>
      <c r="S5" s="487"/>
      <c r="T5" s="487"/>
      <c r="U5" s="487"/>
      <c r="V5" s="487"/>
      <c r="W5" s="487"/>
      <c r="X5" s="487"/>
      <c r="Y5" s="487"/>
      <c r="Z5" s="487"/>
    </row>
    <row r="6" spans="1:26" x14ac:dyDescent="0.3">
      <c r="A6" s="18"/>
      <c r="B6" s="21"/>
      <c r="C6" s="21"/>
      <c r="D6" s="21"/>
      <c r="E6" s="21"/>
      <c r="F6" s="21"/>
      <c r="G6" s="21"/>
      <c r="H6" s="94" t="b">
        <f t="array" ref="H6:I6">_xll.U.EVENT(B5,C7)</f>
        <v>0</v>
      </c>
      <c r="I6" s="30" t="str">
        <v>POOB</v>
      </c>
      <c r="J6" s="21"/>
      <c r="K6" s="21"/>
      <c r="L6" s="21"/>
      <c r="M6" s="21"/>
      <c r="N6" s="21"/>
      <c r="O6" s="20"/>
      <c r="Q6" s="487"/>
      <c r="R6" s="487"/>
      <c r="S6" s="487"/>
      <c r="T6" s="487"/>
      <c r="U6" s="487"/>
      <c r="V6" s="487"/>
      <c r="W6" s="487"/>
      <c r="X6" s="487"/>
      <c r="Y6" s="487"/>
      <c r="Z6" s="487"/>
    </row>
    <row r="7" spans="1:26" x14ac:dyDescent="0.3">
      <c r="A7" s="18"/>
      <c r="B7" s="85" t="s">
        <v>654</v>
      </c>
      <c r="C7" s="79">
        <v>1000</v>
      </c>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21"/>
      <c r="C8" s="21"/>
      <c r="D8" s="21"/>
      <c r="E8" s="21"/>
      <c r="F8" s="21"/>
      <c r="G8" s="21"/>
      <c r="H8" s="21"/>
      <c r="I8" s="21"/>
      <c r="J8" s="21"/>
      <c r="K8" s="21"/>
      <c r="L8" s="21"/>
      <c r="M8" s="21"/>
      <c r="N8" s="21"/>
      <c r="O8" s="20"/>
      <c r="Q8" s="487" t="s">
        <v>673</v>
      </c>
      <c r="R8" s="487"/>
      <c r="S8" s="487" t="s">
        <v>671</v>
      </c>
      <c r="T8" s="487"/>
      <c r="U8" s="487"/>
      <c r="V8" s="487"/>
      <c r="W8" s="487"/>
      <c r="X8" s="487"/>
      <c r="Y8" s="487"/>
      <c r="Z8" s="509" t="s">
        <v>325</v>
      </c>
    </row>
    <row r="9" spans="1:26" x14ac:dyDescent="0.3">
      <c r="A9" s="18"/>
      <c r="B9" s="21"/>
      <c r="C9" s="21"/>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1"/>
      <c r="C11" s="21"/>
      <c r="D11" s="21"/>
      <c r="E11" s="21"/>
      <c r="F11" s="21"/>
      <c r="G11" s="21"/>
      <c r="H11" s="21"/>
      <c r="I11" s="21"/>
      <c r="J11" s="21"/>
      <c r="K11" s="21"/>
      <c r="L11" s="21"/>
      <c r="M11" s="21"/>
      <c r="N11" s="21"/>
      <c r="O11" s="20"/>
      <c r="Q11" s="484" t="s">
        <v>672</v>
      </c>
      <c r="R11" s="484"/>
      <c r="S11" s="484" t="s">
        <v>2785</v>
      </c>
      <c r="T11" s="484"/>
      <c r="U11" s="484"/>
      <c r="V11" s="484"/>
      <c r="W11" s="484"/>
      <c r="X11" s="484"/>
      <c r="Y11" s="484"/>
      <c r="Z11" s="485" t="s">
        <v>326</v>
      </c>
    </row>
    <row r="12" spans="1:26" x14ac:dyDescent="0.3">
      <c r="A12" s="18"/>
      <c r="B12" s="21"/>
      <c r="C12" s="21"/>
      <c r="D12" s="21"/>
      <c r="E12" s="21"/>
      <c r="F12" s="21"/>
      <c r="G12" s="21"/>
      <c r="H12" s="21"/>
      <c r="I12" s="21"/>
      <c r="J12" s="21"/>
      <c r="K12" s="21"/>
      <c r="L12" s="21"/>
      <c r="M12" s="21"/>
      <c r="N12" s="21"/>
      <c r="O12" s="20"/>
      <c r="Q12" s="484"/>
      <c r="R12" s="484"/>
      <c r="S12" s="484"/>
      <c r="T12" s="484"/>
      <c r="U12" s="484"/>
      <c r="V12" s="484"/>
      <c r="W12" s="484"/>
      <c r="X12" s="484"/>
      <c r="Y12" s="484"/>
      <c r="Z12" s="485"/>
    </row>
    <row r="13" spans="1:26" x14ac:dyDescent="0.3">
      <c r="A13" s="18"/>
      <c r="B13" s="21"/>
      <c r="C13" s="21"/>
      <c r="D13" s="21"/>
      <c r="E13" s="21"/>
      <c r="F13" s="21"/>
      <c r="G13" s="21"/>
      <c r="H13" s="21"/>
      <c r="I13" s="21"/>
      <c r="J13" s="21"/>
      <c r="K13" s="21"/>
      <c r="L13" s="21"/>
      <c r="M13" s="21"/>
      <c r="N13" s="21"/>
      <c r="O13" s="20"/>
      <c r="Q13" s="484"/>
      <c r="R13" s="484"/>
      <c r="S13" s="484"/>
      <c r="T13" s="484"/>
      <c r="U13" s="484"/>
      <c r="V13" s="484"/>
      <c r="W13" s="484"/>
      <c r="X13" s="484"/>
      <c r="Y13" s="484"/>
      <c r="Z13" s="485"/>
    </row>
    <row r="14" spans="1:26" ht="15" customHeight="1" x14ac:dyDescent="0.3">
      <c r="A14" s="18"/>
      <c r="B14" s="21"/>
      <c r="C14" s="21"/>
      <c r="D14" s="21"/>
      <c r="E14" s="21"/>
      <c r="F14" s="21"/>
      <c r="G14" s="21"/>
      <c r="H14" s="21"/>
      <c r="I14" s="21"/>
      <c r="J14" s="21"/>
      <c r="K14" s="21"/>
      <c r="L14" s="21"/>
      <c r="M14" s="21"/>
      <c r="N14" s="21"/>
      <c r="O14" s="20"/>
      <c r="Q14" s="484" t="s">
        <v>674</v>
      </c>
      <c r="R14" s="484"/>
      <c r="S14" s="484" t="s">
        <v>2784</v>
      </c>
      <c r="T14" s="484"/>
      <c r="U14" s="484"/>
      <c r="V14" s="484"/>
      <c r="W14" s="484"/>
      <c r="X14" s="484"/>
      <c r="Y14" s="484"/>
      <c r="Z14" s="485" t="s">
        <v>326</v>
      </c>
    </row>
    <row r="15" spans="1:26" x14ac:dyDescent="0.3">
      <c r="A15" s="18"/>
      <c r="B15" s="21"/>
      <c r="C15" s="21"/>
      <c r="D15" s="21"/>
      <c r="E15" s="21"/>
      <c r="F15" s="21"/>
      <c r="G15" s="21"/>
      <c r="H15" s="21"/>
      <c r="I15" s="21"/>
      <c r="J15" s="21"/>
      <c r="K15" s="21"/>
      <c r="L15" s="21"/>
      <c r="M15" s="21"/>
      <c r="N15" s="21"/>
      <c r="O15" s="20"/>
      <c r="Q15" s="484"/>
      <c r="R15" s="484"/>
      <c r="S15" s="484"/>
      <c r="T15" s="484"/>
      <c r="U15" s="484"/>
      <c r="V15" s="484"/>
      <c r="W15" s="484"/>
      <c r="X15" s="484"/>
      <c r="Y15" s="484"/>
      <c r="Z15" s="485"/>
    </row>
    <row r="16" spans="1:26" x14ac:dyDescent="0.3">
      <c r="A16" s="18"/>
      <c r="B16" s="21"/>
      <c r="C16" s="21"/>
      <c r="D16" s="21"/>
      <c r="E16" s="21"/>
      <c r="F16" s="21"/>
      <c r="G16" s="21"/>
      <c r="H16" s="21"/>
      <c r="I16" s="21"/>
      <c r="J16" s="21"/>
      <c r="K16" s="21"/>
      <c r="L16" s="21"/>
      <c r="M16" s="21"/>
      <c r="N16" s="21"/>
      <c r="O16" s="20"/>
      <c r="Q16" s="484"/>
      <c r="R16" s="484"/>
      <c r="S16" s="484"/>
      <c r="T16" s="484"/>
      <c r="U16" s="484"/>
      <c r="V16" s="484"/>
      <c r="W16" s="484"/>
      <c r="X16" s="484"/>
      <c r="Y16" s="484"/>
      <c r="Z16" s="485"/>
    </row>
    <row r="17" spans="1:26" x14ac:dyDescent="0.3">
      <c r="A17" s="18"/>
      <c r="B17" s="21"/>
      <c r="C17" s="21"/>
      <c r="D17" s="21"/>
      <c r="E17" s="21"/>
      <c r="F17" s="21"/>
      <c r="G17" s="21"/>
      <c r="H17" s="21"/>
      <c r="I17" s="21"/>
      <c r="J17" s="21"/>
      <c r="K17" s="21"/>
      <c r="L17" s="21"/>
      <c r="M17" s="21"/>
      <c r="N17" s="21"/>
      <c r="O17" s="20"/>
      <c r="Q17" s="484" t="s">
        <v>675</v>
      </c>
      <c r="R17" s="484"/>
      <c r="S17" s="484" t="s">
        <v>676</v>
      </c>
      <c r="T17" s="484"/>
      <c r="U17" s="484"/>
      <c r="V17" s="484"/>
      <c r="W17" s="484"/>
      <c r="X17" s="484"/>
      <c r="Y17" s="484"/>
      <c r="Z17" s="485" t="s">
        <v>326</v>
      </c>
    </row>
    <row r="18" spans="1:26" x14ac:dyDescent="0.3">
      <c r="A18" s="18"/>
      <c r="B18" s="21"/>
      <c r="C18" s="21"/>
      <c r="D18" s="21"/>
      <c r="E18" s="21"/>
      <c r="F18" s="21"/>
      <c r="G18" s="21"/>
      <c r="H18" s="21"/>
      <c r="I18" s="21"/>
      <c r="J18" s="21"/>
      <c r="K18" s="21"/>
      <c r="L18" s="21"/>
      <c r="M18" s="21"/>
      <c r="N18" s="21"/>
      <c r="O18" s="20"/>
      <c r="Q18" s="484"/>
      <c r="R18" s="484"/>
      <c r="S18" s="484"/>
      <c r="T18" s="484"/>
      <c r="U18" s="484"/>
      <c r="V18" s="484"/>
      <c r="W18" s="484"/>
      <c r="X18" s="484"/>
      <c r="Y18" s="484"/>
      <c r="Z18" s="485"/>
    </row>
    <row r="19" spans="1:26" x14ac:dyDescent="0.3">
      <c r="A19" s="18"/>
      <c r="B19" s="21"/>
      <c r="C19" s="21"/>
      <c r="D19" s="21"/>
      <c r="E19" s="21"/>
      <c r="F19" s="21"/>
      <c r="G19" s="21"/>
      <c r="H19" s="21"/>
      <c r="I19" s="21"/>
      <c r="J19" s="21"/>
      <c r="K19" s="21"/>
      <c r="L19" s="21"/>
      <c r="M19" s="21"/>
      <c r="N19" s="21"/>
      <c r="O19" s="20"/>
      <c r="Q19" s="484"/>
      <c r="R19" s="484"/>
      <c r="S19" s="484"/>
      <c r="T19" s="484"/>
      <c r="U19" s="484"/>
      <c r="V19" s="484"/>
      <c r="W19" s="484"/>
      <c r="X19" s="484"/>
      <c r="Y19" s="484"/>
      <c r="Z19" s="485"/>
    </row>
    <row r="20" spans="1:26" x14ac:dyDescent="0.3">
      <c r="A20" s="18"/>
      <c r="B20" s="21"/>
      <c r="C20" s="21"/>
      <c r="D20" s="21"/>
      <c r="E20" s="21"/>
      <c r="F20" s="21"/>
      <c r="G20" s="21"/>
      <c r="H20" s="21"/>
      <c r="I20" s="21"/>
      <c r="J20" s="21"/>
      <c r="K20" s="21"/>
      <c r="L20" s="21"/>
      <c r="M20" s="21"/>
      <c r="N20" s="21"/>
      <c r="O20" s="20"/>
      <c r="Q20" s="484" t="s">
        <v>677</v>
      </c>
      <c r="R20" s="484"/>
      <c r="S20" s="484" t="s">
        <v>3879</v>
      </c>
      <c r="T20" s="484"/>
      <c r="U20" s="484"/>
      <c r="V20" s="484"/>
      <c r="W20" s="484"/>
      <c r="X20" s="484"/>
      <c r="Y20" s="484"/>
      <c r="Z20" s="485" t="s">
        <v>326</v>
      </c>
    </row>
    <row r="21" spans="1:26" x14ac:dyDescent="0.3">
      <c r="A21" s="18"/>
      <c r="B21" s="21"/>
      <c r="C21" s="21"/>
      <c r="D21" s="21"/>
      <c r="E21" s="21"/>
      <c r="F21" s="21"/>
      <c r="G21" s="21"/>
      <c r="H21" s="21"/>
      <c r="I21" s="21"/>
      <c r="J21" s="21"/>
      <c r="K21" s="21"/>
      <c r="L21" s="21"/>
      <c r="M21" s="21"/>
      <c r="N21" s="21"/>
      <c r="O21" s="20"/>
      <c r="Q21" s="484"/>
      <c r="R21" s="484"/>
      <c r="S21" s="484"/>
      <c r="T21" s="484"/>
      <c r="U21" s="484"/>
      <c r="V21" s="484"/>
      <c r="W21" s="484"/>
      <c r="X21" s="484"/>
      <c r="Y21" s="484"/>
      <c r="Z21" s="485"/>
    </row>
    <row r="22" spans="1:26" x14ac:dyDescent="0.3">
      <c r="A22" s="18"/>
      <c r="B22" s="85" t="s">
        <v>8</v>
      </c>
      <c r="C22" s="21"/>
      <c r="D22" s="21"/>
      <c r="E22" s="21"/>
      <c r="F22" s="21"/>
      <c r="G22" s="21"/>
      <c r="H22" s="475" t="s">
        <v>3372</v>
      </c>
      <c r="I22" s="475"/>
      <c r="J22" s="21"/>
      <c r="K22" s="21"/>
      <c r="L22" s="21"/>
      <c r="M22" s="21"/>
      <c r="N22" s="21"/>
      <c r="O22" s="20"/>
      <c r="Q22" s="484"/>
      <c r="R22" s="484"/>
      <c r="S22" s="484"/>
      <c r="T22" s="484"/>
      <c r="U22" s="484"/>
      <c r="V22" s="484"/>
      <c r="W22" s="484"/>
      <c r="X22" s="484"/>
      <c r="Y22" s="484"/>
      <c r="Z22" s="485"/>
    </row>
    <row r="23" spans="1:26" x14ac:dyDescent="0.3">
      <c r="A23" s="18"/>
      <c r="B23" s="79">
        <v>950</v>
      </c>
      <c r="C23" s="21"/>
      <c r="D23" s="21"/>
      <c r="E23" s="21"/>
      <c r="F23" s="21"/>
      <c r="G23" s="21"/>
      <c r="H23" s="163" t="str">
        <f t="array" ref="H23:I24">_xll.U.EVENT(B23,C26:D26,C27:E27,C28,C29,TRUE,C30)</f>
        <v>IsTriggered</v>
      </c>
      <c r="I23" s="163" t="str">
        <v>ID</v>
      </c>
      <c r="J23" s="21"/>
      <c r="K23" s="21"/>
      <c r="L23" s="21"/>
      <c r="M23" s="21"/>
      <c r="N23" s="21"/>
      <c r="O23" s="20"/>
      <c r="Q23" s="484" t="s">
        <v>686</v>
      </c>
      <c r="R23" s="484"/>
      <c r="S23" s="484" t="s">
        <v>687</v>
      </c>
      <c r="T23" s="484"/>
      <c r="U23" s="484"/>
      <c r="V23" s="484"/>
      <c r="W23" s="484"/>
      <c r="X23" s="484"/>
      <c r="Y23" s="484"/>
      <c r="Z23" s="485" t="s">
        <v>326</v>
      </c>
    </row>
    <row r="24" spans="1:26" x14ac:dyDescent="0.3">
      <c r="A24" s="18"/>
      <c r="B24" s="21"/>
      <c r="C24" s="21"/>
      <c r="D24" s="21"/>
      <c r="E24" s="21"/>
      <c r="F24" s="21"/>
      <c r="G24" s="21"/>
      <c r="H24" s="94" t="b">
        <v>0</v>
      </c>
      <c r="I24" s="30" t="str">
        <v>CLQB</v>
      </c>
      <c r="J24" s="21"/>
      <c r="K24" s="21"/>
      <c r="L24" s="21"/>
      <c r="M24" s="21"/>
      <c r="N24" s="21"/>
      <c r="O24" s="20"/>
      <c r="Q24" s="484"/>
      <c r="R24" s="484"/>
      <c r="S24" s="484"/>
      <c r="T24" s="484"/>
      <c r="U24" s="484"/>
      <c r="V24" s="484"/>
      <c r="W24" s="484"/>
      <c r="X24" s="484"/>
      <c r="Y24" s="484"/>
      <c r="Z24" s="485"/>
    </row>
    <row r="25" spans="1:26" x14ac:dyDescent="0.3">
      <c r="A25" s="18"/>
      <c r="B25" s="21"/>
      <c r="C25" s="85" t="s">
        <v>658</v>
      </c>
      <c r="D25" s="85" t="s">
        <v>659</v>
      </c>
      <c r="E25" s="85" t="s">
        <v>660</v>
      </c>
      <c r="F25" s="21"/>
      <c r="G25" s="21"/>
      <c r="H25" s="21"/>
      <c r="I25" s="21"/>
      <c r="J25" s="21"/>
      <c r="K25" s="21"/>
      <c r="L25" s="21"/>
      <c r="M25" s="21"/>
      <c r="N25" s="21"/>
      <c r="O25" s="20"/>
      <c r="Q25" s="484"/>
      <c r="R25" s="484"/>
      <c r="S25" s="484"/>
      <c r="T25" s="484"/>
      <c r="U25" s="484"/>
      <c r="V25" s="484"/>
      <c r="W25" s="484"/>
      <c r="X25" s="484"/>
      <c r="Y25" s="484"/>
      <c r="Z25" s="485"/>
    </row>
    <row r="26" spans="1:26" x14ac:dyDescent="0.3">
      <c r="A26" s="18"/>
      <c r="B26" s="85" t="s">
        <v>654</v>
      </c>
      <c r="C26" s="79">
        <v>1000</v>
      </c>
      <c r="D26" s="79">
        <v>1</v>
      </c>
      <c r="E26" s="21"/>
      <c r="F26" s="21"/>
      <c r="G26" s="21"/>
      <c r="H26" s="21"/>
      <c r="I26" s="21"/>
      <c r="J26" s="21"/>
      <c r="K26" s="21"/>
      <c r="L26" s="21"/>
      <c r="M26" s="21"/>
      <c r="N26" s="21"/>
      <c r="O26" s="20"/>
      <c r="Q26" s="484" t="s">
        <v>678</v>
      </c>
      <c r="R26" s="484"/>
      <c r="S26" s="484" t="s">
        <v>979</v>
      </c>
      <c r="T26" s="484"/>
      <c r="U26" s="484"/>
      <c r="V26" s="484"/>
      <c r="W26" s="484"/>
      <c r="X26" s="484"/>
      <c r="Y26" s="484"/>
      <c r="Z26" s="485" t="s">
        <v>326</v>
      </c>
    </row>
    <row r="27" spans="1:26" x14ac:dyDescent="0.3">
      <c r="A27" s="18"/>
      <c r="B27" s="85" t="s">
        <v>655</v>
      </c>
      <c r="C27" s="79">
        <v>800</v>
      </c>
      <c r="D27" s="79">
        <v>-1</v>
      </c>
      <c r="E27" s="79" t="b">
        <v>0</v>
      </c>
      <c r="F27" s="21"/>
      <c r="G27" s="21"/>
      <c r="H27" s="21"/>
      <c r="I27" s="21"/>
      <c r="J27" s="21"/>
      <c r="K27" s="21"/>
      <c r="L27" s="21"/>
      <c r="M27" s="21"/>
      <c r="N27" s="21"/>
      <c r="O27" s="20"/>
      <c r="Q27" s="484"/>
      <c r="R27" s="484"/>
      <c r="S27" s="484"/>
      <c r="T27" s="484"/>
      <c r="U27" s="484"/>
      <c r="V27" s="484"/>
      <c r="W27" s="484"/>
      <c r="X27" s="484"/>
      <c r="Y27" s="484"/>
      <c r="Z27" s="485"/>
    </row>
    <row r="28" spans="1:26" x14ac:dyDescent="0.3">
      <c r="A28" s="18"/>
      <c r="B28" s="85" t="s">
        <v>656</v>
      </c>
      <c r="C28" s="79">
        <v>-1</v>
      </c>
      <c r="D28" s="21"/>
      <c r="E28" s="21"/>
      <c r="F28" s="21"/>
      <c r="G28" s="21"/>
      <c r="H28" s="21"/>
      <c r="I28" s="21"/>
      <c r="J28" s="21"/>
      <c r="K28" s="21"/>
      <c r="L28" s="21"/>
      <c r="M28" s="21"/>
      <c r="N28" s="21"/>
      <c r="O28" s="20"/>
      <c r="Q28" s="484"/>
      <c r="R28" s="484"/>
      <c r="S28" s="484"/>
      <c r="T28" s="484"/>
      <c r="U28" s="484"/>
      <c r="V28" s="484"/>
      <c r="W28" s="484"/>
      <c r="X28" s="484"/>
      <c r="Y28" s="484"/>
      <c r="Z28" s="485"/>
    </row>
    <row r="29" spans="1:26" x14ac:dyDescent="0.3">
      <c r="A29" s="18"/>
      <c r="B29" s="85" t="s">
        <v>657</v>
      </c>
      <c r="C29" s="79">
        <v>10</v>
      </c>
      <c r="D29" s="21"/>
      <c r="E29" s="21"/>
      <c r="F29" s="21"/>
      <c r="G29" s="21"/>
      <c r="H29" s="21"/>
      <c r="I29" s="21"/>
      <c r="J29" s="21"/>
      <c r="K29" s="21"/>
      <c r="L29" s="21"/>
      <c r="M29" s="21"/>
      <c r="N29" s="21"/>
      <c r="O29" s="20"/>
      <c r="Q29" s="484" t="s">
        <v>1558</v>
      </c>
      <c r="R29" s="484"/>
      <c r="S29" s="484" t="s">
        <v>3695</v>
      </c>
      <c r="T29" s="484"/>
      <c r="U29" s="484"/>
      <c r="V29" s="484"/>
      <c r="W29" s="484"/>
      <c r="X29" s="484"/>
      <c r="Y29" s="484"/>
      <c r="Z29" s="485" t="s">
        <v>326</v>
      </c>
    </row>
    <row r="30" spans="1:26" x14ac:dyDescent="0.3">
      <c r="A30" s="18"/>
      <c r="B30" s="85" t="s">
        <v>586</v>
      </c>
      <c r="C30" s="79" t="b">
        <v>0</v>
      </c>
      <c r="D30" s="21"/>
      <c r="E30" s="21"/>
      <c r="F30" s="21"/>
      <c r="G30" s="21"/>
      <c r="H30" s="21"/>
      <c r="I30" s="21"/>
      <c r="J30" s="21"/>
      <c r="K30" s="21"/>
      <c r="L30" s="21"/>
      <c r="M30" s="21"/>
      <c r="N30" s="21"/>
      <c r="O30" s="20"/>
      <c r="Q30" s="484"/>
      <c r="R30" s="484"/>
      <c r="S30" s="484"/>
      <c r="T30" s="484"/>
      <c r="U30" s="484"/>
      <c r="V30" s="484"/>
      <c r="W30" s="484"/>
      <c r="X30" s="484"/>
      <c r="Y30" s="484"/>
      <c r="Z30" s="485"/>
    </row>
    <row r="31" spans="1:26" x14ac:dyDescent="0.3">
      <c r="A31" s="18"/>
      <c r="B31" s="21"/>
      <c r="C31" s="21"/>
      <c r="D31" s="21"/>
      <c r="E31" s="21"/>
      <c r="F31" s="21"/>
      <c r="G31" s="21"/>
      <c r="H31" s="21"/>
      <c r="I31" s="21"/>
      <c r="J31" s="21"/>
      <c r="K31" s="21"/>
      <c r="L31" s="21"/>
      <c r="M31" s="21"/>
      <c r="N31" s="21"/>
      <c r="O31" s="20"/>
      <c r="Q31" s="484"/>
      <c r="R31" s="484"/>
      <c r="S31" s="484"/>
      <c r="T31" s="484"/>
      <c r="U31" s="484"/>
      <c r="V31" s="484"/>
      <c r="W31" s="484"/>
      <c r="X31" s="484"/>
      <c r="Y31" s="484"/>
      <c r="Z31" s="485"/>
    </row>
    <row r="32" spans="1:26" x14ac:dyDescent="0.3">
      <c r="A32" s="18"/>
      <c r="B32" s="21"/>
      <c r="C32" s="21"/>
      <c r="D32" s="21"/>
      <c r="E32" s="21"/>
      <c r="F32" s="21"/>
      <c r="G32" s="21"/>
      <c r="H32" s="21"/>
      <c r="I32" s="21"/>
      <c r="J32" s="21"/>
      <c r="K32" s="21"/>
      <c r="L32" s="21"/>
      <c r="M32" s="21"/>
      <c r="N32" s="21"/>
      <c r="O32" s="20"/>
      <c r="Q32" s="126" t="s">
        <v>328</v>
      </c>
    </row>
    <row r="33" spans="1:15" x14ac:dyDescent="0.3">
      <c r="A33" s="18"/>
      <c r="B33" s="21"/>
      <c r="C33" s="21"/>
      <c r="D33" s="21"/>
      <c r="E33" s="21"/>
      <c r="F33" s="21"/>
      <c r="G33" s="21"/>
      <c r="H33" s="21"/>
      <c r="I33" s="21"/>
      <c r="J33" s="21"/>
      <c r="K33" s="21"/>
      <c r="L33" s="21"/>
      <c r="M33" s="21"/>
      <c r="N33" s="21"/>
      <c r="O33" s="20"/>
    </row>
    <row r="34" spans="1:15" x14ac:dyDescent="0.3">
      <c r="A34" s="18"/>
      <c r="B34" s="21"/>
      <c r="C34" s="21"/>
      <c r="D34" s="21"/>
      <c r="E34" s="21"/>
      <c r="F34" s="21"/>
      <c r="G34" s="21"/>
      <c r="H34" s="21"/>
      <c r="I34" s="21"/>
      <c r="J34" s="21"/>
      <c r="K34" s="21"/>
      <c r="L34" s="21"/>
      <c r="M34" s="21"/>
      <c r="N34" s="21"/>
      <c r="O34" s="20"/>
    </row>
    <row r="35" spans="1:15" x14ac:dyDescent="0.3">
      <c r="A35" s="18"/>
      <c r="B35" s="21"/>
      <c r="C35" s="21"/>
      <c r="D35" s="21"/>
      <c r="E35" s="21"/>
      <c r="F35" s="21"/>
      <c r="G35" s="21"/>
      <c r="H35" s="21"/>
      <c r="I35" s="21"/>
      <c r="J35" s="21"/>
      <c r="K35" s="21"/>
      <c r="L35" s="21"/>
      <c r="M35" s="21"/>
      <c r="N35" s="21"/>
      <c r="O35" s="20"/>
    </row>
    <row r="36" spans="1:15" x14ac:dyDescent="0.3">
      <c r="A36" s="18"/>
      <c r="B36" s="3" t="s">
        <v>665</v>
      </c>
      <c r="C36" s="520" t="s">
        <v>1</v>
      </c>
      <c r="D36" s="520"/>
      <c r="E36" s="520"/>
      <c r="F36" s="520"/>
      <c r="G36" s="520"/>
      <c r="H36" s="520"/>
      <c r="I36" s="21"/>
      <c r="J36" s="21"/>
      <c r="K36" s="21"/>
      <c r="L36" s="21"/>
      <c r="M36" s="21"/>
      <c r="N36" s="21"/>
      <c r="O36" s="20"/>
    </row>
    <row r="37" spans="1:15" x14ac:dyDescent="0.3">
      <c r="A37" s="18"/>
      <c r="B37" s="109" t="s">
        <v>267</v>
      </c>
      <c r="C37" s="519" t="s">
        <v>666</v>
      </c>
      <c r="D37" s="519"/>
      <c r="E37" s="519"/>
      <c r="F37" s="519"/>
      <c r="G37" s="519"/>
      <c r="H37" s="519"/>
      <c r="I37" s="21"/>
      <c r="J37" s="21"/>
      <c r="K37" s="21"/>
      <c r="L37" s="21"/>
      <c r="M37" s="21"/>
      <c r="N37" s="21"/>
      <c r="O37" s="20"/>
    </row>
    <row r="38" spans="1:15" x14ac:dyDescent="0.3">
      <c r="A38" s="18"/>
      <c r="B38" s="109" t="s">
        <v>669</v>
      </c>
      <c r="C38" s="519" t="s">
        <v>667</v>
      </c>
      <c r="D38" s="519"/>
      <c r="E38" s="519"/>
      <c r="F38" s="519"/>
      <c r="G38" s="519"/>
      <c r="H38" s="519"/>
      <c r="I38" s="21"/>
      <c r="J38" s="21"/>
      <c r="K38" s="21"/>
      <c r="L38" s="21"/>
      <c r="M38" s="21"/>
      <c r="N38" s="21"/>
      <c r="O38" s="20"/>
    </row>
    <row r="39" spans="1:15" x14ac:dyDescent="0.3">
      <c r="A39" s="18"/>
      <c r="B39" s="158" t="s">
        <v>670</v>
      </c>
      <c r="C39" s="519" t="s">
        <v>668</v>
      </c>
      <c r="D39" s="519"/>
      <c r="E39" s="519"/>
      <c r="F39" s="519"/>
      <c r="G39" s="519"/>
      <c r="H39" s="519"/>
      <c r="I39" s="21"/>
      <c r="J39" s="21"/>
      <c r="K39" s="21"/>
      <c r="L39" s="21"/>
      <c r="M39" s="21"/>
      <c r="N39" s="21"/>
      <c r="O39" s="20"/>
    </row>
    <row r="40" spans="1:15" x14ac:dyDescent="0.3">
      <c r="A40" s="18"/>
      <c r="B40" s="21"/>
      <c r="C40" s="21"/>
      <c r="D40" s="21"/>
      <c r="E40" s="21"/>
      <c r="F40" s="21"/>
      <c r="G40" s="21"/>
      <c r="H40" s="21"/>
      <c r="I40" s="21"/>
      <c r="J40" s="21"/>
      <c r="K40" s="21"/>
      <c r="L40" s="21"/>
      <c r="M40" s="21"/>
      <c r="N40" s="21"/>
      <c r="O40" s="20"/>
    </row>
    <row r="41" spans="1:15" x14ac:dyDescent="0.3">
      <c r="A41" s="18"/>
      <c r="B41" s="21"/>
      <c r="C41" s="21"/>
      <c r="D41" s="21"/>
      <c r="E41" s="21"/>
      <c r="F41" s="21"/>
      <c r="G41" s="21"/>
      <c r="H41" s="21"/>
      <c r="I41" s="21"/>
      <c r="J41" s="21"/>
      <c r="K41" s="21"/>
      <c r="L41" s="21"/>
      <c r="M41" s="21"/>
      <c r="N41" s="21"/>
      <c r="O41" s="20"/>
    </row>
    <row r="42" spans="1:15" x14ac:dyDescent="0.3">
      <c r="A42" s="18"/>
      <c r="B42" s="3" t="s">
        <v>661</v>
      </c>
      <c r="C42" s="520" t="s">
        <v>1</v>
      </c>
      <c r="D42" s="520"/>
      <c r="E42" s="520"/>
      <c r="F42" s="520"/>
      <c r="G42" s="520"/>
      <c r="H42" s="520"/>
      <c r="I42" s="21"/>
      <c r="J42" s="21"/>
      <c r="K42" s="21"/>
      <c r="L42" s="21"/>
      <c r="M42" s="21"/>
      <c r="N42" s="21"/>
      <c r="O42" s="20"/>
    </row>
    <row r="43" spans="1:15" x14ac:dyDescent="0.3">
      <c r="A43" s="18"/>
      <c r="B43" s="109" t="s">
        <v>267</v>
      </c>
      <c r="C43" s="519" t="s">
        <v>662</v>
      </c>
      <c r="D43" s="519"/>
      <c r="E43" s="519"/>
      <c r="F43" s="519"/>
      <c r="G43" s="519"/>
      <c r="H43" s="519"/>
      <c r="I43" s="21"/>
      <c r="J43" s="21"/>
      <c r="K43" s="21"/>
      <c r="L43" s="21"/>
      <c r="M43" s="21"/>
      <c r="N43" s="21"/>
      <c r="O43" s="20"/>
    </row>
    <row r="44" spans="1:15" x14ac:dyDescent="0.3">
      <c r="A44" s="18"/>
      <c r="B44" s="109">
        <v>1</v>
      </c>
      <c r="C44" s="519" t="s">
        <v>663</v>
      </c>
      <c r="D44" s="519"/>
      <c r="E44" s="519"/>
      <c r="F44" s="519"/>
      <c r="G44" s="519"/>
      <c r="H44" s="519"/>
      <c r="I44" s="21"/>
      <c r="J44" s="21"/>
      <c r="K44" s="21"/>
      <c r="L44" s="21"/>
      <c r="M44" s="21"/>
      <c r="N44" s="21"/>
      <c r="O44" s="20"/>
    </row>
    <row r="45" spans="1:15" x14ac:dyDescent="0.3">
      <c r="A45" s="18"/>
      <c r="B45" s="109">
        <v>2</v>
      </c>
      <c r="C45" s="519" t="s">
        <v>664</v>
      </c>
      <c r="D45" s="519"/>
      <c r="E45" s="519"/>
      <c r="F45" s="519"/>
      <c r="G45" s="519"/>
      <c r="H45" s="519"/>
      <c r="I45" s="21"/>
      <c r="J45" s="21"/>
      <c r="K45" s="21"/>
      <c r="L45" s="21"/>
      <c r="M45" s="21"/>
      <c r="N45" s="21"/>
      <c r="O45" s="20"/>
    </row>
    <row r="46" spans="1:15" x14ac:dyDescent="0.3">
      <c r="A46" s="18"/>
      <c r="B46" s="109">
        <v>3</v>
      </c>
      <c r="C46" s="519" t="s">
        <v>685</v>
      </c>
      <c r="D46" s="519"/>
      <c r="E46" s="519"/>
      <c r="F46" s="519"/>
      <c r="G46" s="519"/>
      <c r="H46" s="519"/>
      <c r="I46" s="21"/>
      <c r="J46" s="21"/>
      <c r="K46" s="21"/>
      <c r="L46" s="21"/>
      <c r="M46" s="21"/>
      <c r="N46" s="21"/>
      <c r="O46" s="20"/>
    </row>
    <row r="47" spans="1:15" x14ac:dyDescent="0.3">
      <c r="A47" s="18"/>
      <c r="B47" s="109">
        <v>-1</v>
      </c>
      <c r="C47" s="519" t="s">
        <v>789</v>
      </c>
      <c r="D47" s="519"/>
      <c r="E47" s="519"/>
      <c r="F47" s="519"/>
      <c r="G47" s="519"/>
      <c r="H47" s="519"/>
      <c r="I47" s="21"/>
      <c r="J47" s="21"/>
      <c r="K47" s="21"/>
      <c r="L47" s="21"/>
      <c r="M47" s="21"/>
      <c r="N47" s="21"/>
      <c r="O47" s="20"/>
    </row>
    <row r="48" spans="1:15" x14ac:dyDescent="0.3">
      <c r="A48" s="18"/>
      <c r="B48" s="21"/>
      <c r="C48" s="21"/>
      <c r="D48" s="21"/>
      <c r="E48" s="21"/>
      <c r="F48" s="21"/>
      <c r="G48" s="21"/>
      <c r="H48" s="21"/>
      <c r="I48" s="21"/>
      <c r="J48" s="21"/>
      <c r="K48" s="21"/>
      <c r="L48" s="21"/>
      <c r="M48" s="21"/>
      <c r="N48" s="21"/>
      <c r="O48" s="20"/>
    </row>
    <row r="49" spans="1:15" x14ac:dyDescent="0.3">
      <c r="A49" s="18"/>
      <c r="B49" s="21"/>
      <c r="C49" s="21"/>
      <c r="D49" s="21"/>
      <c r="E49" s="21"/>
      <c r="F49" s="21"/>
      <c r="G49" s="21"/>
      <c r="H49" s="21"/>
      <c r="I49" s="21"/>
      <c r="J49" s="21"/>
      <c r="K49" s="21"/>
      <c r="L49" s="21"/>
      <c r="M49" s="21"/>
      <c r="N49" s="21"/>
      <c r="O49" s="20"/>
    </row>
    <row r="50" spans="1:15" x14ac:dyDescent="0.3">
      <c r="A50" s="18"/>
      <c r="B50" s="21"/>
      <c r="C50" s="21"/>
      <c r="D50" s="21"/>
      <c r="E50" s="21"/>
      <c r="F50" s="21"/>
      <c r="G50" s="21"/>
      <c r="H50" s="21"/>
      <c r="I50" s="21"/>
      <c r="J50" s="21"/>
      <c r="K50" s="21"/>
      <c r="L50" s="21"/>
      <c r="M50" s="21"/>
      <c r="N50" s="21"/>
      <c r="O50" s="20"/>
    </row>
    <row r="51" spans="1:15" x14ac:dyDescent="0.3">
      <c r="A51" s="18"/>
      <c r="B51" s="21"/>
      <c r="C51" s="21"/>
      <c r="D51" s="21"/>
      <c r="E51" s="21"/>
      <c r="F51" s="21"/>
      <c r="G51" s="21"/>
      <c r="H51" s="21"/>
      <c r="I51" s="21"/>
      <c r="J51" s="21"/>
      <c r="K51" s="21"/>
      <c r="L51" s="21"/>
      <c r="M51" s="21"/>
      <c r="N51" s="21"/>
      <c r="O51" s="20"/>
    </row>
    <row r="52" spans="1:15" x14ac:dyDescent="0.3">
      <c r="A52" s="18"/>
      <c r="B52" s="21"/>
      <c r="C52" s="21"/>
      <c r="D52" s="21"/>
      <c r="E52" s="21"/>
      <c r="F52" s="21"/>
      <c r="G52" s="21"/>
      <c r="H52" s="21"/>
      <c r="I52" s="21"/>
      <c r="J52" s="21"/>
      <c r="K52" s="21"/>
      <c r="L52" s="21"/>
      <c r="M52" s="21"/>
      <c r="N52" s="21"/>
      <c r="O52" s="20"/>
    </row>
    <row r="53" spans="1:15" x14ac:dyDescent="0.3">
      <c r="A53" s="18"/>
      <c r="B53" s="21"/>
      <c r="C53" s="21"/>
      <c r="D53" s="21"/>
      <c r="E53" s="21"/>
      <c r="F53" s="21"/>
      <c r="G53" s="21"/>
      <c r="H53" s="21"/>
      <c r="I53" s="21"/>
      <c r="J53" s="21"/>
      <c r="K53" s="21"/>
      <c r="L53" s="21"/>
      <c r="M53" s="21"/>
      <c r="N53" s="21"/>
      <c r="O53" s="20"/>
    </row>
    <row r="54" spans="1:15" x14ac:dyDescent="0.3">
      <c r="A54" s="18"/>
      <c r="B54" s="21"/>
      <c r="C54" s="21"/>
      <c r="D54" s="21"/>
      <c r="E54" s="21"/>
      <c r="F54" s="21"/>
      <c r="G54" s="21"/>
      <c r="H54" s="21"/>
      <c r="I54" s="21"/>
      <c r="J54" s="21"/>
      <c r="K54" s="21"/>
      <c r="L54" s="21"/>
      <c r="M54" s="21"/>
      <c r="N54" s="21"/>
      <c r="O54" s="20"/>
    </row>
    <row r="55" spans="1:15" x14ac:dyDescent="0.3">
      <c r="A55" s="18"/>
      <c r="B55" s="21"/>
      <c r="C55" s="21"/>
      <c r="D55" s="21"/>
      <c r="E55" s="21"/>
      <c r="F55" s="21"/>
      <c r="G55" s="21"/>
      <c r="H55" s="21"/>
      <c r="I55" s="21"/>
      <c r="J55" s="21"/>
      <c r="K55" s="21"/>
      <c r="L55" s="21"/>
      <c r="M55" s="21"/>
      <c r="N55" s="21"/>
      <c r="O55" s="20"/>
    </row>
    <row r="56" spans="1:15" x14ac:dyDescent="0.3">
      <c r="A56" s="18"/>
      <c r="B56" s="21"/>
      <c r="C56" s="21"/>
      <c r="D56" s="21"/>
      <c r="E56" s="21"/>
      <c r="F56" s="21"/>
      <c r="G56" s="21"/>
      <c r="H56" s="21"/>
      <c r="I56" s="21"/>
      <c r="J56" s="21"/>
      <c r="K56" s="21"/>
      <c r="L56" s="21"/>
      <c r="M56" s="21"/>
      <c r="N56" s="21"/>
      <c r="O56" s="20"/>
    </row>
    <row r="57" spans="1:15" x14ac:dyDescent="0.3">
      <c r="A57" s="18"/>
      <c r="B57" s="21"/>
      <c r="C57" s="21"/>
      <c r="D57" s="21"/>
      <c r="E57" s="21"/>
      <c r="F57" s="21"/>
      <c r="G57" s="21"/>
      <c r="H57" s="21"/>
      <c r="I57" s="21"/>
      <c r="J57" s="21"/>
      <c r="K57" s="21"/>
      <c r="L57" s="21"/>
      <c r="M57" s="21"/>
      <c r="N57" s="21"/>
      <c r="O57" s="20"/>
    </row>
    <row r="58" spans="1:15" x14ac:dyDescent="0.3">
      <c r="A58" s="18"/>
      <c r="B58" s="21"/>
      <c r="C58" s="21"/>
      <c r="D58" s="21"/>
      <c r="E58" s="21"/>
      <c r="F58" s="21"/>
      <c r="G58" s="21"/>
      <c r="H58" s="21"/>
      <c r="I58" s="21"/>
      <c r="J58" s="21"/>
      <c r="K58" s="21"/>
      <c r="L58" s="21"/>
      <c r="M58" s="21"/>
      <c r="N58" s="21"/>
      <c r="O58" s="20"/>
    </row>
    <row r="59" spans="1:15" x14ac:dyDescent="0.3">
      <c r="A59" s="18"/>
      <c r="B59" s="85" t="s">
        <v>2788</v>
      </c>
      <c r="C59" s="21"/>
      <c r="D59" s="21"/>
      <c r="E59" s="21"/>
      <c r="F59" s="475" t="s">
        <v>3372</v>
      </c>
      <c r="G59" s="475"/>
      <c r="H59" s="21"/>
      <c r="I59" s="21"/>
      <c r="J59" s="21"/>
      <c r="K59" s="21"/>
      <c r="L59" s="21"/>
      <c r="M59" s="21"/>
      <c r="N59" s="21"/>
      <c r="O59" s="20"/>
    </row>
    <row r="60" spans="1:15" x14ac:dyDescent="0.3">
      <c r="A60" s="18"/>
      <c r="B60" s="411">
        <v>10</v>
      </c>
      <c r="C60" s="21"/>
      <c r="D60" s="21"/>
      <c r="E60" s="21"/>
      <c r="F60" s="163" t="str">
        <f t="array" ref="F60:G60">_xll.U.EVENT(B60,C63:D63,C64:E64,C65,C66,TRUE,C67)</f>
        <v>IsTriggered</v>
      </c>
      <c r="G60" s="163" t="str">
        <v>ID</v>
      </c>
      <c r="H60" s="21"/>
      <c r="I60" s="21"/>
      <c r="J60" s="21"/>
      <c r="K60" s="21"/>
      <c r="L60" s="21"/>
      <c r="M60" s="21"/>
      <c r="N60" s="21"/>
      <c r="O60" s="20"/>
    </row>
    <row r="61" spans="1:15" x14ac:dyDescent="0.3">
      <c r="A61" s="18"/>
      <c r="B61" s="21"/>
      <c r="C61" s="21"/>
      <c r="D61" s="21"/>
      <c r="E61" s="21"/>
      <c r="F61" s="94" t="b">
        <f t="array" ref="F61:G61">_xll.U.EVENT(B60,B63:C66,,,,,,B70)</f>
        <v>0</v>
      </c>
      <c r="G61" s="30" t="str">
        <v>QLAS</v>
      </c>
      <c r="H61" s="21"/>
      <c r="I61" s="21"/>
      <c r="J61" s="21"/>
      <c r="K61" s="21"/>
      <c r="L61" s="21"/>
      <c r="M61" s="21"/>
      <c r="N61" s="21"/>
      <c r="O61" s="20"/>
    </row>
    <row r="62" spans="1:15" x14ac:dyDescent="0.3">
      <c r="A62" s="18"/>
      <c r="B62" s="85" t="s">
        <v>2789</v>
      </c>
      <c r="C62" s="21"/>
      <c r="D62" s="21"/>
      <c r="E62" s="21"/>
      <c r="F62" s="21"/>
      <c r="G62" s="21"/>
      <c r="H62" s="21"/>
      <c r="I62" s="21"/>
      <c r="J62" s="21"/>
      <c r="K62" s="21"/>
      <c r="L62" s="21"/>
      <c r="M62" s="21"/>
      <c r="N62" s="21"/>
      <c r="O62" s="20"/>
    </row>
    <row r="63" spans="1:15" x14ac:dyDescent="0.3">
      <c r="A63" s="18"/>
      <c r="B63" s="79" t="s">
        <v>2787</v>
      </c>
      <c r="C63" s="21"/>
      <c r="D63" s="21"/>
      <c r="E63" s="21"/>
      <c r="F63" s="21"/>
      <c r="G63" s="21"/>
      <c r="H63" s="21"/>
      <c r="I63" s="21"/>
      <c r="J63" s="21"/>
      <c r="K63" s="21"/>
      <c r="L63" s="21"/>
      <c r="M63" s="21"/>
      <c r="N63" s="21"/>
      <c r="O63" s="20"/>
    </row>
    <row r="64" spans="1:15" x14ac:dyDescent="0.3">
      <c r="A64" s="18"/>
      <c r="B64" s="411">
        <f t="array" ref="B64:B66">_xll.U.SEQUENCE(B60,"x"&amp;1.2,3,B60)</f>
        <v>12</v>
      </c>
      <c r="C64" s="80">
        <v>1</v>
      </c>
      <c r="D64" s="21"/>
      <c r="E64" s="21"/>
      <c r="F64" s="21"/>
      <c r="G64" s="21"/>
      <c r="H64" s="21"/>
      <c r="I64" s="21"/>
      <c r="J64" s="21"/>
      <c r="K64" s="21"/>
      <c r="L64" s="21"/>
      <c r="M64" s="21"/>
      <c r="N64" s="21"/>
      <c r="O64" s="20"/>
    </row>
    <row r="65" spans="1:15" x14ac:dyDescent="0.3">
      <c r="A65" s="18"/>
      <c r="B65" s="411">
        <v>14.4</v>
      </c>
      <c r="C65" s="80">
        <v>1</v>
      </c>
      <c r="D65" s="21"/>
      <c r="E65" s="21"/>
      <c r="F65" s="21"/>
      <c r="G65" s="21"/>
      <c r="H65" s="21"/>
      <c r="I65" s="21"/>
      <c r="J65" s="21"/>
      <c r="K65" s="21"/>
      <c r="L65" s="21"/>
      <c r="M65" s="21"/>
      <c r="N65" s="21"/>
      <c r="O65" s="20"/>
    </row>
    <row r="66" spans="1:15" x14ac:dyDescent="0.3">
      <c r="A66" s="18"/>
      <c r="B66" s="411">
        <v>17.28</v>
      </c>
      <c r="C66" s="80">
        <v>1</v>
      </c>
      <c r="D66" s="21"/>
      <c r="E66" s="21"/>
      <c r="F66" s="21"/>
      <c r="G66" s="21"/>
      <c r="H66" s="21"/>
      <c r="I66" s="21"/>
      <c r="J66" s="21"/>
      <c r="K66" s="21"/>
      <c r="L66" s="21"/>
      <c r="M66" s="21"/>
      <c r="N66" s="21"/>
      <c r="O66" s="20"/>
    </row>
    <row r="67" spans="1:15" x14ac:dyDescent="0.3">
      <c r="A67" s="18"/>
      <c r="B67" s="21"/>
      <c r="C67" s="21"/>
      <c r="D67" s="21"/>
      <c r="E67" s="21"/>
      <c r="F67" s="21"/>
      <c r="G67" s="21"/>
      <c r="H67" s="21"/>
      <c r="I67" s="21"/>
      <c r="J67" s="21"/>
      <c r="K67" s="21"/>
      <c r="L67" s="21"/>
      <c r="M67" s="21"/>
      <c r="N67" s="21"/>
      <c r="O67" s="20"/>
    </row>
    <row r="68" spans="1:15" x14ac:dyDescent="0.3">
      <c r="A68" s="18"/>
      <c r="B68" s="21"/>
      <c r="C68" s="21"/>
      <c r="D68" s="21"/>
      <c r="E68" s="21"/>
      <c r="F68" s="21"/>
      <c r="G68" s="21"/>
      <c r="H68" s="21"/>
      <c r="I68" s="21"/>
      <c r="J68" s="21"/>
      <c r="K68" s="21"/>
      <c r="L68" s="21"/>
      <c r="M68" s="21"/>
      <c r="N68" s="21"/>
      <c r="O68" s="20"/>
    </row>
    <row r="69" spans="1:15" x14ac:dyDescent="0.3">
      <c r="A69" s="18"/>
      <c r="B69" s="85" t="s">
        <v>2790</v>
      </c>
      <c r="C69" s="21"/>
      <c r="D69" s="21"/>
      <c r="E69" s="21"/>
      <c r="F69" s="21"/>
      <c r="G69" s="21"/>
      <c r="H69" s="21"/>
      <c r="I69" s="21"/>
      <c r="J69" s="21"/>
      <c r="K69" s="21"/>
      <c r="L69" s="21"/>
      <c r="M69" s="21"/>
      <c r="N69" s="21"/>
      <c r="O69" s="20"/>
    </row>
    <row r="70" spans="1:15" x14ac:dyDescent="0.3">
      <c r="A70" s="18"/>
      <c r="B70" s="94" cm="1">
        <f t="array" ref="B70">_xll.U.NOW()</f>
        <v>46145.893237847202</v>
      </c>
      <c r="C70" s="21"/>
      <c r="D70" s="21"/>
      <c r="E70" s="21"/>
      <c r="F70" s="21"/>
      <c r="G70" s="21"/>
      <c r="H70" s="21"/>
      <c r="I70" s="21"/>
      <c r="J70" s="21"/>
      <c r="K70" s="21"/>
      <c r="L70" s="21"/>
      <c r="M70" s="21"/>
      <c r="N70" s="21"/>
      <c r="O70" s="20"/>
    </row>
    <row r="71" spans="1:15" x14ac:dyDescent="0.3">
      <c r="A71" s="18"/>
      <c r="B71" s="21"/>
      <c r="C71" s="21"/>
      <c r="D71" s="21"/>
      <c r="E71" s="21"/>
      <c r="F71" s="21"/>
      <c r="G71" s="21"/>
      <c r="H71" s="21"/>
      <c r="I71" s="21"/>
      <c r="J71" s="21"/>
      <c r="K71" s="21"/>
      <c r="L71" s="21"/>
      <c r="M71" s="21"/>
      <c r="N71" s="21"/>
      <c r="O71" s="20"/>
    </row>
    <row r="72" spans="1:15" x14ac:dyDescent="0.3">
      <c r="A72" s="18"/>
      <c r="B72" s="21"/>
      <c r="C72" s="21"/>
      <c r="D72" s="21"/>
      <c r="E72" s="21"/>
      <c r="F72" s="21"/>
      <c r="G72" s="21"/>
      <c r="H72" s="21"/>
      <c r="I72" s="21"/>
      <c r="J72" s="21"/>
      <c r="K72" s="21"/>
      <c r="L72" s="21"/>
      <c r="M72" s="21"/>
      <c r="N72" s="21"/>
      <c r="O72" s="20"/>
    </row>
    <row r="73" spans="1:15" x14ac:dyDescent="0.3">
      <c r="A73" s="18"/>
      <c r="B73" s="21"/>
      <c r="C73" s="21"/>
      <c r="D73" s="21"/>
      <c r="E73" s="21"/>
      <c r="F73" s="21"/>
      <c r="G73" s="21"/>
      <c r="H73" s="21"/>
      <c r="I73" s="21"/>
      <c r="J73" s="21"/>
      <c r="K73" s="21"/>
      <c r="L73" s="21"/>
      <c r="M73" s="21"/>
      <c r="N73" s="21"/>
      <c r="O73" s="20"/>
    </row>
    <row r="74" spans="1:15" x14ac:dyDescent="0.3">
      <c r="A74" s="18"/>
      <c r="B74" s="21"/>
      <c r="C74" s="21"/>
      <c r="D74" s="21"/>
      <c r="E74" s="21"/>
      <c r="F74" s="21"/>
      <c r="G74" s="21"/>
      <c r="H74" s="21"/>
      <c r="I74" s="21"/>
      <c r="J74" s="21"/>
      <c r="K74" s="21"/>
      <c r="L74" s="21"/>
      <c r="M74" s="21"/>
      <c r="N74" s="21"/>
      <c r="O74" s="20"/>
    </row>
    <row r="75" spans="1:15" x14ac:dyDescent="0.3">
      <c r="A75" s="18"/>
      <c r="B75" s="3" t="str">
        <f t="array" ref="B75:K76">_xll.U.VFILTER(_xll.U.EVENT(),"ID",,,G61)</f>
        <v>IsTriggered</v>
      </c>
      <c r="C75" s="3" t="str">
        <v>ID</v>
      </c>
      <c r="D75" s="3" t="str">
        <v>IsSet</v>
      </c>
      <c r="E75" s="3" t="str">
        <v>Type</v>
      </c>
      <c r="F75" s="3" t="str">
        <v>LastTriggerTime</v>
      </c>
      <c r="G75" s="3" t="str">
        <v>LastRevertTime</v>
      </c>
      <c r="H75" s="3" t="str">
        <v>LastCheckTime</v>
      </c>
      <c r="I75" s="3" t="str">
        <v>TimesTriggered</v>
      </c>
      <c r="J75" s="3" t="str">
        <v>CreatedTime</v>
      </c>
      <c r="K75" s="3" t="str">
        <v>LastResetTime</v>
      </c>
      <c r="L75" s="21"/>
      <c r="M75" s="21"/>
      <c r="N75" s="21"/>
      <c r="O75" s="20"/>
    </row>
    <row r="76" spans="1:15" x14ac:dyDescent="0.3">
      <c r="A76" s="18"/>
      <c r="B76" s="30" t="b">
        <v>0</v>
      </c>
      <c r="C76" s="30" t="str">
        <v>QLAS</v>
      </c>
      <c r="D76" s="30" t="b">
        <v>1</v>
      </c>
      <c r="E76" s="30" t="str">
        <v>Number</v>
      </c>
      <c r="F76" s="94" t="str">
        <v/>
      </c>
      <c r="G76" s="94" t="str">
        <v/>
      </c>
      <c r="H76" s="94">
        <v>46145.893249131943</v>
      </c>
      <c r="I76" s="36">
        <v>0</v>
      </c>
      <c r="J76" s="94">
        <v>46145.893249050925</v>
      </c>
      <c r="K76" s="94" t="str">
        <v/>
      </c>
      <c r="L76" s="21"/>
      <c r="M76" s="21"/>
      <c r="N76" s="21"/>
      <c r="O76" s="20"/>
    </row>
    <row r="77" spans="1:15" x14ac:dyDescent="0.3">
      <c r="A77" s="18"/>
      <c r="B77" s="21"/>
      <c r="C77" s="21"/>
      <c r="D77" s="21"/>
      <c r="E77" s="21"/>
      <c r="F77" s="21"/>
      <c r="G77" s="21"/>
      <c r="H77" s="21"/>
      <c r="I77" s="21"/>
      <c r="J77" s="21"/>
      <c r="K77" s="21"/>
      <c r="L77" s="21"/>
      <c r="M77" s="21"/>
      <c r="N77" s="21"/>
      <c r="O77" s="20"/>
    </row>
    <row r="78" spans="1:15" ht="15" thickBot="1" x14ac:dyDescent="0.35">
      <c r="A78" s="22"/>
      <c r="B78" s="23"/>
      <c r="C78" s="23"/>
      <c r="D78" s="23"/>
      <c r="E78" s="23"/>
      <c r="F78" s="23"/>
      <c r="G78" s="23"/>
      <c r="H78" s="23"/>
      <c r="I78" s="23"/>
      <c r="J78" s="23"/>
      <c r="K78" s="23"/>
      <c r="L78" s="23"/>
      <c r="M78" s="23"/>
      <c r="N78" s="23"/>
      <c r="O78" s="24"/>
    </row>
  </sheetData>
  <mergeCells count="42">
    <mergeCell ref="F59:G59"/>
    <mergeCell ref="C47:H47"/>
    <mergeCell ref="Q23:R25"/>
    <mergeCell ref="S23:Y25"/>
    <mergeCell ref="Z23:Z25"/>
    <mergeCell ref="Q29:R31"/>
    <mergeCell ref="S29:Y31"/>
    <mergeCell ref="Z29:Z31"/>
    <mergeCell ref="C42:H42"/>
    <mergeCell ref="C43:H43"/>
    <mergeCell ref="C44:H44"/>
    <mergeCell ref="C45:H45"/>
    <mergeCell ref="C46:H46"/>
    <mergeCell ref="C36:H36"/>
    <mergeCell ref="C39:H39"/>
    <mergeCell ref="C37:H37"/>
    <mergeCell ref="C38:H38"/>
    <mergeCell ref="Z17:Z19"/>
    <mergeCell ref="Q20:R22"/>
    <mergeCell ref="S20:Y22"/>
    <mergeCell ref="Q3:Z3"/>
    <mergeCell ref="Q4:R6"/>
    <mergeCell ref="S4:Z6"/>
    <mergeCell ref="Q7:R7"/>
    <mergeCell ref="S7:Y7"/>
    <mergeCell ref="Z20:Z22"/>
    <mergeCell ref="Q26:R28"/>
    <mergeCell ref="S26:Y28"/>
    <mergeCell ref="Z26:Z28"/>
    <mergeCell ref="H4:I4"/>
    <mergeCell ref="H22:I22"/>
    <mergeCell ref="Q11:R13"/>
    <mergeCell ref="Q17:R19"/>
    <mergeCell ref="S17:Y19"/>
    <mergeCell ref="Q8:R10"/>
    <mergeCell ref="S8:Y10"/>
    <mergeCell ref="Z8:Z10"/>
    <mergeCell ref="S11:Y13"/>
    <mergeCell ref="Z11:Z13"/>
    <mergeCell ref="Q14:R16"/>
    <mergeCell ref="S14:Y16"/>
    <mergeCell ref="Z14:Z16"/>
  </mergeCells>
  <pageMargins left="0.7" right="0.7" top="0.75" bottom="0.75" header="0.3" footer="0.3"/>
  <pageSetup orientation="portrait" r:id="rId1"/>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0"/>
  <dimension ref="A1:V66"/>
  <sheetViews>
    <sheetView workbookViewId="0">
      <pane ySplit="1" topLeftCell="A2" activePane="bottomLeft" state="frozen"/>
      <selection activeCell="C33" sqref="C33"/>
      <selection pane="bottomLeft"/>
    </sheetView>
  </sheetViews>
  <sheetFormatPr defaultColWidth="9.21875" defaultRowHeight="14.4" x14ac:dyDescent="0.3"/>
  <cols>
    <col min="2" max="2" width="28.21875" customWidth="1"/>
    <col min="3" max="3" width="18.77734375" customWidth="1"/>
    <col min="5" max="5" width="11.77734375" customWidth="1"/>
    <col min="6" max="6" width="16.5546875" bestFit="1" customWidth="1"/>
    <col min="7" max="7" width="12.21875" customWidth="1"/>
    <col min="15" max="21" width="14.21875" customWidth="1"/>
  </cols>
  <sheetData>
    <row r="1" spans="1:22" ht="34.5" customHeight="1" thickBot="1" x14ac:dyDescent="0.35">
      <c r="A1" s="292" t="s">
        <v>1580</v>
      </c>
      <c r="B1" s="473" t="e" vm="1">
        <v>#VALUE!</v>
      </c>
      <c r="C1" s="8" t="s">
        <v>1738</v>
      </c>
      <c r="D1" s="27"/>
      <c r="E1" s="16"/>
      <c r="F1" s="16"/>
      <c r="G1" s="16"/>
      <c r="H1" s="16"/>
      <c r="I1" s="16"/>
      <c r="J1" s="16"/>
      <c r="K1" s="19"/>
    </row>
    <row r="2" spans="1:22" ht="15" customHeight="1" x14ac:dyDescent="0.3">
      <c r="A2" s="18"/>
      <c r="B2" s="25"/>
      <c r="C2" s="25"/>
      <c r="D2" s="21"/>
      <c r="E2" s="21"/>
      <c r="F2" s="21"/>
      <c r="G2" s="21"/>
      <c r="H2" s="21"/>
      <c r="I2" s="21"/>
      <c r="J2" s="21"/>
      <c r="K2" s="20"/>
    </row>
    <row r="3" spans="1:22" ht="15" customHeight="1" x14ac:dyDescent="0.3">
      <c r="A3" s="18"/>
      <c r="B3" s="21"/>
      <c r="C3" s="21"/>
      <c r="D3" s="21"/>
      <c r="E3" s="21"/>
      <c r="F3" s="21"/>
      <c r="G3" s="21"/>
      <c r="H3" s="21"/>
      <c r="I3" s="21"/>
      <c r="J3" s="21"/>
      <c r="K3" s="20"/>
      <c r="M3" s="486" t="s">
        <v>3469</v>
      </c>
      <c r="N3" s="486"/>
      <c r="O3" s="486"/>
      <c r="P3" s="486"/>
      <c r="Q3" s="486"/>
      <c r="R3" s="486"/>
      <c r="S3" s="486"/>
      <c r="T3" s="486"/>
      <c r="U3" s="486"/>
      <c r="V3" s="486"/>
    </row>
    <row r="4" spans="1:22" ht="15" customHeight="1" x14ac:dyDescent="0.3">
      <c r="A4" s="18"/>
      <c r="B4" s="21"/>
      <c r="C4" s="21"/>
      <c r="D4" s="26"/>
      <c r="E4" s="21"/>
      <c r="F4" s="21"/>
      <c r="G4" s="21"/>
      <c r="H4" s="21"/>
      <c r="I4" s="21"/>
      <c r="J4" s="21"/>
      <c r="K4" s="20"/>
      <c r="M4" s="487" t="s">
        <v>333</v>
      </c>
      <c r="N4" s="487"/>
      <c r="O4" s="487" t="s">
        <v>1746</v>
      </c>
      <c r="P4" s="487"/>
      <c r="Q4" s="487"/>
      <c r="R4" s="487"/>
      <c r="S4" s="487"/>
      <c r="T4" s="487"/>
      <c r="U4" s="487"/>
      <c r="V4" s="487"/>
    </row>
    <row r="5" spans="1:22" ht="15" customHeight="1" x14ac:dyDescent="0.3">
      <c r="A5" s="18"/>
      <c r="B5" s="21"/>
      <c r="C5" s="21"/>
      <c r="D5" s="26"/>
      <c r="E5" s="21"/>
      <c r="F5" s="101" t="s">
        <v>3470</v>
      </c>
      <c r="G5" s="21"/>
      <c r="H5" s="21"/>
      <c r="I5" s="21"/>
      <c r="J5" s="21"/>
      <c r="K5" s="20"/>
      <c r="M5" s="487"/>
      <c r="N5" s="487"/>
      <c r="O5" s="487"/>
      <c r="P5" s="487"/>
      <c r="Q5" s="487"/>
      <c r="R5" s="487"/>
      <c r="S5" s="487"/>
      <c r="T5" s="487"/>
      <c r="U5" s="487"/>
      <c r="V5" s="487"/>
    </row>
    <row r="6" spans="1:22" x14ac:dyDescent="0.3">
      <c r="A6" s="18"/>
      <c r="B6" s="21"/>
      <c r="C6" s="21"/>
      <c r="D6" s="21"/>
      <c r="E6" s="21"/>
      <c r="F6" s="305" cm="1">
        <f t="array" ref="F6">_xll.U.RAND()</f>
        <v>0.54408039131391817</v>
      </c>
      <c r="G6" s="21"/>
      <c r="H6" s="21"/>
      <c r="I6" s="21"/>
      <c r="J6" s="21"/>
      <c r="K6" s="20"/>
      <c r="M6" s="487"/>
      <c r="N6" s="487"/>
      <c r="O6" s="487"/>
      <c r="P6" s="487"/>
      <c r="Q6" s="487"/>
      <c r="R6" s="487"/>
      <c r="S6" s="487"/>
      <c r="T6" s="487"/>
      <c r="U6" s="487"/>
      <c r="V6" s="487"/>
    </row>
    <row r="7" spans="1:22" x14ac:dyDescent="0.3">
      <c r="A7" s="18"/>
      <c r="B7" s="21"/>
      <c r="C7" s="21"/>
      <c r="D7" s="21"/>
      <c r="E7" s="21"/>
      <c r="F7" s="21"/>
      <c r="G7" s="21"/>
      <c r="H7" s="21"/>
      <c r="I7" s="21"/>
      <c r="J7" s="21"/>
      <c r="K7" s="20"/>
      <c r="M7" s="483" t="s">
        <v>323</v>
      </c>
      <c r="N7" s="483"/>
      <c r="O7" s="483" t="s">
        <v>1</v>
      </c>
      <c r="P7" s="483"/>
      <c r="Q7" s="483"/>
      <c r="R7" s="483"/>
      <c r="S7" s="483"/>
      <c r="T7" s="483"/>
      <c r="U7" s="483"/>
      <c r="V7" s="85" t="s">
        <v>324</v>
      </c>
    </row>
    <row r="8" spans="1:22" x14ac:dyDescent="0.3">
      <c r="A8" s="18"/>
      <c r="B8" s="21"/>
      <c r="C8" s="21"/>
      <c r="D8" s="21"/>
      <c r="E8" s="21"/>
      <c r="F8" s="21"/>
      <c r="G8" s="21"/>
      <c r="H8" s="21"/>
      <c r="I8" s="21"/>
      <c r="J8" s="21"/>
      <c r="K8" s="20"/>
      <c r="M8" s="484" t="s">
        <v>1734</v>
      </c>
      <c r="N8" s="484"/>
      <c r="O8" s="484" t="s">
        <v>1736</v>
      </c>
      <c r="P8" s="484"/>
      <c r="Q8" s="484"/>
      <c r="R8" s="484"/>
      <c r="S8" s="484"/>
      <c r="T8" s="484"/>
      <c r="U8" s="484"/>
      <c r="V8" s="485" t="s">
        <v>326</v>
      </c>
    </row>
    <row r="9" spans="1:22" x14ac:dyDescent="0.3">
      <c r="A9" s="18"/>
      <c r="B9" s="21"/>
      <c r="C9" s="21"/>
      <c r="D9" s="21"/>
      <c r="E9" s="21"/>
      <c r="F9" s="21"/>
      <c r="G9" s="21"/>
      <c r="H9" s="21"/>
      <c r="I9" s="21"/>
      <c r="J9" s="21"/>
      <c r="K9" s="20"/>
      <c r="M9" s="484"/>
      <c r="N9" s="484"/>
      <c r="O9" s="484"/>
      <c r="P9" s="484"/>
      <c r="Q9" s="484"/>
      <c r="R9" s="484"/>
      <c r="S9" s="484"/>
      <c r="T9" s="484"/>
      <c r="U9" s="484"/>
      <c r="V9" s="485"/>
    </row>
    <row r="10" spans="1:22" x14ac:dyDescent="0.3">
      <c r="A10" s="18"/>
      <c r="B10" s="21"/>
      <c r="C10" s="21"/>
      <c r="D10" s="21"/>
      <c r="E10" s="21"/>
      <c r="F10" s="21"/>
      <c r="G10" s="21"/>
      <c r="H10" s="21"/>
      <c r="I10" s="21"/>
      <c r="J10" s="21"/>
      <c r="K10" s="20"/>
      <c r="M10" s="484"/>
      <c r="N10" s="484"/>
      <c r="O10" s="484"/>
      <c r="P10" s="484"/>
      <c r="Q10" s="484"/>
      <c r="R10" s="484"/>
      <c r="S10" s="484"/>
      <c r="T10" s="484"/>
      <c r="U10" s="484"/>
      <c r="V10" s="485"/>
    </row>
    <row r="11" spans="1:22" ht="15" customHeight="1" x14ac:dyDescent="0.3">
      <c r="A11" s="18"/>
      <c r="B11" s="21"/>
      <c r="C11" s="21"/>
      <c r="D11" s="21"/>
      <c r="E11" s="21"/>
      <c r="F11" s="21"/>
      <c r="G11" s="21"/>
      <c r="H11" s="21"/>
      <c r="I11" s="21"/>
      <c r="J11" s="21"/>
      <c r="K11" s="20"/>
      <c r="M11" s="484" t="s">
        <v>1735</v>
      </c>
      <c r="N11" s="484"/>
      <c r="O11" s="484" t="s">
        <v>1737</v>
      </c>
      <c r="P11" s="484"/>
      <c r="Q11" s="484"/>
      <c r="R11" s="484"/>
      <c r="S11" s="484"/>
      <c r="T11" s="484"/>
      <c r="U11" s="484"/>
      <c r="V11" s="485" t="s">
        <v>326</v>
      </c>
    </row>
    <row r="12" spans="1:22" x14ac:dyDescent="0.3">
      <c r="A12" s="18"/>
      <c r="B12" s="58" t="s">
        <v>1739</v>
      </c>
      <c r="C12" s="61">
        <v>-3.5</v>
      </c>
      <c r="D12" s="21"/>
      <c r="E12" s="21"/>
      <c r="F12" s="101" t="s">
        <v>3470</v>
      </c>
      <c r="G12" s="21"/>
      <c r="H12" s="21"/>
      <c r="I12" s="21"/>
      <c r="J12" s="21"/>
      <c r="K12" s="20"/>
      <c r="M12" s="484"/>
      <c r="N12" s="484"/>
      <c r="O12" s="484"/>
      <c r="P12" s="484"/>
      <c r="Q12" s="484"/>
      <c r="R12" s="484"/>
      <c r="S12" s="484"/>
      <c r="T12" s="484"/>
      <c r="U12" s="484"/>
      <c r="V12" s="485"/>
    </row>
    <row r="13" spans="1:22" x14ac:dyDescent="0.3">
      <c r="A13" s="18"/>
      <c r="B13" s="58" t="s">
        <v>1740</v>
      </c>
      <c r="C13" s="61">
        <v>7.4</v>
      </c>
      <c r="D13" s="21"/>
      <c r="E13" s="21"/>
      <c r="F13" s="305" cm="1">
        <f t="array" ref="F13">_xll.U.RAND(C12,C13)</f>
        <v>5.5451709330292278</v>
      </c>
      <c r="G13" s="21"/>
      <c r="H13" s="21"/>
      <c r="I13" s="21"/>
      <c r="J13" s="21"/>
      <c r="K13" s="20"/>
      <c r="M13" s="484"/>
      <c r="N13" s="484"/>
      <c r="O13" s="484"/>
      <c r="P13" s="484"/>
      <c r="Q13" s="484"/>
      <c r="R13" s="484"/>
      <c r="S13" s="484"/>
      <c r="T13" s="484"/>
      <c r="U13" s="484"/>
      <c r="V13" s="485"/>
    </row>
    <row r="14" spans="1:22" x14ac:dyDescent="0.3">
      <c r="A14" s="18"/>
      <c r="B14" s="21"/>
      <c r="C14" s="21"/>
      <c r="D14" s="21"/>
      <c r="E14" s="21"/>
      <c r="F14" s="21"/>
      <c r="G14" s="21"/>
      <c r="H14" s="21"/>
      <c r="I14" s="21"/>
      <c r="J14" s="21"/>
      <c r="K14" s="20"/>
      <c r="M14" s="484" t="s">
        <v>1745</v>
      </c>
      <c r="N14" s="484"/>
      <c r="O14" s="484" t="s">
        <v>1747</v>
      </c>
      <c r="P14" s="484"/>
      <c r="Q14" s="484"/>
      <c r="R14" s="484"/>
      <c r="S14" s="484"/>
      <c r="T14" s="484"/>
      <c r="U14" s="484"/>
      <c r="V14" s="485" t="s">
        <v>326</v>
      </c>
    </row>
    <row r="15" spans="1:22" x14ac:dyDescent="0.3">
      <c r="A15" s="18"/>
      <c r="B15" s="21"/>
      <c r="C15" s="21"/>
      <c r="D15" s="21"/>
      <c r="E15" s="21"/>
      <c r="F15" s="21"/>
      <c r="G15" s="21"/>
      <c r="H15" s="21"/>
      <c r="I15" s="21"/>
      <c r="J15" s="21"/>
      <c r="K15" s="20"/>
      <c r="M15" s="484"/>
      <c r="N15" s="484"/>
      <c r="O15" s="484"/>
      <c r="P15" s="484"/>
      <c r="Q15" s="484"/>
      <c r="R15" s="484"/>
      <c r="S15" s="484"/>
      <c r="T15" s="484"/>
      <c r="U15" s="484"/>
      <c r="V15" s="485"/>
    </row>
    <row r="16" spans="1:22" x14ac:dyDescent="0.3">
      <c r="A16" s="18"/>
      <c r="B16" s="21"/>
      <c r="C16" s="21"/>
      <c r="D16" s="21"/>
      <c r="E16" s="21"/>
      <c r="F16" s="21"/>
      <c r="G16" s="21"/>
      <c r="H16" s="21"/>
      <c r="I16" s="21"/>
      <c r="J16" s="21"/>
      <c r="K16" s="20"/>
      <c r="M16" s="484"/>
      <c r="N16" s="484"/>
      <c r="O16" s="484"/>
      <c r="P16" s="484"/>
      <c r="Q16" s="484"/>
      <c r="R16" s="484"/>
      <c r="S16" s="484"/>
      <c r="T16" s="484"/>
      <c r="U16" s="484"/>
      <c r="V16" s="485"/>
    </row>
    <row r="17" spans="1:13" x14ac:dyDescent="0.3">
      <c r="A17" s="18"/>
      <c r="B17" s="21"/>
      <c r="C17" s="21"/>
      <c r="D17" s="21"/>
      <c r="E17" s="21"/>
      <c r="F17" s="21"/>
      <c r="G17" s="21"/>
      <c r="H17" s="21"/>
      <c r="I17" s="21"/>
      <c r="J17" s="21"/>
      <c r="K17" s="20"/>
      <c r="M17" s="126" t="s">
        <v>328</v>
      </c>
    </row>
    <row r="18" spans="1:13" x14ac:dyDescent="0.3">
      <c r="A18" s="18"/>
      <c r="B18" s="21"/>
      <c r="C18" s="21"/>
      <c r="D18" s="21"/>
      <c r="E18" s="21"/>
      <c r="F18" s="21"/>
      <c r="G18" s="21"/>
      <c r="H18" s="21"/>
      <c r="I18" s="21"/>
      <c r="J18" s="21"/>
      <c r="K18" s="20"/>
    </row>
    <row r="19" spans="1:13" x14ac:dyDescent="0.3">
      <c r="A19" s="18"/>
      <c r="B19" s="58" t="s">
        <v>1739</v>
      </c>
      <c r="C19" s="61">
        <v>10</v>
      </c>
      <c r="D19" s="21"/>
      <c r="E19" s="21"/>
      <c r="F19" s="101" t="s">
        <v>3470</v>
      </c>
      <c r="G19" s="21"/>
      <c r="H19" s="21"/>
      <c r="I19" s="21"/>
      <c r="J19" s="21"/>
      <c r="K19" s="20"/>
    </row>
    <row r="20" spans="1:13" x14ac:dyDescent="0.3">
      <c r="A20" s="18"/>
      <c r="B20" s="58" t="s">
        <v>1740</v>
      </c>
      <c r="C20" s="61">
        <v>100</v>
      </c>
      <c r="D20" s="21"/>
      <c r="E20" s="21"/>
      <c r="F20" s="305" cm="1">
        <f t="array" ref="F20">_xll.U.RAND(C19,C20)</f>
        <v>47</v>
      </c>
      <c r="G20" s="21"/>
      <c r="H20" s="21"/>
      <c r="I20" s="21"/>
      <c r="J20" s="21"/>
      <c r="K20" s="20"/>
    </row>
    <row r="21" spans="1:13" x14ac:dyDescent="0.3">
      <c r="A21" s="18"/>
      <c r="B21" s="21"/>
      <c r="C21" s="21"/>
      <c r="D21" s="21"/>
      <c r="E21" s="21"/>
      <c r="F21" s="21"/>
      <c r="G21" s="21"/>
      <c r="H21" s="21"/>
      <c r="I21" s="21"/>
      <c r="J21" s="21"/>
      <c r="K21" s="20"/>
    </row>
    <row r="22" spans="1:13" x14ac:dyDescent="0.3">
      <c r="A22" s="18"/>
      <c r="B22" s="21"/>
      <c r="C22" s="21"/>
      <c r="D22" s="21"/>
      <c r="E22" s="21"/>
      <c r="F22" s="21"/>
      <c r="G22" s="21"/>
      <c r="H22" s="21"/>
      <c r="I22" s="21"/>
      <c r="J22" s="21"/>
      <c r="K22" s="20"/>
    </row>
    <row r="23" spans="1:13" x14ac:dyDescent="0.3">
      <c r="A23" s="18"/>
      <c r="B23" s="21"/>
      <c r="C23" s="21"/>
      <c r="D23" s="21"/>
      <c r="E23" s="21"/>
      <c r="F23" s="21"/>
      <c r="G23" s="21"/>
      <c r="H23" s="21"/>
      <c r="I23" s="21"/>
      <c r="J23" s="21"/>
      <c r="K23" s="20"/>
    </row>
    <row r="24" spans="1:13" x14ac:dyDescent="0.3">
      <c r="A24" s="18"/>
      <c r="B24" s="21"/>
      <c r="C24" s="21"/>
      <c r="D24" s="21"/>
      <c r="E24" s="21"/>
      <c r="F24" s="21"/>
      <c r="G24" s="21"/>
      <c r="H24" s="21"/>
      <c r="I24" s="21"/>
      <c r="J24" s="21"/>
      <c r="K24" s="20"/>
    </row>
    <row r="25" spans="1:13" x14ac:dyDescent="0.3">
      <c r="A25" s="18"/>
      <c r="B25" s="21"/>
      <c r="C25" s="21"/>
      <c r="D25" s="21"/>
      <c r="E25" s="21"/>
      <c r="F25" s="21"/>
      <c r="G25" s="21"/>
      <c r="H25" s="21"/>
      <c r="I25" s="21"/>
      <c r="J25" s="21"/>
      <c r="K25" s="20"/>
    </row>
    <row r="26" spans="1:13" x14ac:dyDescent="0.3">
      <c r="A26" s="18"/>
      <c r="B26" s="58" t="s">
        <v>1739</v>
      </c>
      <c r="C26" s="61">
        <v>1</v>
      </c>
      <c r="D26" s="21"/>
      <c r="E26" s="21"/>
      <c r="F26" s="101" t="s">
        <v>3470</v>
      </c>
      <c r="G26" s="21"/>
      <c r="H26" s="21"/>
      <c r="I26" s="21"/>
      <c r="J26" s="21"/>
      <c r="K26" s="20"/>
    </row>
    <row r="27" spans="1:13" x14ac:dyDescent="0.3">
      <c r="A27" s="18"/>
      <c r="B27" s="58" t="s">
        <v>1740</v>
      </c>
      <c r="C27" s="61"/>
      <c r="D27" s="21"/>
      <c r="E27" s="21"/>
      <c r="F27" s="306" cm="1">
        <f t="array" ref="F27">_xll.U.RAND(C26,C27)</f>
        <v>1.7915966602343596E+308</v>
      </c>
      <c r="G27" s="21"/>
      <c r="H27" s="21"/>
      <c r="I27" s="21"/>
      <c r="J27" s="21"/>
      <c r="K27" s="20"/>
    </row>
    <row r="28" spans="1:13" x14ac:dyDescent="0.3">
      <c r="A28" s="18"/>
      <c r="B28" s="21"/>
      <c r="C28" s="21"/>
      <c r="D28" s="21"/>
      <c r="E28" s="21"/>
      <c r="F28" s="21"/>
      <c r="G28" s="21"/>
      <c r="H28" s="21"/>
      <c r="I28" s="21"/>
      <c r="J28" s="21"/>
      <c r="K28" s="20"/>
    </row>
    <row r="29" spans="1:13" x14ac:dyDescent="0.3">
      <c r="A29" s="18"/>
      <c r="B29" s="21"/>
      <c r="C29" s="21"/>
      <c r="D29" s="21"/>
      <c r="E29" s="21"/>
      <c r="F29" s="21"/>
      <c r="G29" s="21"/>
      <c r="H29" s="21"/>
      <c r="I29" s="21"/>
      <c r="J29" s="21"/>
      <c r="K29" s="20"/>
    </row>
    <row r="30" spans="1:13" x14ac:dyDescent="0.3">
      <c r="A30" s="18"/>
      <c r="B30" s="21"/>
      <c r="C30" s="21"/>
      <c r="D30" s="21"/>
      <c r="E30" s="21"/>
      <c r="F30" s="21"/>
      <c r="G30" s="21"/>
      <c r="H30" s="21"/>
      <c r="I30" s="21"/>
      <c r="J30" s="21"/>
      <c r="K30" s="20"/>
    </row>
    <row r="31" spans="1:13" x14ac:dyDescent="0.3">
      <c r="A31" s="18"/>
      <c r="B31" s="21"/>
      <c r="C31" s="21"/>
      <c r="D31" s="21"/>
      <c r="E31" s="21"/>
      <c r="F31" s="21"/>
      <c r="G31" s="21"/>
      <c r="H31" s="21"/>
      <c r="I31" s="21"/>
      <c r="J31" s="21"/>
      <c r="K31" s="20"/>
    </row>
    <row r="32" spans="1:13" x14ac:dyDescent="0.3">
      <c r="A32" s="18"/>
      <c r="B32" s="21"/>
      <c r="C32" s="21"/>
      <c r="D32" s="21"/>
      <c r="E32" s="21"/>
      <c r="F32" s="21"/>
      <c r="G32" s="21"/>
      <c r="H32" s="21"/>
      <c r="I32" s="21"/>
      <c r="J32" s="21"/>
      <c r="K32" s="20"/>
    </row>
    <row r="33" spans="1:11" x14ac:dyDescent="0.3">
      <c r="A33" s="18"/>
      <c r="B33" s="21"/>
      <c r="C33" s="21"/>
      <c r="D33" s="21"/>
      <c r="E33" s="21"/>
      <c r="F33" s="21"/>
      <c r="G33" s="21"/>
      <c r="H33" s="21"/>
      <c r="I33" s="21"/>
      <c r="J33" s="21"/>
      <c r="K33" s="20"/>
    </row>
    <row r="34" spans="1:11" x14ac:dyDescent="0.3">
      <c r="A34" s="18"/>
      <c r="B34" s="21"/>
      <c r="C34" s="21"/>
      <c r="D34" s="21"/>
      <c r="E34" s="21"/>
      <c r="F34" s="492" t="s">
        <v>3470</v>
      </c>
      <c r="G34" s="493"/>
      <c r="H34" s="21"/>
      <c r="I34" s="21"/>
      <c r="J34" s="21"/>
      <c r="K34" s="20"/>
    </row>
    <row r="35" spans="1:11" x14ac:dyDescent="0.3">
      <c r="A35" s="18"/>
      <c r="B35" s="21"/>
      <c r="C35" s="21"/>
      <c r="D35" s="21"/>
      <c r="E35" s="21"/>
      <c r="F35" s="305">
        <f t="array" ref="F35:G40">_xll.U.RAND(,,TRUE)</f>
        <v>0.19635414434427123</v>
      </c>
      <c r="G35" s="305">
        <v>0.80518241357299614</v>
      </c>
      <c r="H35" s="21"/>
      <c r="I35" s="21"/>
      <c r="J35" s="21"/>
      <c r="K35" s="20"/>
    </row>
    <row r="36" spans="1:11" x14ac:dyDescent="0.3">
      <c r="A36" s="18"/>
      <c r="B36" s="21"/>
      <c r="C36" s="21"/>
      <c r="D36" s="21"/>
      <c r="E36" s="21"/>
      <c r="F36" s="305">
        <v>9.2638575980737145E-2</v>
      </c>
      <c r="G36" s="305">
        <v>0.56682361036856832</v>
      </c>
      <c r="H36" s="21"/>
      <c r="I36" s="21"/>
      <c r="J36" s="21"/>
      <c r="K36" s="20"/>
    </row>
    <row r="37" spans="1:11" x14ac:dyDescent="0.3">
      <c r="A37" s="18"/>
      <c r="B37" s="21"/>
      <c r="C37" s="21"/>
      <c r="D37" s="21"/>
      <c r="E37" s="21"/>
      <c r="F37" s="305">
        <v>0.91711347034066615</v>
      </c>
      <c r="G37" s="305">
        <v>0.14136970468860571</v>
      </c>
      <c r="H37" s="21"/>
      <c r="I37" s="21"/>
      <c r="J37" s="21"/>
      <c r="K37" s="20"/>
    </row>
    <row r="38" spans="1:11" x14ac:dyDescent="0.3">
      <c r="A38" s="18"/>
      <c r="B38" s="21"/>
      <c r="C38" s="21"/>
      <c r="D38" s="21"/>
      <c r="E38" s="21"/>
      <c r="F38" s="305">
        <v>0.43112910465855575</v>
      </c>
      <c r="G38" s="305">
        <v>0.22238116256072241</v>
      </c>
      <c r="H38" s="21"/>
      <c r="I38" s="21"/>
      <c r="J38" s="21"/>
      <c r="K38" s="20"/>
    </row>
    <row r="39" spans="1:11" x14ac:dyDescent="0.3">
      <c r="A39" s="18"/>
      <c r="B39" s="21"/>
      <c r="C39" s="21"/>
      <c r="D39" s="21"/>
      <c r="E39" s="21"/>
      <c r="F39" s="305">
        <v>0.92115261122638015</v>
      </c>
      <c r="G39" s="305">
        <v>0.52949007532069925</v>
      </c>
      <c r="H39" s="21"/>
      <c r="I39" s="21"/>
      <c r="J39" s="21"/>
      <c r="K39" s="20"/>
    </row>
    <row r="40" spans="1:11" x14ac:dyDescent="0.3">
      <c r="A40" s="18"/>
      <c r="B40" s="21"/>
      <c r="C40" s="21"/>
      <c r="D40" s="21"/>
      <c r="E40" s="21"/>
      <c r="F40" s="305">
        <v>0.25818547385660257</v>
      </c>
      <c r="G40" s="305">
        <v>6.1948434478579291E-2</v>
      </c>
      <c r="H40" s="21"/>
      <c r="I40" s="21"/>
      <c r="J40" s="21"/>
      <c r="K40" s="20"/>
    </row>
    <row r="41" spans="1:11" x14ac:dyDescent="0.3">
      <c r="A41" s="18"/>
      <c r="B41" s="21"/>
      <c r="C41" s="21"/>
      <c r="D41" s="21"/>
      <c r="E41" s="21"/>
      <c r="F41" s="21"/>
      <c r="G41" s="21"/>
      <c r="H41" s="21"/>
      <c r="I41" s="21"/>
      <c r="J41" s="21"/>
      <c r="K41" s="20"/>
    </row>
    <row r="42" spans="1:11" x14ac:dyDescent="0.3">
      <c r="A42" s="18"/>
      <c r="B42" s="21"/>
      <c r="C42" s="21"/>
      <c r="D42" s="21"/>
      <c r="E42" s="21"/>
      <c r="F42" s="21"/>
      <c r="G42" s="21"/>
      <c r="H42" s="21"/>
      <c r="I42" s="21"/>
      <c r="J42" s="21"/>
      <c r="K42" s="20"/>
    </row>
    <row r="43" spans="1:11" x14ac:dyDescent="0.3">
      <c r="A43" s="18"/>
      <c r="B43" s="21"/>
      <c r="C43" s="21"/>
      <c r="D43" s="21"/>
      <c r="E43" s="21"/>
      <c r="F43" s="21"/>
      <c r="G43" s="21"/>
      <c r="H43" s="21"/>
      <c r="I43" s="21"/>
      <c r="J43" s="21"/>
      <c r="K43" s="20"/>
    </row>
    <row r="44" spans="1:11" x14ac:dyDescent="0.3">
      <c r="A44" s="18"/>
      <c r="B44" s="21"/>
      <c r="C44" s="21"/>
      <c r="D44" s="21"/>
      <c r="E44" s="475" t="s">
        <v>3470</v>
      </c>
      <c r="F44" s="475"/>
      <c r="G44" s="475"/>
      <c r="H44" s="21"/>
      <c r="I44" s="21"/>
      <c r="J44" s="21"/>
      <c r="K44" s="20"/>
    </row>
    <row r="45" spans="1:11" x14ac:dyDescent="0.3">
      <c r="A45" s="18"/>
      <c r="B45" s="21"/>
      <c r="C45" s="21"/>
      <c r="D45" s="21"/>
      <c r="E45" s="305">
        <f t="array" ref="E45:G50">_xll.U.RAND(-100,100,{2,2})</f>
        <v>22</v>
      </c>
      <c r="F45" s="305">
        <v>-21</v>
      </c>
      <c r="G45" s="305" t="e">
        <v>#N/A</v>
      </c>
      <c r="H45" s="21"/>
      <c r="I45" s="21"/>
      <c r="J45" s="21"/>
      <c r="K45" s="20"/>
    </row>
    <row r="46" spans="1:11" x14ac:dyDescent="0.3">
      <c r="A46" s="18"/>
      <c r="B46" s="21"/>
      <c r="C46" s="21"/>
      <c r="D46" s="21"/>
      <c r="E46" s="305">
        <v>22</v>
      </c>
      <c r="F46" s="305">
        <v>88</v>
      </c>
      <c r="G46" s="305" t="e">
        <v>#N/A</v>
      </c>
      <c r="H46" s="21"/>
      <c r="I46" s="21"/>
      <c r="J46" s="21"/>
      <c r="K46" s="20"/>
    </row>
    <row r="47" spans="1:11" x14ac:dyDescent="0.3">
      <c r="A47" s="18"/>
      <c r="B47" s="21"/>
      <c r="C47" s="21"/>
      <c r="D47" s="21"/>
      <c r="E47" s="305" t="e">
        <v>#N/A</v>
      </c>
      <c r="F47" s="305" t="e">
        <v>#N/A</v>
      </c>
      <c r="G47" s="305" t="e">
        <v>#N/A</v>
      </c>
      <c r="H47" s="21"/>
      <c r="I47" s="21"/>
      <c r="J47" s="21"/>
      <c r="K47" s="20"/>
    </row>
    <row r="48" spans="1:11" x14ac:dyDescent="0.3">
      <c r="A48" s="18"/>
      <c r="B48" s="21"/>
      <c r="C48" s="21"/>
      <c r="D48" s="21"/>
      <c r="E48" s="305" t="e">
        <v>#N/A</v>
      </c>
      <c r="F48" s="305" t="e">
        <v>#N/A</v>
      </c>
      <c r="G48" s="305" t="e">
        <v>#N/A</v>
      </c>
      <c r="H48" s="21"/>
      <c r="I48" s="21"/>
      <c r="J48" s="21"/>
      <c r="K48" s="20"/>
    </row>
    <row r="49" spans="1:11" x14ac:dyDescent="0.3">
      <c r="A49" s="18"/>
      <c r="B49" s="21"/>
      <c r="C49" s="21"/>
      <c r="D49" s="21"/>
      <c r="E49" s="305" t="e">
        <v>#N/A</v>
      </c>
      <c r="F49" s="305" t="e">
        <v>#N/A</v>
      </c>
      <c r="G49" s="305" t="e">
        <v>#N/A</v>
      </c>
      <c r="H49" s="21"/>
      <c r="I49" s="21"/>
      <c r="J49" s="21"/>
      <c r="K49" s="20"/>
    </row>
    <row r="50" spans="1:11" x14ac:dyDescent="0.3">
      <c r="A50" s="18"/>
      <c r="B50" s="21"/>
      <c r="C50" s="21"/>
      <c r="D50" s="21"/>
      <c r="E50" s="305" t="e">
        <v>#N/A</v>
      </c>
      <c r="F50" s="305" t="e">
        <v>#N/A</v>
      </c>
      <c r="G50" s="305" t="e">
        <v>#N/A</v>
      </c>
      <c r="H50" s="21"/>
      <c r="I50" s="21"/>
      <c r="J50" s="21"/>
      <c r="K50" s="20"/>
    </row>
    <row r="51" spans="1:11" x14ac:dyDescent="0.3">
      <c r="A51" s="18"/>
      <c r="B51" s="21"/>
      <c r="C51" s="21"/>
      <c r="D51" s="21"/>
      <c r="E51" s="21"/>
      <c r="F51" s="21"/>
      <c r="G51" s="21"/>
      <c r="H51" s="21"/>
      <c r="I51" s="21"/>
      <c r="J51" s="21"/>
      <c r="K51" s="20"/>
    </row>
    <row r="52" spans="1:11" x14ac:dyDescent="0.3">
      <c r="A52" s="18"/>
      <c r="B52" s="21"/>
      <c r="C52" s="21"/>
      <c r="D52" s="21"/>
      <c r="E52" s="21"/>
      <c r="F52" s="21"/>
      <c r="G52" s="21"/>
      <c r="H52" s="21"/>
      <c r="I52" s="21"/>
      <c r="J52" s="21"/>
      <c r="K52" s="20"/>
    </row>
    <row r="53" spans="1:11" x14ac:dyDescent="0.3">
      <c r="A53" s="18"/>
      <c r="B53" s="21"/>
      <c r="C53" s="21"/>
      <c r="D53" s="21"/>
      <c r="E53" s="21"/>
      <c r="F53" s="21"/>
      <c r="G53" s="21"/>
      <c r="H53" s="21"/>
      <c r="I53" s="21"/>
      <c r="J53" s="21"/>
      <c r="K53" s="20"/>
    </row>
    <row r="54" spans="1:11" x14ac:dyDescent="0.3">
      <c r="A54" s="18"/>
      <c r="B54" s="492" t="s">
        <v>841</v>
      </c>
      <c r="C54" s="493"/>
      <c r="D54" s="21"/>
      <c r="E54" s="577" t="s">
        <v>3470</v>
      </c>
      <c r="F54" s="577"/>
      <c r="G54" s="577"/>
      <c r="H54" s="21"/>
      <c r="I54" s="21"/>
      <c r="J54" s="21"/>
      <c r="K54" s="20"/>
    </row>
    <row r="55" spans="1:11" x14ac:dyDescent="0.3">
      <c r="A55" s="18"/>
      <c r="B55" s="305"/>
      <c r="C55" s="305"/>
      <c r="D55" s="21"/>
      <c r="E55" s="305">
        <f t="array" ref="E55:G62">_xll.U.RAND(,,B55:C60)</f>
        <v>0.76680932462532503</v>
      </c>
      <c r="F55" s="305">
        <v>0.74677821562941105</v>
      </c>
      <c r="G55" s="305" t="e">
        <v>#N/A</v>
      </c>
      <c r="H55" s="21"/>
      <c r="I55" s="21"/>
      <c r="J55" s="21"/>
      <c r="K55" s="20"/>
    </row>
    <row r="56" spans="1:11" x14ac:dyDescent="0.3">
      <c r="A56" s="18"/>
      <c r="B56" s="305"/>
      <c r="C56" s="305"/>
      <c r="D56" s="21"/>
      <c r="E56" s="305">
        <v>0.44153360856768376</v>
      </c>
      <c r="F56" s="305">
        <v>0.50588288367999856</v>
      </c>
      <c r="G56" s="305" t="e">
        <v>#N/A</v>
      </c>
      <c r="H56" s="21"/>
      <c r="I56" s="21"/>
      <c r="J56" s="21"/>
      <c r="K56" s="20"/>
    </row>
    <row r="57" spans="1:11" x14ac:dyDescent="0.3">
      <c r="A57" s="18"/>
      <c r="B57" s="305"/>
      <c r="C57" s="305"/>
      <c r="D57" s="21"/>
      <c r="E57" s="305">
        <v>0.87247315881423337</v>
      </c>
      <c r="F57" s="305">
        <v>0.1772186230762017</v>
      </c>
      <c r="G57" s="305" t="e">
        <v>#N/A</v>
      </c>
      <c r="H57" s="21"/>
      <c r="I57" s="21"/>
      <c r="J57" s="21"/>
      <c r="K57" s="20"/>
    </row>
    <row r="58" spans="1:11" x14ac:dyDescent="0.3">
      <c r="A58" s="18"/>
      <c r="B58" s="305"/>
      <c r="C58" s="305"/>
      <c r="D58" s="21"/>
      <c r="E58" s="305">
        <v>0.94198642156179357</v>
      </c>
      <c r="F58" s="305">
        <v>0.35722888091450039</v>
      </c>
      <c r="G58" s="305" t="e">
        <v>#N/A</v>
      </c>
      <c r="H58" s="21"/>
      <c r="I58" s="21"/>
      <c r="J58" s="21"/>
      <c r="K58" s="20"/>
    </row>
    <row r="59" spans="1:11" x14ac:dyDescent="0.3">
      <c r="A59" s="18"/>
      <c r="B59" s="305"/>
      <c r="C59" s="305"/>
      <c r="D59" s="21"/>
      <c r="E59" s="305">
        <v>1.038951334096003E-3</v>
      </c>
      <c r="F59" s="305">
        <v>0.36260383220510733</v>
      </c>
      <c r="G59" s="305" t="e">
        <v>#N/A</v>
      </c>
      <c r="H59" s="21"/>
      <c r="I59" s="21"/>
      <c r="J59" s="21"/>
      <c r="K59" s="20"/>
    </row>
    <row r="60" spans="1:11" x14ac:dyDescent="0.3">
      <c r="A60" s="18"/>
      <c r="B60" s="305"/>
      <c r="C60" s="305"/>
      <c r="D60" s="21"/>
      <c r="E60" s="305">
        <v>0.10421679965416752</v>
      </c>
      <c r="F60" s="305">
        <v>0.69654741217221483</v>
      </c>
      <c r="G60" s="305" t="e">
        <v>#N/A</v>
      </c>
      <c r="H60" s="21"/>
      <c r="I60" s="21"/>
      <c r="J60" s="21"/>
      <c r="K60" s="20"/>
    </row>
    <row r="61" spans="1:11" x14ac:dyDescent="0.3">
      <c r="A61" s="18"/>
      <c r="B61" s="21"/>
      <c r="C61" s="21"/>
      <c r="D61" s="21"/>
      <c r="E61" s="305" t="e">
        <v>#N/A</v>
      </c>
      <c r="F61" s="305" t="e">
        <v>#N/A</v>
      </c>
      <c r="G61" s="305" t="e">
        <v>#N/A</v>
      </c>
      <c r="H61" s="21"/>
      <c r="I61" s="21"/>
      <c r="J61" s="21"/>
      <c r="K61" s="20"/>
    </row>
    <row r="62" spans="1:11" x14ac:dyDescent="0.3">
      <c r="A62" s="18"/>
      <c r="B62" s="21"/>
      <c r="C62" s="21"/>
      <c r="D62" s="21"/>
      <c r="E62" s="305" t="e">
        <v>#N/A</v>
      </c>
      <c r="F62" s="305" t="e">
        <v>#N/A</v>
      </c>
      <c r="G62" s="305" t="e">
        <v>#N/A</v>
      </c>
      <c r="H62" s="21"/>
      <c r="I62" s="21"/>
      <c r="J62" s="21"/>
      <c r="K62" s="20"/>
    </row>
    <row r="63" spans="1:11" x14ac:dyDescent="0.3">
      <c r="A63" s="18"/>
      <c r="B63" s="21"/>
      <c r="C63" s="21"/>
      <c r="D63" s="21"/>
      <c r="E63" s="21"/>
      <c r="F63" s="21"/>
      <c r="G63" s="21"/>
      <c r="H63" s="21"/>
      <c r="I63" s="21"/>
      <c r="J63" s="21"/>
      <c r="K63" s="20"/>
    </row>
    <row r="64" spans="1:11" x14ac:dyDescent="0.3">
      <c r="A64" s="18"/>
      <c r="B64" s="21"/>
      <c r="C64" s="21"/>
      <c r="D64" s="21"/>
      <c r="E64" s="21"/>
      <c r="F64" s="21"/>
      <c r="G64" s="21"/>
      <c r="H64" s="21"/>
      <c r="I64" s="21"/>
      <c r="J64" s="21"/>
      <c r="K64" s="20"/>
    </row>
    <row r="65" spans="1:11" x14ac:dyDescent="0.3">
      <c r="A65" s="18"/>
      <c r="B65" s="21"/>
      <c r="C65" s="21"/>
      <c r="D65" s="21"/>
      <c r="E65" s="21"/>
      <c r="F65" s="21"/>
      <c r="G65" s="21"/>
      <c r="H65" s="21"/>
      <c r="I65" s="21"/>
      <c r="J65" s="21"/>
      <c r="K65" s="20"/>
    </row>
    <row r="66" spans="1:11" ht="15" thickBot="1" x14ac:dyDescent="0.35">
      <c r="A66" s="22"/>
      <c r="B66" s="23"/>
      <c r="C66" s="23"/>
      <c r="D66" s="23"/>
      <c r="E66" s="23"/>
      <c r="F66" s="23"/>
      <c r="G66" s="23"/>
      <c r="H66" s="23"/>
      <c r="I66" s="23"/>
      <c r="J66" s="23"/>
      <c r="K66" s="24"/>
    </row>
  </sheetData>
  <mergeCells count="18">
    <mergeCell ref="E44:G44"/>
    <mergeCell ref="B54:C54"/>
    <mergeCell ref="E54:G54"/>
    <mergeCell ref="M14:N16"/>
    <mergeCell ref="O14:U16"/>
    <mergeCell ref="V14:V16"/>
    <mergeCell ref="F34:G34"/>
    <mergeCell ref="M8:N10"/>
    <mergeCell ref="O8:U10"/>
    <mergeCell ref="V8:V10"/>
    <mergeCell ref="M11:N13"/>
    <mergeCell ref="O11:U13"/>
    <mergeCell ref="V11:V13"/>
    <mergeCell ref="M3:V3"/>
    <mergeCell ref="M4:N6"/>
    <mergeCell ref="O4:V6"/>
    <mergeCell ref="M7:N7"/>
    <mergeCell ref="O7:U7"/>
  </mergeCells>
  <pageMargins left="0.7" right="0.7" top="0.75" bottom="0.75" header="0.3" footer="0.3"/>
  <pageSetup orientation="portrait" verticalDpi="0"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1"/>
  <dimension ref="A1:Z218"/>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35.44140625" bestFit="1" customWidth="1"/>
    <col min="4" max="4" width="17.44140625" customWidth="1"/>
    <col min="5" max="5" width="28.44140625" bestFit="1" customWidth="1"/>
    <col min="6" max="10" width="13.21875" customWidth="1"/>
    <col min="11" max="13" width="14.21875" customWidth="1"/>
    <col min="14" max="14" width="15.77734375" customWidth="1"/>
    <col min="15" max="15" width="18.5546875" customWidth="1"/>
    <col min="17" max="18" width="9.77734375" customWidth="1"/>
    <col min="19" max="25" width="13.77734375" customWidth="1"/>
  </cols>
  <sheetData>
    <row r="1" spans="1:26" ht="34.5" customHeight="1" thickBot="1" x14ac:dyDescent="0.35">
      <c r="A1" s="292" t="s">
        <v>1580</v>
      </c>
      <c r="B1" s="473" t="e" vm="1">
        <v>#VALUE!</v>
      </c>
      <c r="C1" s="8" t="s">
        <v>1278</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3471</v>
      </c>
      <c r="R3" s="486"/>
      <c r="S3" s="486"/>
      <c r="T3" s="486"/>
      <c r="U3" s="486"/>
      <c r="V3" s="486"/>
      <c r="W3" s="486"/>
      <c r="X3" s="486"/>
      <c r="Y3" s="486"/>
      <c r="Z3" s="486"/>
    </row>
    <row r="4" spans="1:26" x14ac:dyDescent="0.3">
      <c r="A4" s="18"/>
      <c r="B4" s="85" t="s">
        <v>1165</v>
      </c>
      <c r="C4" s="181" t="s">
        <v>1279</v>
      </c>
      <c r="D4" s="21"/>
      <c r="E4" s="179" t="s">
        <v>3471</v>
      </c>
      <c r="F4" s="21"/>
      <c r="G4" s="21"/>
      <c r="H4" s="21"/>
      <c r="I4" s="21"/>
      <c r="J4" s="21"/>
      <c r="K4" s="159"/>
      <c r="L4" s="21"/>
      <c r="M4" s="21"/>
      <c r="N4" s="21"/>
      <c r="O4" s="20"/>
      <c r="Q4" s="487" t="s">
        <v>333</v>
      </c>
      <c r="R4" s="487"/>
      <c r="S4" s="487" t="s">
        <v>1166</v>
      </c>
      <c r="T4" s="487"/>
      <c r="U4" s="487"/>
      <c r="V4" s="487"/>
      <c r="W4" s="487"/>
      <c r="X4" s="487"/>
      <c r="Y4" s="487"/>
      <c r="Z4" s="487"/>
    </row>
    <row r="5" spans="1:26" x14ac:dyDescent="0.3">
      <c r="A5" s="18"/>
      <c r="B5" s="21"/>
      <c r="C5" s="21"/>
      <c r="D5" s="21"/>
      <c r="E5" s="189" t="s">
        <v>3472</v>
      </c>
      <c r="F5" s="21"/>
      <c r="G5" s="21"/>
      <c r="H5" s="21"/>
      <c r="I5" s="21"/>
      <c r="J5" s="21"/>
      <c r="K5" s="159"/>
      <c r="L5" s="21"/>
      <c r="M5" s="21"/>
      <c r="N5" s="21"/>
      <c r="O5" s="20"/>
      <c r="Q5" s="487"/>
      <c r="R5" s="487"/>
      <c r="S5" s="487"/>
      <c r="T5" s="487"/>
      <c r="U5" s="487"/>
      <c r="V5" s="487"/>
      <c r="W5" s="487"/>
      <c r="X5" s="487"/>
      <c r="Y5" s="487"/>
      <c r="Z5" s="487"/>
    </row>
    <row r="6" spans="1:26" x14ac:dyDescent="0.3">
      <c r="A6" s="18"/>
      <c r="B6" s="492" t="s">
        <v>1164</v>
      </c>
      <c r="C6" s="493"/>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42" t="s">
        <v>77</v>
      </c>
      <c r="C7" s="44">
        <v>1</v>
      </c>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42" t="s">
        <v>78</v>
      </c>
      <c r="C8" s="44">
        <v>2</v>
      </c>
      <c r="D8" s="21"/>
      <c r="E8" s="21"/>
      <c r="F8" s="21"/>
      <c r="G8" s="21"/>
      <c r="H8" s="21"/>
      <c r="I8" s="21"/>
      <c r="J8" s="21"/>
      <c r="K8" s="21"/>
      <c r="L8" s="21"/>
      <c r="M8" s="21"/>
      <c r="N8" s="21"/>
      <c r="O8" s="20"/>
      <c r="Q8" s="487" t="s">
        <v>1167</v>
      </c>
      <c r="R8" s="487"/>
      <c r="S8" s="487" t="s">
        <v>2267</v>
      </c>
      <c r="T8" s="487"/>
      <c r="U8" s="487"/>
      <c r="V8" s="487"/>
      <c r="W8" s="487"/>
      <c r="X8" s="487"/>
      <c r="Y8" s="487"/>
      <c r="Z8" s="509" t="s">
        <v>325</v>
      </c>
    </row>
    <row r="9" spans="1:26" x14ac:dyDescent="0.3">
      <c r="A9" s="18"/>
      <c r="B9" s="42" t="s">
        <v>79</v>
      </c>
      <c r="C9" s="44">
        <v>3</v>
      </c>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1"/>
      <c r="C11" s="21"/>
      <c r="D11" s="21"/>
      <c r="E11" s="21"/>
      <c r="F11" s="21"/>
      <c r="G11" s="21"/>
      <c r="H11" s="21"/>
      <c r="I11" s="21"/>
      <c r="J11" s="21"/>
      <c r="K11" s="21"/>
      <c r="L11" s="21"/>
      <c r="M11" s="21"/>
      <c r="N11" s="21"/>
      <c r="O11" s="20"/>
      <c r="Q11" s="487" t="s">
        <v>443</v>
      </c>
      <c r="R11" s="487"/>
      <c r="S11" s="487" t="s">
        <v>1168</v>
      </c>
      <c r="T11" s="487"/>
      <c r="U11" s="487"/>
      <c r="V11" s="487"/>
      <c r="W11" s="487"/>
      <c r="X11" s="487"/>
      <c r="Y11" s="487"/>
      <c r="Z11" s="509" t="s">
        <v>325</v>
      </c>
    </row>
    <row r="12" spans="1:26" x14ac:dyDescent="0.3">
      <c r="A12" s="18"/>
      <c r="B12" s="475" t="s">
        <v>2026</v>
      </c>
      <c r="C12" s="475"/>
      <c r="D12" s="475"/>
      <c r="E12" s="475"/>
      <c r="F12" s="475"/>
      <c r="G12" s="21"/>
      <c r="H12" s="21"/>
      <c r="I12" s="21"/>
      <c r="J12" s="21"/>
      <c r="K12" s="21"/>
      <c r="L12" s="21"/>
      <c r="M12" s="21"/>
      <c r="N12" s="21"/>
      <c r="O12" s="20"/>
      <c r="Q12" s="487"/>
      <c r="R12" s="487"/>
      <c r="S12" s="487"/>
      <c r="T12" s="487"/>
      <c r="U12" s="487"/>
      <c r="V12" s="487"/>
      <c r="W12" s="487"/>
      <c r="X12" s="487"/>
      <c r="Y12" s="487"/>
      <c r="Z12" s="509"/>
    </row>
    <row r="13" spans="1:26" x14ac:dyDescent="0.3">
      <c r="A13" s="18"/>
      <c r="B13" s="169" t="s">
        <v>2038</v>
      </c>
      <c r="C13" s="169" t="s">
        <v>2024</v>
      </c>
      <c r="D13" s="332"/>
      <c r="E13" s="332"/>
      <c r="F13" s="333"/>
      <c r="G13" s="21"/>
      <c r="H13" s="21"/>
      <c r="I13" s="21"/>
      <c r="J13" s="21"/>
      <c r="K13" s="21"/>
      <c r="L13" s="21"/>
      <c r="M13" s="21"/>
      <c r="N13" s="21"/>
      <c r="O13" s="20"/>
      <c r="Q13" s="487"/>
      <c r="R13" s="487"/>
      <c r="S13" s="487"/>
      <c r="T13" s="487"/>
      <c r="U13" s="487"/>
      <c r="V13" s="487"/>
      <c r="W13" s="487"/>
      <c r="X13" s="487"/>
      <c r="Y13" s="487"/>
      <c r="Z13" s="509"/>
    </row>
    <row r="14" spans="1:26" x14ac:dyDescent="0.3">
      <c r="A14" s="18"/>
      <c r="B14" s="30" t="s">
        <v>2036</v>
      </c>
      <c r="C14" s="250" t="s">
        <v>2037</v>
      </c>
      <c r="D14" s="112"/>
      <c r="E14" s="112"/>
      <c r="F14" s="113"/>
      <c r="G14" s="21"/>
      <c r="H14" s="21"/>
      <c r="I14" s="21"/>
      <c r="J14" s="21"/>
      <c r="K14" s="21"/>
      <c r="L14" s="21"/>
      <c r="M14" s="21"/>
      <c r="N14" s="21"/>
      <c r="O14" s="20"/>
      <c r="Q14" s="496" t="s">
        <v>1169</v>
      </c>
      <c r="R14" s="497"/>
      <c r="S14" s="496" t="s">
        <v>2035</v>
      </c>
      <c r="T14" s="502"/>
      <c r="U14" s="502"/>
      <c r="V14" s="502"/>
      <c r="W14" s="502"/>
      <c r="X14" s="502"/>
      <c r="Y14" s="497"/>
      <c r="Z14" s="505" t="s">
        <v>326</v>
      </c>
    </row>
    <row r="15" spans="1:26" x14ac:dyDescent="0.3">
      <c r="A15" s="18"/>
      <c r="B15" s="30" t="s">
        <v>2005</v>
      </c>
      <c r="C15" s="250" t="s">
        <v>2006</v>
      </c>
      <c r="D15" s="112"/>
      <c r="E15" s="112"/>
      <c r="F15" s="113"/>
      <c r="G15" s="21"/>
      <c r="H15" s="21"/>
      <c r="I15" s="21"/>
      <c r="J15" s="21"/>
      <c r="K15" s="21"/>
      <c r="L15" s="21"/>
      <c r="M15" s="21"/>
      <c r="N15" s="21"/>
      <c r="O15" s="20"/>
      <c r="Q15" s="498"/>
      <c r="R15" s="499"/>
      <c r="S15" s="498"/>
      <c r="T15" s="503"/>
      <c r="U15" s="503"/>
      <c r="V15" s="503"/>
      <c r="W15" s="503"/>
      <c r="X15" s="503"/>
      <c r="Y15" s="499"/>
      <c r="Z15" s="506"/>
    </row>
    <row r="16" spans="1:26" x14ac:dyDescent="0.3">
      <c r="A16" s="18"/>
      <c r="B16" s="30" t="s">
        <v>2007</v>
      </c>
      <c r="C16" s="250" t="s">
        <v>2008</v>
      </c>
      <c r="D16" s="112"/>
      <c r="E16" s="112"/>
      <c r="F16" s="113"/>
      <c r="G16" s="21"/>
      <c r="H16" s="21"/>
      <c r="I16" s="21"/>
      <c r="J16" s="21"/>
      <c r="K16" s="21"/>
      <c r="L16" s="21"/>
      <c r="M16" s="21"/>
      <c r="N16" s="21"/>
      <c r="O16" s="20"/>
      <c r="Q16" s="500"/>
      <c r="R16" s="501"/>
      <c r="S16" s="500"/>
      <c r="T16" s="504"/>
      <c r="U16" s="504"/>
      <c r="V16" s="504"/>
      <c r="W16" s="504"/>
      <c r="X16" s="504"/>
      <c r="Y16" s="501"/>
      <c r="Z16" s="507"/>
    </row>
    <row r="17" spans="1:26" x14ac:dyDescent="0.3">
      <c r="A17" s="18"/>
      <c r="B17" s="30" t="s">
        <v>2009</v>
      </c>
      <c r="C17" s="250" t="s">
        <v>2011</v>
      </c>
      <c r="D17" s="112"/>
      <c r="E17" s="112"/>
      <c r="F17" s="113"/>
      <c r="G17" s="21"/>
      <c r="H17" s="21"/>
      <c r="I17" s="21"/>
      <c r="J17" s="21"/>
      <c r="K17" s="21"/>
      <c r="L17" s="21"/>
      <c r="M17" s="21"/>
      <c r="N17" s="21"/>
      <c r="O17" s="20"/>
      <c r="Q17" s="496" t="s">
        <v>491</v>
      </c>
      <c r="R17" s="497"/>
      <c r="S17" s="496" t="s">
        <v>1171</v>
      </c>
      <c r="T17" s="502"/>
      <c r="U17" s="502"/>
      <c r="V17" s="502"/>
      <c r="W17" s="502"/>
      <c r="X17" s="502"/>
      <c r="Y17" s="497"/>
      <c r="Z17" s="505" t="s">
        <v>326</v>
      </c>
    </row>
    <row r="18" spans="1:26" x14ac:dyDescent="0.3">
      <c r="A18" s="18"/>
      <c r="B18" s="30" t="s">
        <v>2010</v>
      </c>
      <c r="C18" s="250" t="s">
        <v>2012</v>
      </c>
      <c r="D18" s="112"/>
      <c r="E18" s="112"/>
      <c r="F18" s="113"/>
      <c r="G18" s="21"/>
      <c r="H18" s="21"/>
      <c r="I18" s="21"/>
      <c r="J18" s="21"/>
      <c r="K18" s="21"/>
      <c r="L18" s="21"/>
      <c r="M18" s="21"/>
      <c r="N18" s="21"/>
      <c r="O18" s="20"/>
      <c r="Q18" s="498"/>
      <c r="R18" s="499"/>
      <c r="S18" s="498"/>
      <c r="T18" s="503"/>
      <c r="U18" s="503"/>
      <c r="V18" s="503"/>
      <c r="W18" s="503"/>
      <c r="X18" s="503"/>
      <c r="Y18" s="499"/>
      <c r="Z18" s="506"/>
    </row>
    <row r="19" spans="1:26" x14ac:dyDescent="0.3">
      <c r="A19" s="18"/>
      <c r="B19" s="30" t="s">
        <v>2013</v>
      </c>
      <c r="C19" s="250" t="s">
        <v>2014</v>
      </c>
      <c r="D19" s="112"/>
      <c r="E19" s="112"/>
      <c r="F19" s="113"/>
      <c r="G19" s="21"/>
      <c r="H19" s="21"/>
      <c r="I19" s="21"/>
      <c r="J19" s="21"/>
      <c r="K19" s="21"/>
      <c r="L19" s="21"/>
      <c r="M19" s="21"/>
      <c r="N19" s="21"/>
      <c r="O19" s="20"/>
      <c r="Q19" s="500"/>
      <c r="R19" s="501"/>
      <c r="S19" s="500"/>
      <c r="T19" s="504"/>
      <c r="U19" s="504"/>
      <c r="V19" s="504"/>
      <c r="W19" s="504"/>
      <c r="X19" s="504"/>
      <c r="Y19" s="501"/>
      <c r="Z19" s="507"/>
    </row>
    <row r="20" spans="1:26" x14ac:dyDescent="0.3">
      <c r="A20" s="18"/>
      <c r="B20" s="30" t="s">
        <v>2015</v>
      </c>
      <c r="C20" s="250" t="s">
        <v>2016</v>
      </c>
      <c r="D20" s="112"/>
      <c r="E20" s="112"/>
      <c r="F20" s="113"/>
      <c r="G20" s="21"/>
      <c r="H20" s="21"/>
      <c r="I20" s="21"/>
      <c r="J20" s="21"/>
      <c r="K20" s="21"/>
      <c r="L20" s="21"/>
      <c r="M20" s="21"/>
      <c r="N20" s="21"/>
      <c r="O20" s="20"/>
      <c r="Q20" s="496" t="s">
        <v>1170</v>
      </c>
      <c r="R20" s="497"/>
      <c r="S20" s="496" t="s">
        <v>2039</v>
      </c>
      <c r="T20" s="502"/>
      <c r="U20" s="502"/>
      <c r="V20" s="502"/>
      <c r="W20" s="502"/>
      <c r="X20" s="502"/>
      <c r="Y20" s="497"/>
      <c r="Z20" s="505" t="s">
        <v>326</v>
      </c>
    </row>
    <row r="21" spans="1:26" x14ac:dyDescent="0.3">
      <c r="A21" s="18"/>
      <c r="B21" s="30" t="s">
        <v>2025</v>
      </c>
      <c r="C21" s="250" t="s">
        <v>2017</v>
      </c>
      <c r="D21" s="112"/>
      <c r="E21" s="112"/>
      <c r="F21" s="113"/>
      <c r="G21" s="21"/>
      <c r="H21" s="21"/>
      <c r="I21" s="21"/>
      <c r="J21" s="21"/>
      <c r="K21" s="21"/>
      <c r="L21" s="21"/>
      <c r="M21" s="21"/>
      <c r="N21" s="21"/>
      <c r="O21" s="20"/>
      <c r="Q21" s="498"/>
      <c r="R21" s="499"/>
      <c r="S21" s="498"/>
      <c r="T21" s="503"/>
      <c r="U21" s="503"/>
      <c r="V21" s="503"/>
      <c r="W21" s="503"/>
      <c r="X21" s="503"/>
      <c r="Y21" s="499"/>
      <c r="Z21" s="506"/>
    </row>
    <row r="22" spans="1:26" x14ac:dyDescent="0.3">
      <c r="A22" s="18"/>
      <c r="B22" s="30" t="s">
        <v>2022</v>
      </c>
      <c r="C22" s="250" t="s">
        <v>2023</v>
      </c>
      <c r="D22" s="112"/>
      <c r="E22" s="112"/>
      <c r="F22" s="113"/>
      <c r="G22" s="21"/>
      <c r="H22" s="21"/>
      <c r="I22" s="21"/>
      <c r="J22" s="21"/>
      <c r="K22" s="21"/>
      <c r="L22" s="21"/>
      <c r="M22" s="21"/>
      <c r="N22" s="21"/>
      <c r="O22" s="20"/>
      <c r="Q22" s="500"/>
      <c r="R22" s="501"/>
      <c r="S22" s="500"/>
      <c r="T22" s="504"/>
      <c r="U22" s="504"/>
      <c r="V22" s="504"/>
      <c r="W22" s="504"/>
      <c r="X22" s="504"/>
      <c r="Y22" s="501"/>
      <c r="Z22" s="507"/>
    </row>
    <row r="23" spans="1:26" x14ac:dyDescent="0.3">
      <c r="A23" s="18"/>
      <c r="B23" s="30" t="s">
        <v>2020</v>
      </c>
      <c r="C23" s="250" t="s">
        <v>2021</v>
      </c>
      <c r="D23" s="112"/>
      <c r="E23" s="112"/>
      <c r="F23" s="113"/>
      <c r="G23" s="21"/>
      <c r="H23" s="21"/>
      <c r="I23" s="21"/>
      <c r="J23" s="21"/>
      <c r="K23" s="21"/>
      <c r="L23" s="21"/>
      <c r="M23" s="21"/>
      <c r="N23" s="21"/>
      <c r="O23" s="20"/>
      <c r="Q23" s="496" t="s">
        <v>1373</v>
      </c>
      <c r="R23" s="497"/>
      <c r="S23" s="496" t="s">
        <v>3087</v>
      </c>
      <c r="T23" s="502"/>
      <c r="U23" s="502"/>
      <c r="V23" s="502"/>
      <c r="W23" s="502"/>
      <c r="X23" s="502"/>
      <c r="Y23" s="497"/>
      <c r="Z23" s="505" t="s">
        <v>326</v>
      </c>
    </row>
    <row r="24" spans="1:26" x14ac:dyDescent="0.3">
      <c r="A24" s="18"/>
      <c r="B24" s="30" t="s">
        <v>2018</v>
      </c>
      <c r="C24" s="250" t="s">
        <v>2019</v>
      </c>
      <c r="D24" s="112"/>
      <c r="E24" s="112"/>
      <c r="F24" s="113"/>
      <c r="G24" s="21"/>
      <c r="H24" s="21"/>
      <c r="I24" s="21"/>
      <c r="J24" s="21"/>
      <c r="K24" s="21"/>
      <c r="L24" s="21"/>
      <c r="M24" s="21"/>
      <c r="N24" s="21"/>
      <c r="O24" s="20"/>
      <c r="Q24" s="498"/>
      <c r="R24" s="499"/>
      <c r="S24" s="498"/>
      <c r="T24" s="503"/>
      <c r="U24" s="503"/>
      <c r="V24" s="503"/>
      <c r="W24" s="503"/>
      <c r="X24" s="503"/>
      <c r="Y24" s="499"/>
      <c r="Z24" s="506"/>
    </row>
    <row r="25" spans="1:26" x14ac:dyDescent="0.3">
      <c r="A25" s="18"/>
      <c r="B25" s="21"/>
      <c r="C25" s="21"/>
      <c r="D25" s="21"/>
      <c r="E25" s="21"/>
      <c r="F25" s="21"/>
      <c r="G25" s="21"/>
      <c r="H25" s="21"/>
      <c r="I25" s="21"/>
      <c r="J25" s="21"/>
      <c r="K25" s="21"/>
      <c r="L25" s="21"/>
      <c r="M25" s="21"/>
      <c r="N25" s="21"/>
      <c r="O25" s="20"/>
      <c r="Q25" s="500"/>
      <c r="R25" s="501"/>
      <c r="S25" s="500"/>
      <c r="T25" s="504"/>
      <c r="U25" s="504"/>
      <c r="V25" s="504"/>
      <c r="W25" s="504"/>
      <c r="X25" s="504"/>
      <c r="Y25" s="501"/>
      <c r="Z25" s="507"/>
    </row>
    <row r="26" spans="1:26" ht="15" customHeight="1" x14ac:dyDescent="0.3">
      <c r="A26" s="18"/>
      <c r="B26" s="21"/>
      <c r="C26" s="21"/>
      <c r="D26" s="21"/>
      <c r="E26" s="21"/>
      <c r="F26" s="21"/>
      <c r="G26" s="21"/>
      <c r="H26" s="21"/>
      <c r="I26" s="21"/>
      <c r="J26" s="21"/>
      <c r="K26" s="21"/>
      <c r="L26" s="21"/>
      <c r="M26" s="21"/>
      <c r="N26" s="21"/>
      <c r="O26" s="20"/>
      <c r="Q26" s="496" t="s">
        <v>2299</v>
      </c>
      <c r="R26" s="497"/>
      <c r="S26" s="496" t="s">
        <v>3088</v>
      </c>
      <c r="T26" s="502"/>
      <c r="U26" s="502"/>
      <c r="V26" s="502"/>
      <c r="W26" s="502"/>
      <c r="X26" s="502"/>
      <c r="Y26" s="497"/>
      <c r="Z26" s="505" t="s">
        <v>326</v>
      </c>
    </row>
    <row r="27" spans="1:26" ht="15" customHeight="1" x14ac:dyDescent="0.3">
      <c r="A27" s="18"/>
      <c r="B27" s="21"/>
      <c r="C27" s="21"/>
      <c r="D27" s="21"/>
      <c r="E27" s="21"/>
      <c r="F27" s="21"/>
      <c r="G27" s="21"/>
      <c r="H27" s="21"/>
      <c r="I27" s="21"/>
      <c r="J27" s="21"/>
      <c r="K27" s="21"/>
      <c r="L27" s="21"/>
      <c r="M27" s="21"/>
      <c r="N27" s="21"/>
      <c r="O27" s="20"/>
      <c r="Q27" s="498"/>
      <c r="R27" s="499"/>
      <c r="S27" s="498"/>
      <c r="T27" s="503"/>
      <c r="U27" s="503"/>
      <c r="V27" s="503"/>
      <c r="W27" s="503"/>
      <c r="X27" s="503"/>
      <c r="Y27" s="499"/>
      <c r="Z27" s="506"/>
    </row>
    <row r="28" spans="1:26" x14ac:dyDescent="0.3">
      <c r="A28" s="18"/>
      <c r="B28" s="21"/>
      <c r="C28" s="21"/>
      <c r="D28" s="21"/>
      <c r="E28" s="21"/>
      <c r="F28" s="21"/>
      <c r="G28" s="21"/>
      <c r="H28" s="21"/>
      <c r="I28" s="21"/>
      <c r="J28" s="21"/>
      <c r="K28" s="21"/>
      <c r="L28" s="21"/>
      <c r="M28" s="21"/>
      <c r="N28" s="21"/>
      <c r="O28" s="20"/>
      <c r="Q28" s="500"/>
      <c r="R28" s="501"/>
      <c r="S28" s="500"/>
      <c r="T28" s="504"/>
      <c r="U28" s="504"/>
      <c r="V28" s="504"/>
      <c r="W28" s="504"/>
      <c r="X28" s="504"/>
      <c r="Y28" s="501"/>
      <c r="Z28" s="507"/>
    </row>
    <row r="29" spans="1:26" x14ac:dyDescent="0.3">
      <c r="A29" s="18"/>
      <c r="B29" s="21"/>
      <c r="C29" s="21"/>
      <c r="D29" s="21"/>
      <c r="E29" s="21"/>
      <c r="F29" s="21"/>
      <c r="G29" s="21"/>
      <c r="H29" s="21"/>
      <c r="I29" s="21"/>
      <c r="J29" s="21"/>
      <c r="K29" s="21"/>
      <c r="L29" s="21"/>
      <c r="M29" s="21"/>
      <c r="N29" s="21"/>
      <c r="O29" s="20"/>
      <c r="Q29" s="126" t="s">
        <v>328</v>
      </c>
    </row>
    <row r="30" spans="1:26" x14ac:dyDescent="0.3">
      <c r="A30" s="18"/>
      <c r="B30" s="21"/>
      <c r="C30" s="21"/>
      <c r="D30" s="21"/>
      <c r="E30" s="21"/>
      <c r="F30" s="21"/>
      <c r="G30" s="21"/>
      <c r="H30" s="21"/>
      <c r="I30" s="21"/>
      <c r="J30" s="21"/>
      <c r="K30" s="21"/>
      <c r="L30" s="21"/>
      <c r="M30" s="21"/>
      <c r="N30" s="21"/>
      <c r="O30" s="20"/>
    </row>
    <row r="31" spans="1:26" ht="15" customHeight="1" x14ac:dyDescent="0.3">
      <c r="A31" s="18"/>
      <c r="B31" s="21"/>
      <c r="C31" s="21"/>
      <c r="D31" s="21"/>
      <c r="E31" s="21"/>
      <c r="F31" s="21"/>
      <c r="G31" s="21"/>
      <c r="H31" s="21"/>
      <c r="I31" s="21"/>
      <c r="J31" s="21"/>
      <c r="K31" s="21"/>
      <c r="L31" s="21"/>
      <c r="M31" s="21"/>
      <c r="N31" s="21"/>
      <c r="O31" s="20"/>
    </row>
    <row r="32" spans="1:26" x14ac:dyDescent="0.3">
      <c r="A32" s="18"/>
      <c r="B32" s="21"/>
      <c r="C32" s="21"/>
      <c r="D32" s="21"/>
      <c r="E32" s="21"/>
      <c r="F32" s="21"/>
      <c r="G32" s="21"/>
      <c r="H32" s="21"/>
      <c r="I32" s="21"/>
      <c r="J32" s="21"/>
      <c r="K32" s="21"/>
      <c r="L32" s="21"/>
      <c r="M32" s="21"/>
      <c r="N32" s="21"/>
      <c r="O32" s="20"/>
      <c r="Q32" s="486" t="s">
        <v>3473</v>
      </c>
      <c r="R32" s="486"/>
      <c r="S32" s="486"/>
      <c r="T32" s="486"/>
      <c r="U32" s="486"/>
      <c r="V32" s="486"/>
      <c r="W32" s="486"/>
      <c r="X32" s="486"/>
      <c r="Y32" s="486"/>
      <c r="Z32" s="486"/>
    </row>
    <row r="33" spans="1:26" x14ac:dyDescent="0.3">
      <c r="A33" s="18"/>
      <c r="B33" s="21"/>
      <c r="C33" s="21"/>
      <c r="D33" s="21"/>
      <c r="E33" s="21"/>
      <c r="F33" s="21"/>
      <c r="G33" s="21"/>
      <c r="H33" s="21"/>
      <c r="I33" s="21"/>
      <c r="J33" s="21"/>
      <c r="K33" s="21"/>
      <c r="L33" s="21"/>
      <c r="M33" s="21"/>
      <c r="N33" s="21"/>
      <c r="O33" s="20"/>
      <c r="Q33" s="487" t="s">
        <v>333</v>
      </c>
      <c r="R33" s="487"/>
      <c r="S33" s="487" t="s">
        <v>1281</v>
      </c>
      <c r="T33" s="487"/>
      <c r="U33" s="487"/>
      <c r="V33" s="487"/>
      <c r="W33" s="487"/>
      <c r="X33" s="487"/>
      <c r="Y33" s="487"/>
      <c r="Z33" s="487"/>
    </row>
    <row r="34" spans="1:26" ht="15" customHeight="1" x14ac:dyDescent="0.3">
      <c r="A34" s="18"/>
      <c r="B34" s="21"/>
      <c r="C34" s="21"/>
      <c r="D34" s="21"/>
      <c r="E34" s="21"/>
      <c r="F34" s="21"/>
      <c r="G34" s="21"/>
      <c r="H34" s="21"/>
      <c r="I34" s="21"/>
      <c r="J34" s="21"/>
      <c r="K34" s="21"/>
      <c r="L34" s="21"/>
      <c r="M34" s="21"/>
      <c r="N34" s="21"/>
      <c r="O34" s="20"/>
      <c r="Q34" s="487"/>
      <c r="R34" s="487"/>
      <c r="S34" s="487"/>
      <c r="T34" s="487"/>
      <c r="U34" s="487"/>
      <c r="V34" s="487"/>
      <c r="W34" s="487"/>
      <c r="X34" s="487"/>
      <c r="Y34" s="487"/>
      <c r="Z34" s="487"/>
    </row>
    <row r="35" spans="1:26" x14ac:dyDescent="0.3">
      <c r="A35" s="18"/>
      <c r="B35" s="21"/>
      <c r="C35" s="21"/>
      <c r="D35" s="21"/>
      <c r="E35" s="21"/>
      <c r="F35" s="21"/>
      <c r="G35" s="21"/>
      <c r="H35" s="21"/>
      <c r="I35" s="21"/>
      <c r="J35" s="21"/>
      <c r="K35" s="21"/>
      <c r="L35" s="21"/>
      <c r="M35" s="21"/>
      <c r="N35" s="21"/>
      <c r="O35" s="20"/>
      <c r="Q35" s="487"/>
      <c r="R35" s="487"/>
      <c r="S35" s="487"/>
      <c r="T35" s="487"/>
      <c r="U35" s="487"/>
      <c r="V35" s="487"/>
      <c r="W35" s="487"/>
      <c r="X35" s="487"/>
      <c r="Y35" s="487"/>
      <c r="Z35" s="487"/>
    </row>
    <row r="36" spans="1:26" x14ac:dyDescent="0.3">
      <c r="A36" s="18"/>
      <c r="B36" s="21"/>
      <c r="C36" s="21"/>
      <c r="D36" s="21"/>
      <c r="E36" s="21"/>
      <c r="F36" s="21"/>
      <c r="G36" s="21"/>
      <c r="H36" s="21"/>
      <c r="I36" s="21"/>
      <c r="J36" s="21"/>
      <c r="K36" s="21"/>
      <c r="L36" s="21"/>
      <c r="M36" s="21"/>
      <c r="N36" s="21"/>
      <c r="O36" s="20"/>
      <c r="Q36" s="483" t="s">
        <v>323</v>
      </c>
      <c r="R36" s="483"/>
      <c r="S36" s="483" t="s">
        <v>1</v>
      </c>
      <c r="T36" s="483"/>
      <c r="U36" s="483"/>
      <c r="V36" s="483"/>
      <c r="W36" s="483"/>
      <c r="X36" s="483"/>
      <c r="Y36" s="483"/>
      <c r="Z36" s="85" t="s">
        <v>324</v>
      </c>
    </row>
    <row r="37" spans="1:26" ht="15" customHeight="1" x14ac:dyDescent="0.3">
      <c r="A37" s="18"/>
      <c r="B37" s="21"/>
      <c r="C37" s="21"/>
      <c r="D37" s="21"/>
      <c r="E37" s="21"/>
      <c r="F37" s="21"/>
      <c r="G37" s="21"/>
      <c r="H37" s="21"/>
      <c r="I37" s="21"/>
      <c r="J37" s="21"/>
      <c r="K37" s="21"/>
      <c r="L37" s="21"/>
      <c r="M37" s="21"/>
      <c r="N37" s="21"/>
      <c r="O37" s="20"/>
      <c r="Q37" s="487" t="s">
        <v>1167</v>
      </c>
      <c r="R37" s="487"/>
      <c r="S37" s="487" t="s">
        <v>1385</v>
      </c>
      <c r="T37" s="487"/>
      <c r="U37" s="487"/>
      <c r="V37" s="487"/>
      <c r="W37" s="487"/>
      <c r="X37" s="487"/>
      <c r="Y37" s="487"/>
      <c r="Z37" s="509" t="s">
        <v>325</v>
      </c>
    </row>
    <row r="38" spans="1:26" x14ac:dyDescent="0.3">
      <c r="A38" s="18"/>
      <c r="B38" s="21"/>
      <c r="C38" s="21"/>
      <c r="D38" s="21"/>
      <c r="E38" s="21"/>
      <c r="F38" s="21"/>
      <c r="G38" s="21"/>
      <c r="H38" s="21"/>
      <c r="I38" s="21"/>
      <c r="J38" s="21"/>
      <c r="K38" s="21"/>
      <c r="L38" s="21"/>
      <c r="M38" s="21"/>
      <c r="N38" s="21"/>
      <c r="O38" s="20"/>
      <c r="Q38" s="487"/>
      <c r="R38" s="487"/>
      <c r="S38" s="487"/>
      <c r="T38" s="487"/>
      <c r="U38" s="487"/>
      <c r="V38" s="487"/>
      <c r="W38" s="487"/>
      <c r="X38" s="487"/>
      <c r="Y38" s="487"/>
      <c r="Z38" s="509"/>
    </row>
    <row r="39" spans="1:26" x14ac:dyDescent="0.3">
      <c r="A39" s="18"/>
      <c r="B39" s="85" t="s">
        <v>1165</v>
      </c>
      <c r="C39" s="181" t="s">
        <v>2027</v>
      </c>
      <c r="D39" s="21"/>
      <c r="E39" s="179" t="s">
        <v>3471</v>
      </c>
      <c r="F39" s="21"/>
      <c r="G39" s="21"/>
      <c r="H39" s="21"/>
      <c r="I39" s="21"/>
      <c r="J39" s="21"/>
      <c r="K39" s="21"/>
      <c r="L39" s="21"/>
      <c r="M39" s="21"/>
      <c r="N39" s="21"/>
      <c r="O39" s="20"/>
      <c r="Q39" s="487"/>
      <c r="R39" s="487"/>
      <c r="S39" s="487"/>
      <c r="T39" s="487"/>
      <c r="U39" s="487"/>
      <c r="V39" s="487"/>
      <c r="W39" s="487"/>
      <c r="X39" s="487"/>
      <c r="Y39" s="487"/>
      <c r="Z39" s="509"/>
    </row>
    <row r="40" spans="1:26" ht="15" customHeight="1" x14ac:dyDescent="0.3">
      <c r="A40" s="18"/>
      <c r="B40" s="21"/>
      <c r="C40" s="21"/>
      <c r="D40" s="21"/>
      <c r="E40" s="189" t="s">
        <v>3474</v>
      </c>
      <c r="F40" s="21"/>
      <c r="G40" s="21"/>
      <c r="H40" s="21"/>
      <c r="I40" s="21"/>
      <c r="J40" s="21"/>
      <c r="K40" s="21"/>
      <c r="L40" s="21"/>
      <c r="M40" s="21"/>
      <c r="N40" s="21"/>
      <c r="O40" s="20"/>
      <c r="Q40" s="496" t="s">
        <v>1282</v>
      </c>
      <c r="R40" s="497"/>
      <c r="S40" s="496" t="s">
        <v>2959</v>
      </c>
      <c r="T40" s="502"/>
      <c r="U40" s="502"/>
      <c r="V40" s="502"/>
      <c r="W40" s="502"/>
      <c r="X40" s="502"/>
      <c r="Y40" s="497"/>
      <c r="Z40" s="505" t="s">
        <v>326</v>
      </c>
    </row>
    <row r="41" spans="1:26" x14ac:dyDescent="0.3">
      <c r="A41" s="18"/>
      <c r="B41" s="85" t="s">
        <v>2028</v>
      </c>
      <c r="C41" s="181" t="s">
        <v>2034</v>
      </c>
      <c r="D41" s="21"/>
      <c r="E41" s="21"/>
      <c r="F41" s="21"/>
      <c r="G41" s="21"/>
      <c r="H41" s="21"/>
      <c r="I41" s="21"/>
      <c r="J41" s="21"/>
      <c r="K41" s="21"/>
      <c r="L41" s="21"/>
      <c r="M41" s="21"/>
      <c r="N41" s="21"/>
      <c r="O41" s="20"/>
      <c r="Q41" s="498"/>
      <c r="R41" s="499"/>
      <c r="S41" s="498"/>
      <c r="T41" s="503"/>
      <c r="U41" s="503"/>
      <c r="V41" s="503"/>
      <c r="W41" s="503"/>
      <c r="X41" s="503"/>
      <c r="Y41" s="499"/>
      <c r="Z41" s="506"/>
    </row>
    <row r="42" spans="1:26" x14ac:dyDescent="0.3">
      <c r="A42" s="18"/>
      <c r="B42" s="21"/>
      <c r="C42" s="21"/>
      <c r="D42" s="21"/>
      <c r="E42" s="21"/>
      <c r="F42" s="21"/>
      <c r="G42" s="21"/>
      <c r="H42" s="21"/>
      <c r="I42" s="21"/>
      <c r="J42" s="21"/>
      <c r="K42" s="21"/>
      <c r="L42" s="21"/>
      <c r="M42" s="21"/>
      <c r="N42" s="21"/>
      <c r="O42" s="20"/>
      <c r="Q42" s="500"/>
      <c r="R42" s="501"/>
      <c r="S42" s="500"/>
      <c r="T42" s="504"/>
      <c r="U42" s="504"/>
      <c r="V42" s="504"/>
      <c r="W42" s="504"/>
      <c r="X42" s="504"/>
      <c r="Y42" s="501"/>
      <c r="Z42" s="507"/>
    </row>
    <row r="43" spans="1:26" ht="15" customHeight="1" x14ac:dyDescent="0.3">
      <c r="A43" s="18"/>
      <c r="B43" s="21"/>
      <c r="C43" s="21"/>
      <c r="D43" s="21"/>
      <c r="E43" s="21"/>
      <c r="F43" s="21"/>
      <c r="G43" s="21"/>
      <c r="H43" s="21"/>
      <c r="I43" s="21"/>
      <c r="J43" s="21"/>
      <c r="K43" s="21"/>
      <c r="L43" s="21"/>
      <c r="M43" s="21"/>
      <c r="N43" s="21"/>
      <c r="O43" s="20"/>
      <c r="Q43" s="496" t="s">
        <v>1276</v>
      </c>
      <c r="R43" s="497"/>
      <c r="S43" s="496" t="s">
        <v>1283</v>
      </c>
      <c r="T43" s="502"/>
      <c r="U43" s="502"/>
      <c r="V43" s="502"/>
      <c r="W43" s="502"/>
      <c r="X43" s="502"/>
      <c r="Y43" s="497"/>
      <c r="Z43" s="505" t="s">
        <v>326</v>
      </c>
    </row>
    <row r="44" spans="1:26" x14ac:dyDescent="0.3">
      <c r="A44" s="18"/>
      <c r="B44" s="492" t="s">
        <v>2029</v>
      </c>
      <c r="C44" s="493"/>
      <c r="D44" s="21"/>
      <c r="E44" s="21"/>
      <c r="F44" s="21"/>
      <c r="G44" s="21"/>
      <c r="H44" s="21"/>
      <c r="I44" s="21"/>
      <c r="J44" s="21"/>
      <c r="K44" s="21"/>
      <c r="L44" s="21"/>
      <c r="M44" s="21"/>
      <c r="N44" s="21"/>
      <c r="O44" s="20"/>
      <c r="Q44" s="498"/>
      <c r="R44" s="499"/>
      <c r="S44" s="498"/>
      <c r="T44" s="503"/>
      <c r="U44" s="503"/>
      <c r="V44" s="503"/>
      <c r="W44" s="503"/>
      <c r="X44" s="503"/>
      <c r="Y44" s="499"/>
      <c r="Z44" s="506"/>
    </row>
    <row r="45" spans="1:26" x14ac:dyDescent="0.3">
      <c r="A45" s="18"/>
      <c r="B45" s="85" t="s">
        <v>2033</v>
      </c>
      <c r="C45" s="85" t="s">
        <v>2032</v>
      </c>
      <c r="D45" s="21"/>
      <c r="E45" s="21"/>
      <c r="F45" s="21"/>
      <c r="G45" s="21"/>
      <c r="H45" s="21"/>
      <c r="I45" s="21"/>
      <c r="J45" s="21"/>
      <c r="K45" s="21"/>
      <c r="L45" s="21"/>
      <c r="M45" s="21"/>
      <c r="N45" s="21"/>
      <c r="O45" s="20"/>
      <c r="Q45" s="500"/>
      <c r="R45" s="501"/>
      <c r="S45" s="500"/>
      <c r="T45" s="504"/>
      <c r="U45" s="504"/>
      <c r="V45" s="504"/>
      <c r="W45" s="504"/>
      <c r="X45" s="504"/>
      <c r="Y45" s="501"/>
      <c r="Z45" s="507"/>
    </row>
    <row r="46" spans="1:26" x14ac:dyDescent="0.3">
      <c r="A46" s="18"/>
      <c r="B46" s="334">
        <v>0.60711805555555554</v>
      </c>
      <c r="C46" s="44">
        <v>180</v>
      </c>
      <c r="D46" s="21"/>
      <c r="E46" s="21"/>
      <c r="F46" s="21"/>
      <c r="G46" s="21"/>
      <c r="H46" s="21"/>
      <c r="I46" s="21"/>
      <c r="J46" s="21"/>
      <c r="K46" s="21"/>
      <c r="L46" s="21"/>
      <c r="M46" s="21"/>
      <c r="N46" s="21"/>
      <c r="O46" s="20"/>
      <c r="Q46" s="496" t="s">
        <v>1284</v>
      </c>
      <c r="R46" s="497"/>
      <c r="S46" s="496" t="s">
        <v>3475</v>
      </c>
      <c r="T46" s="502"/>
      <c r="U46" s="502"/>
      <c r="V46" s="502"/>
      <c r="W46" s="502"/>
      <c r="X46" s="502"/>
      <c r="Y46" s="497"/>
      <c r="Z46" s="505" t="s">
        <v>326</v>
      </c>
    </row>
    <row r="47" spans="1:26" x14ac:dyDescent="0.3">
      <c r="A47" s="18"/>
      <c r="B47" s="21"/>
      <c r="C47" s="21"/>
      <c r="D47" s="21"/>
      <c r="E47" s="21"/>
      <c r="F47" s="21"/>
      <c r="G47" s="21"/>
      <c r="H47" s="21"/>
      <c r="I47" s="21"/>
      <c r="J47" s="21"/>
      <c r="K47" s="21"/>
      <c r="L47" s="21"/>
      <c r="M47" s="21"/>
      <c r="N47" s="21"/>
      <c r="O47" s="20"/>
      <c r="Q47" s="498"/>
      <c r="R47" s="499"/>
      <c r="S47" s="498"/>
      <c r="T47" s="503"/>
      <c r="U47" s="503"/>
      <c r="V47" s="503"/>
      <c r="W47" s="503"/>
      <c r="X47" s="503"/>
      <c r="Y47" s="499"/>
      <c r="Z47" s="506"/>
    </row>
    <row r="48" spans="1:26" x14ac:dyDescent="0.3">
      <c r="A48" s="18"/>
      <c r="B48" s="21"/>
      <c r="C48" s="21"/>
      <c r="D48" s="21"/>
      <c r="E48" s="21"/>
      <c r="F48" s="21"/>
      <c r="G48" s="21"/>
      <c r="H48" s="21"/>
      <c r="I48" s="21"/>
      <c r="J48" s="21"/>
      <c r="K48" s="21"/>
      <c r="L48" s="21"/>
      <c r="M48" s="21"/>
      <c r="N48" s="21"/>
      <c r="O48" s="20"/>
      <c r="Q48" s="500"/>
      <c r="R48" s="501"/>
      <c r="S48" s="500"/>
      <c r="T48" s="504"/>
      <c r="U48" s="504"/>
      <c r="V48" s="504"/>
      <c r="W48" s="504"/>
      <c r="X48" s="504"/>
      <c r="Y48" s="501"/>
      <c r="Z48" s="507"/>
    </row>
    <row r="49" spans="1:26" x14ac:dyDescent="0.3">
      <c r="A49" s="18"/>
      <c r="B49" s="492" t="s">
        <v>2030</v>
      </c>
      <c r="C49" s="493"/>
      <c r="D49" s="21"/>
      <c r="E49" s="21"/>
      <c r="F49" s="21"/>
      <c r="G49" s="21"/>
      <c r="H49" s="21"/>
      <c r="I49" s="21"/>
      <c r="J49" s="21"/>
      <c r="K49" s="21"/>
      <c r="L49" s="21"/>
      <c r="M49" s="21"/>
      <c r="N49" s="21"/>
      <c r="O49" s="20"/>
      <c r="Q49" s="496" t="s">
        <v>1000</v>
      </c>
      <c r="R49" s="497"/>
      <c r="S49" s="496" t="s">
        <v>1285</v>
      </c>
      <c r="T49" s="502"/>
      <c r="U49" s="502"/>
      <c r="V49" s="502"/>
      <c r="W49" s="502"/>
      <c r="X49" s="502"/>
      <c r="Y49" s="497"/>
      <c r="Z49" s="505" t="s">
        <v>326</v>
      </c>
    </row>
    <row r="50" spans="1:26" x14ac:dyDescent="0.3">
      <c r="A50" s="18"/>
      <c r="B50" s="85" t="s">
        <v>2033</v>
      </c>
      <c r="C50" s="85" t="s">
        <v>2031</v>
      </c>
      <c r="D50" s="21"/>
      <c r="E50" s="21"/>
      <c r="F50" s="21"/>
      <c r="G50" s="21"/>
      <c r="H50" s="21"/>
      <c r="I50" s="21"/>
      <c r="J50" s="21"/>
      <c r="K50" s="21"/>
      <c r="L50" s="21"/>
      <c r="M50" s="21"/>
      <c r="N50" s="21"/>
      <c r="O50" s="20"/>
      <c r="Q50" s="498"/>
      <c r="R50" s="499"/>
      <c r="S50" s="498"/>
      <c r="T50" s="503"/>
      <c r="U50" s="503"/>
      <c r="V50" s="503"/>
      <c r="W50" s="503"/>
      <c r="X50" s="503"/>
      <c r="Y50" s="499"/>
      <c r="Z50" s="506"/>
    </row>
    <row r="51" spans="1:26" x14ac:dyDescent="0.3">
      <c r="A51" s="18"/>
      <c r="B51" s="334">
        <v>0.69791666666666663</v>
      </c>
      <c r="C51" s="44">
        <v>3</v>
      </c>
      <c r="D51" s="21"/>
      <c r="E51" s="21"/>
      <c r="F51" s="21"/>
      <c r="G51" s="21"/>
      <c r="H51" s="21"/>
      <c r="I51" s="21"/>
      <c r="J51" s="21"/>
      <c r="K51" s="21"/>
      <c r="L51" s="21"/>
      <c r="M51" s="21"/>
      <c r="N51" s="21"/>
      <c r="O51" s="20"/>
      <c r="Q51" s="500"/>
      <c r="R51" s="501"/>
      <c r="S51" s="500"/>
      <c r="T51" s="504"/>
      <c r="U51" s="504"/>
      <c r="V51" s="504"/>
      <c r="W51" s="504"/>
      <c r="X51" s="504"/>
      <c r="Y51" s="501"/>
      <c r="Z51" s="507"/>
    </row>
    <row r="52" spans="1:26" x14ac:dyDescent="0.3">
      <c r="A52" s="18"/>
      <c r="B52" s="21"/>
      <c r="C52" s="21"/>
      <c r="D52" s="21"/>
      <c r="E52" s="21"/>
      <c r="F52" s="21"/>
      <c r="G52" s="21"/>
      <c r="H52" s="21"/>
      <c r="I52" s="21"/>
      <c r="J52" s="21"/>
      <c r="K52" s="21"/>
      <c r="L52" s="21"/>
      <c r="M52" s="21"/>
      <c r="N52" s="21"/>
      <c r="O52" s="20"/>
      <c r="Q52" s="496" t="s">
        <v>2299</v>
      </c>
      <c r="R52" s="497"/>
      <c r="S52" s="496" t="s">
        <v>3090</v>
      </c>
      <c r="T52" s="502"/>
      <c r="U52" s="502"/>
      <c r="V52" s="502"/>
      <c r="W52" s="502"/>
      <c r="X52" s="502"/>
      <c r="Y52" s="497"/>
      <c r="Z52" s="505" t="s">
        <v>326</v>
      </c>
    </row>
    <row r="53" spans="1:26" x14ac:dyDescent="0.3">
      <c r="A53" s="18"/>
      <c r="B53" s="21"/>
      <c r="C53" s="21"/>
      <c r="D53" s="21"/>
      <c r="E53" s="21"/>
      <c r="F53" s="21"/>
      <c r="G53" s="21"/>
      <c r="H53" s="21"/>
      <c r="I53" s="21"/>
      <c r="J53" s="21"/>
      <c r="K53" s="21"/>
      <c r="L53" s="21"/>
      <c r="M53" s="21"/>
      <c r="N53" s="21"/>
      <c r="O53" s="20"/>
      <c r="Q53" s="498"/>
      <c r="R53" s="499"/>
      <c r="S53" s="498"/>
      <c r="T53" s="503"/>
      <c r="U53" s="503"/>
      <c r="V53" s="503"/>
      <c r="W53" s="503"/>
      <c r="X53" s="503"/>
      <c r="Y53" s="499"/>
      <c r="Z53" s="506"/>
    </row>
    <row r="54" spans="1:26" x14ac:dyDescent="0.3">
      <c r="A54" s="18"/>
      <c r="B54" s="21"/>
      <c r="C54" s="21"/>
      <c r="D54" s="21"/>
      <c r="E54" s="21"/>
      <c r="F54" s="21"/>
      <c r="G54" s="21"/>
      <c r="H54" s="21"/>
      <c r="I54" s="21"/>
      <c r="J54" s="21"/>
      <c r="K54" s="21"/>
      <c r="L54" s="21"/>
      <c r="M54" s="21"/>
      <c r="N54" s="21"/>
      <c r="O54" s="20"/>
      <c r="Q54" s="500"/>
      <c r="R54" s="501"/>
      <c r="S54" s="500"/>
      <c r="T54" s="504"/>
      <c r="U54" s="504"/>
      <c r="V54" s="504"/>
      <c r="W54" s="504"/>
      <c r="X54" s="504"/>
      <c r="Y54" s="501"/>
      <c r="Z54" s="507"/>
    </row>
    <row r="55" spans="1:26" x14ac:dyDescent="0.3">
      <c r="A55" s="18"/>
      <c r="B55" s="21"/>
      <c r="C55" s="21"/>
      <c r="D55" s="21"/>
      <c r="E55" s="21"/>
      <c r="F55" s="21"/>
      <c r="G55" s="21"/>
      <c r="H55" s="21"/>
      <c r="I55" s="21"/>
      <c r="J55" s="21"/>
      <c r="K55" s="21"/>
      <c r="L55" s="21"/>
      <c r="M55" s="21"/>
      <c r="N55" s="21"/>
      <c r="O55" s="20"/>
      <c r="Q55" s="126" t="s">
        <v>328</v>
      </c>
    </row>
    <row r="56" spans="1:26" x14ac:dyDescent="0.3">
      <c r="A56" s="18"/>
      <c r="B56" s="21"/>
      <c r="C56" s="21"/>
      <c r="D56" s="21"/>
      <c r="E56" s="21"/>
      <c r="F56" s="21"/>
      <c r="G56" s="21"/>
      <c r="H56" s="21"/>
      <c r="I56" s="21"/>
      <c r="J56" s="21"/>
      <c r="K56" s="21"/>
      <c r="L56" s="21"/>
      <c r="M56" s="21"/>
      <c r="N56" s="21"/>
      <c r="O56" s="20"/>
    </row>
    <row r="57" spans="1:26" x14ac:dyDescent="0.3">
      <c r="A57" s="18"/>
      <c r="B57" s="21"/>
      <c r="C57" s="21"/>
      <c r="D57" s="21"/>
      <c r="E57" s="21"/>
      <c r="F57" s="21"/>
      <c r="G57" s="21"/>
      <c r="H57" s="21"/>
      <c r="I57" s="21"/>
      <c r="J57" s="21"/>
      <c r="K57" s="21"/>
      <c r="L57" s="21"/>
      <c r="M57" s="21"/>
      <c r="N57" s="21"/>
      <c r="O57" s="20"/>
    </row>
    <row r="58" spans="1:26" x14ac:dyDescent="0.3">
      <c r="A58" s="18"/>
      <c r="B58" s="21"/>
      <c r="C58" s="21"/>
      <c r="D58" s="21"/>
      <c r="E58" s="21"/>
      <c r="F58" s="21"/>
      <c r="G58" s="21"/>
      <c r="H58" s="21"/>
      <c r="I58" s="21"/>
      <c r="J58" s="21"/>
      <c r="K58" s="21"/>
      <c r="L58" s="21"/>
      <c r="M58" s="21"/>
      <c r="N58" s="21"/>
      <c r="O58" s="20"/>
      <c r="Q58" s="574" t="s">
        <v>3476</v>
      </c>
      <c r="R58" s="575"/>
      <c r="S58" s="575"/>
      <c r="T58" s="575"/>
      <c r="U58" s="575"/>
      <c r="V58" s="575"/>
      <c r="W58" s="575"/>
      <c r="X58" s="575"/>
      <c r="Y58" s="575"/>
      <c r="Z58" s="576"/>
    </row>
    <row r="59" spans="1:26" x14ac:dyDescent="0.3">
      <c r="A59" s="18"/>
      <c r="B59" s="21"/>
      <c r="C59" s="21"/>
      <c r="D59" s="21"/>
      <c r="E59" s="21"/>
      <c r="F59" s="21"/>
      <c r="G59" s="21"/>
      <c r="H59" s="21"/>
      <c r="I59" s="21"/>
      <c r="J59" s="21"/>
      <c r="K59" s="21"/>
      <c r="L59" s="21"/>
      <c r="M59" s="21"/>
      <c r="N59" s="21"/>
      <c r="O59" s="20"/>
      <c r="Q59" s="539" t="s">
        <v>333</v>
      </c>
      <c r="R59" s="541"/>
      <c r="S59" s="539" t="s">
        <v>1259</v>
      </c>
      <c r="T59" s="540"/>
      <c r="U59" s="540"/>
      <c r="V59" s="540"/>
      <c r="W59" s="540"/>
      <c r="X59" s="540"/>
      <c r="Y59" s="540"/>
      <c r="Z59" s="541"/>
    </row>
    <row r="60" spans="1:26" x14ac:dyDescent="0.3">
      <c r="A60" s="18"/>
      <c r="B60" s="85" t="s">
        <v>1165</v>
      </c>
      <c r="C60" s="181" t="s">
        <v>1280</v>
      </c>
      <c r="D60" s="21"/>
      <c r="E60" s="179" t="s">
        <v>3473</v>
      </c>
      <c r="F60" s="21"/>
      <c r="G60" s="21"/>
      <c r="H60" s="21"/>
      <c r="I60" s="21"/>
      <c r="J60" s="21"/>
      <c r="K60" s="21"/>
      <c r="L60" s="21"/>
      <c r="M60" s="21"/>
      <c r="N60" s="21"/>
      <c r="O60" s="20"/>
      <c r="Q60" s="542"/>
      <c r="R60" s="544"/>
      <c r="S60" s="542"/>
      <c r="T60" s="543"/>
      <c r="U60" s="543"/>
      <c r="V60" s="543"/>
      <c r="W60" s="543"/>
      <c r="X60" s="543"/>
      <c r="Y60" s="543"/>
      <c r="Z60" s="544"/>
    </row>
    <row r="61" spans="1:26" x14ac:dyDescent="0.3">
      <c r="A61" s="18"/>
      <c r="B61" s="21"/>
      <c r="C61" s="21"/>
      <c r="D61" s="21"/>
      <c r="E61" s="189" t="s">
        <v>3477</v>
      </c>
      <c r="F61" s="21"/>
      <c r="G61" s="21"/>
      <c r="H61" s="21"/>
      <c r="I61" s="21"/>
      <c r="J61" s="21"/>
      <c r="K61" s="21"/>
      <c r="L61" s="21"/>
      <c r="M61" s="21"/>
      <c r="N61" s="21"/>
      <c r="O61" s="20"/>
      <c r="Q61" s="545"/>
      <c r="R61" s="547"/>
      <c r="S61" s="545"/>
      <c r="T61" s="546"/>
      <c r="U61" s="546"/>
      <c r="V61" s="546"/>
      <c r="W61" s="546"/>
      <c r="X61" s="546"/>
      <c r="Y61" s="546"/>
      <c r="Z61" s="547"/>
    </row>
    <row r="62" spans="1:26" x14ac:dyDescent="0.3">
      <c r="A62" s="18"/>
      <c r="B62" s="21"/>
      <c r="C62" s="21"/>
      <c r="D62" s="21"/>
      <c r="E62" s="21"/>
      <c r="F62" s="21"/>
      <c r="G62" s="21"/>
      <c r="H62" s="21"/>
      <c r="I62" s="21"/>
      <c r="J62" s="21"/>
      <c r="K62" s="21"/>
      <c r="L62" s="21"/>
      <c r="M62" s="21"/>
      <c r="N62" s="21"/>
      <c r="O62" s="20"/>
      <c r="Q62" s="513" t="s">
        <v>323</v>
      </c>
      <c r="R62" s="515"/>
      <c r="S62" s="513" t="s">
        <v>1</v>
      </c>
      <c r="T62" s="514"/>
      <c r="U62" s="514"/>
      <c r="V62" s="514"/>
      <c r="W62" s="514"/>
      <c r="X62" s="514"/>
      <c r="Y62" s="515"/>
      <c r="Z62" s="85" t="s">
        <v>324</v>
      </c>
    </row>
    <row r="63" spans="1:26" x14ac:dyDescent="0.3">
      <c r="A63" s="18"/>
      <c r="B63" s="21"/>
      <c r="C63" s="21"/>
      <c r="D63" s="21"/>
      <c r="E63" s="21"/>
      <c r="F63" s="21"/>
      <c r="G63" s="21"/>
      <c r="H63" s="21"/>
      <c r="I63" s="21"/>
      <c r="J63" s="21"/>
      <c r="K63" s="21"/>
      <c r="L63" s="21"/>
      <c r="M63" s="21"/>
      <c r="N63" s="21"/>
      <c r="O63" s="20"/>
      <c r="Q63" s="539" t="s">
        <v>614</v>
      </c>
      <c r="R63" s="541"/>
      <c r="S63" s="539" t="s">
        <v>1260</v>
      </c>
      <c r="T63" s="540"/>
      <c r="U63" s="540"/>
      <c r="V63" s="540"/>
      <c r="W63" s="540"/>
      <c r="X63" s="540"/>
      <c r="Y63" s="541"/>
      <c r="Z63" s="548" t="s">
        <v>325</v>
      </c>
    </row>
    <row r="64" spans="1:26" x14ac:dyDescent="0.3">
      <c r="A64" s="18"/>
      <c r="B64" s="21"/>
      <c r="C64" s="21"/>
      <c r="D64" s="21"/>
      <c r="E64" s="21"/>
      <c r="F64" s="21"/>
      <c r="G64" s="21"/>
      <c r="H64" s="21"/>
      <c r="I64" s="21"/>
      <c r="J64" s="21"/>
      <c r="K64" s="21"/>
      <c r="L64" s="21"/>
      <c r="M64" s="21"/>
      <c r="N64" s="21"/>
      <c r="O64" s="20"/>
      <c r="Q64" s="542"/>
      <c r="R64" s="544"/>
      <c r="S64" s="542"/>
      <c r="T64" s="543"/>
      <c r="U64" s="543"/>
      <c r="V64" s="543"/>
      <c r="W64" s="543"/>
      <c r="X64" s="543"/>
      <c r="Y64" s="544"/>
      <c r="Z64" s="549"/>
    </row>
    <row r="65" spans="1:26" x14ac:dyDescent="0.3">
      <c r="A65" s="18"/>
      <c r="B65" s="21"/>
      <c r="C65" s="21"/>
      <c r="D65" s="21"/>
      <c r="E65" s="21"/>
      <c r="F65" s="21"/>
      <c r="G65" s="21"/>
      <c r="H65" s="21"/>
      <c r="I65" s="21"/>
      <c r="J65" s="21"/>
      <c r="K65" s="21"/>
      <c r="L65" s="21"/>
      <c r="M65" s="21"/>
      <c r="N65" s="21"/>
      <c r="O65" s="20"/>
      <c r="Q65" s="545"/>
      <c r="R65" s="547"/>
      <c r="S65" s="545"/>
      <c r="T65" s="546"/>
      <c r="U65" s="546"/>
      <c r="V65" s="546"/>
      <c r="W65" s="546"/>
      <c r="X65" s="546"/>
      <c r="Y65" s="547"/>
      <c r="Z65" s="550"/>
    </row>
    <row r="66" spans="1:26" x14ac:dyDescent="0.3">
      <c r="A66" s="18"/>
      <c r="B66" s="21"/>
      <c r="C66" s="21"/>
      <c r="D66" s="21"/>
      <c r="E66" s="21"/>
      <c r="F66" s="21"/>
      <c r="G66" s="21"/>
      <c r="H66" s="21"/>
      <c r="I66" s="21"/>
      <c r="J66" s="21"/>
      <c r="K66" s="21"/>
      <c r="L66" s="21"/>
      <c r="M66" s="21"/>
      <c r="N66" s="21"/>
      <c r="O66" s="20"/>
      <c r="Q66" s="496" t="s">
        <v>615</v>
      </c>
      <c r="R66" s="497"/>
      <c r="S66" s="496" t="s">
        <v>2268</v>
      </c>
      <c r="T66" s="502"/>
      <c r="U66" s="502"/>
      <c r="V66" s="502"/>
      <c r="W66" s="502"/>
      <c r="X66" s="502"/>
      <c r="Y66" s="497"/>
      <c r="Z66" s="505" t="s">
        <v>326</v>
      </c>
    </row>
    <row r="67" spans="1:26" x14ac:dyDescent="0.3">
      <c r="A67" s="18"/>
      <c r="B67" s="21"/>
      <c r="C67" s="21"/>
      <c r="D67" s="21"/>
      <c r="E67" s="21"/>
      <c r="F67" s="21"/>
      <c r="G67" s="21"/>
      <c r="H67" s="21"/>
      <c r="I67" s="21"/>
      <c r="J67" s="21"/>
      <c r="K67" s="21"/>
      <c r="L67" s="21"/>
      <c r="M67" s="21"/>
      <c r="N67" s="21"/>
      <c r="O67" s="20"/>
      <c r="Q67" s="498"/>
      <c r="R67" s="499"/>
      <c r="S67" s="498"/>
      <c r="T67" s="503"/>
      <c r="U67" s="503"/>
      <c r="V67" s="503"/>
      <c r="W67" s="503"/>
      <c r="X67" s="503"/>
      <c r="Y67" s="499"/>
      <c r="Z67" s="506"/>
    </row>
    <row r="68" spans="1:26" x14ac:dyDescent="0.3">
      <c r="A68" s="18"/>
      <c r="B68" s="21"/>
      <c r="C68" s="21"/>
      <c r="D68" s="21"/>
      <c r="E68" s="21"/>
      <c r="F68" s="21"/>
      <c r="G68" s="21"/>
      <c r="H68" s="21"/>
      <c r="I68" s="21"/>
      <c r="J68" s="21"/>
      <c r="K68" s="21"/>
      <c r="L68" s="21"/>
      <c r="M68" s="21"/>
      <c r="N68" s="21"/>
      <c r="O68" s="20"/>
      <c r="Q68" s="500"/>
      <c r="R68" s="501"/>
      <c r="S68" s="500"/>
      <c r="T68" s="504"/>
      <c r="U68" s="504"/>
      <c r="V68" s="504"/>
      <c r="W68" s="504"/>
      <c r="X68" s="504"/>
      <c r="Y68" s="501"/>
      <c r="Z68" s="507"/>
    </row>
    <row r="69" spans="1:26" x14ac:dyDescent="0.3">
      <c r="A69" s="18"/>
      <c r="B69" s="21"/>
      <c r="C69" s="21"/>
      <c r="D69" s="21"/>
      <c r="E69" s="21"/>
      <c r="F69" s="21"/>
      <c r="G69" s="21"/>
      <c r="H69" s="21"/>
      <c r="I69" s="21"/>
      <c r="J69" s="21"/>
      <c r="K69" s="21"/>
      <c r="L69" s="21"/>
      <c r="M69" s="21"/>
      <c r="N69" s="21"/>
      <c r="O69" s="20"/>
      <c r="Q69" s="496" t="s">
        <v>617</v>
      </c>
      <c r="R69" s="497"/>
      <c r="S69" s="496" t="s">
        <v>619</v>
      </c>
      <c r="T69" s="502"/>
      <c r="U69" s="502"/>
      <c r="V69" s="502"/>
      <c r="W69" s="502"/>
      <c r="X69" s="502"/>
      <c r="Y69" s="497"/>
      <c r="Z69" s="505" t="s">
        <v>326</v>
      </c>
    </row>
    <row r="70" spans="1:26" x14ac:dyDescent="0.3">
      <c r="A70" s="18"/>
      <c r="B70" s="21"/>
      <c r="C70" s="21"/>
      <c r="D70" s="21"/>
      <c r="E70" s="21"/>
      <c r="F70" s="21"/>
      <c r="G70" s="21"/>
      <c r="H70" s="21"/>
      <c r="I70" s="21"/>
      <c r="J70" s="21"/>
      <c r="K70" s="21"/>
      <c r="L70" s="21"/>
      <c r="M70" s="21"/>
      <c r="N70" s="21"/>
      <c r="O70" s="20"/>
      <c r="Q70" s="498"/>
      <c r="R70" s="499"/>
      <c r="S70" s="498"/>
      <c r="T70" s="503"/>
      <c r="U70" s="503"/>
      <c r="V70" s="503"/>
      <c r="W70" s="503"/>
      <c r="X70" s="503"/>
      <c r="Y70" s="499"/>
      <c r="Z70" s="506"/>
    </row>
    <row r="71" spans="1:26" x14ac:dyDescent="0.3">
      <c r="A71" s="18"/>
      <c r="B71" s="21"/>
      <c r="C71" s="21"/>
      <c r="D71" s="21"/>
      <c r="E71" s="21"/>
      <c r="F71" s="21"/>
      <c r="G71" s="21"/>
      <c r="H71" s="21"/>
      <c r="I71" s="21"/>
      <c r="J71" s="21"/>
      <c r="K71" s="21"/>
      <c r="L71" s="21"/>
      <c r="M71" s="21"/>
      <c r="N71" s="21"/>
      <c r="O71" s="20"/>
      <c r="Q71" s="500"/>
      <c r="R71" s="501"/>
      <c r="S71" s="500"/>
      <c r="T71" s="504"/>
      <c r="U71" s="504"/>
      <c r="V71" s="504"/>
      <c r="W71" s="504"/>
      <c r="X71" s="504"/>
      <c r="Y71" s="501"/>
      <c r="Z71" s="507"/>
    </row>
    <row r="72" spans="1:26" x14ac:dyDescent="0.3">
      <c r="A72" s="18"/>
      <c r="B72" s="21"/>
      <c r="C72" s="21"/>
      <c r="D72" s="21"/>
      <c r="E72" s="21"/>
      <c r="F72" s="21"/>
      <c r="G72" s="21"/>
      <c r="H72" s="21"/>
      <c r="I72" s="21"/>
      <c r="J72" s="21"/>
      <c r="K72" s="21"/>
      <c r="L72" s="21"/>
      <c r="M72" s="21"/>
      <c r="N72" s="21"/>
      <c r="O72" s="20"/>
      <c r="Q72" s="496" t="s">
        <v>616</v>
      </c>
      <c r="R72" s="497"/>
      <c r="S72" s="496" t="s">
        <v>618</v>
      </c>
      <c r="T72" s="502"/>
      <c r="U72" s="502"/>
      <c r="V72" s="502"/>
      <c r="W72" s="502"/>
      <c r="X72" s="502"/>
      <c r="Y72" s="497"/>
      <c r="Z72" s="505" t="s">
        <v>326</v>
      </c>
    </row>
    <row r="73" spans="1:26" x14ac:dyDescent="0.3">
      <c r="A73" s="18"/>
      <c r="B73" s="21"/>
      <c r="C73" s="21"/>
      <c r="D73" s="21"/>
      <c r="E73" s="21"/>
      <c r="F73" s="21"/>
      <c r="G73" s="21"/>
      <c r="H73" s="21"/>
      <c r="I73" s="21"/>
      <c r="J73" s="21"/>
      <c r="K73" s="21"/>
      <c r="L73" s="21"/>
      <c r="M73" s="21"/>
      <c r="N73" s="21"/>
      <c r="O73" s="20"/>
      <c r="Q73" s="498"/>
      <c r="R73" s="499"/>
      <c r="S73" s="498"/>
      <c r="T73" s="503"/>
      <c r="U73" s="503"/>
      <c r="V73" s="503"/>
      <c r="W73" s="503"/>
      <c r="X73" s="503"/>
      <c r="Y73" s="499"/>
      <c r="Z73" s="506"/>
    </row>
    <row r="74" spans="1:26" x14ac:dyDescent="0.3">
      <c r="A74" s="18"/>
      <c r="B74" s="21"/>
      <c r="C74" s="21"/>
      <c r="D74" s="21"/>
      <c r="E74" s="21"/>
      <c r="F74" s="21"/>
      <c r="G74" s="21"/>
      <c r="H74" s="21"/>
      <c r="I74" s="21"/>
      <c r="J74" s="21"/>
      <c r="K74" s="21"/>
      <c r="L74" s="21"/>
      <c r="M74" s="21"/>
      <c r="N74" s="21"/>
      <c r="O74" s="20"/>
      <c r="Q74" s="500"/>
      <c r="R74" s="501"/>
      <c r="S74" s="500"/>
      <c r="T74" s="504"/>
      <c r="U74" s="504"/>
      <c r="V74" s="504"/>
      <c r="W74" s="504"/>
      <c r="X74" s="504"/>
      <c r="Y74" s="501"/>
      <c r="Z74" s="507"/>
    </row>
    <row r="75" spans="1:26" x14ac:dyDescent="0.3">
      <c r="A75" s="18"/>
      <c r="B75" s="21"/>
      <c r="C75" s="21"/>
      <c r="D75" s="21"/>
      <c r="E75" s="21"/>
      <c r="F75" s="21"/>
      <c r="G75" s="21"/>
      <c r="H75" s="21"/>
      <c r="I75" s="21"/>
      <c r="J75" s="21"/>
      <c r="K75" s="21"/>
      <c r="L75" s="21"/>
      <c r="M75" s="21"/>
      <c r="N75" s="21"/>
      <c r="O75" s="20"/>
      <c r="Q75" s="496" t="s">
        <v>1256</v>
      </c>
      <c r="R75" s="497"/>
      <c r="S75" s="496" t="s">
        <v>1257</v>
      </c>
      <c r="T75" s="502"/>
      <c r="U75" s="502"/>
      <c r="V75" s="502"/>
      <c r="W75" s="502"/>
      <c r="X75" s="502"/>
      <c r="Y75" s="497"/>
      <c r="Z75" s="505" t="s">
        <v>326</v>
      </c>
    </row>
    <row r="76" spans="1:26" x14ac:dyDescent="0.3">
      <c r="A76" s="18"/>
      <c r="B76" s="21"/>
      <c r="C76" s="21"/>
      <c r="D76" s="21"/>
      <c r="E76" s="21"/>
      <c r="F76" s="21"/>
      <c r="G76" s="21"/>
      <c r="H76" s="21"/>
      <c r="I76" s="21"/>
      <c r="J76" s="21"/>
      <c r="K76" s="21"/>
      <c r="L76" s="21"/>
      <c r="M76" s="21"/>
      <c r="N76" s="21"/>
      <c r="O76" s="20"/>
      <c r="Q76" s="498"/>
      <c r="R76" s="499"/>
      <c r="S76" s="498"/>
      <c r="T76" s="503"/>
      <c r="U76" s="503"/>
      <c r="V76" s="503"/>
      <c r="W76" s="503"/>
      <c r="X76" s="503"/>
      <c r="Y76" s="499"/>
      <c r="Z76" s="506"/>
    </row>
    <row r="77" spans="1:26" x14ac:dyDescent="0.3">
      <c r="A77" s="18"/>
      <c r="B77" s="21"/>
      <c r="C77" s="21"/>
      <c r="D77" s="21"/>
      <c r="E77" s="21"/>
      <c r="F77" s="21"/>
      <c r="G77" s="21"/>
      <c r="H77" s="21"/>
      <c r="I77" s="21"/>
      <c r="J77" s="21"/>
      <c r="K77" s="21"/>
      <c r="L77" s="21"/>
      <c r="M77" s="21"/>
      <c r="N77" s="21"/>
      <c r="O77" s="20"/>
      <c r="Q77" s="500"/>
      <c r="R77" s="501"/>
      <c r="S77" s="500"/>
      <c r="T77" s="504"/>
      <c r="U77" s="504"/>
      <c r="V77" s="504"/>
      <c r="W77" s="504"/>
      <c r="X77" s="504"/>
      <c r="Y77" s="501"/>
      <c r="Z77" s="507"/>
    </row>
    <row r="78" spans="1:26" x14ac:dyDescent="0.3">
      <c r="A78" s="18"/>
      <c r="B78" s="21"/>
      <c r="C78" s="21"/>
      <c r="D78" s="21"/>
      <c r="E78" s="21"/>
      <c r="F78" s="21"/>
      <c r="G78" s="21"/>
      <c r="H78" s="21"/>
      <c r="I78" s="21"/>
      <c r="J78" s="21"/>
      <c r="K78" s="21"/>
      <c r="L78" s="21"/>
      <c r="M78" s="21"/>
      <c r="N78" s="21"/>
      <c r="O78" s="20"/>
      <c r="Q78" s="496" t="s">
        <v>2808</v>
      </c>
      <c r="R78" s="497"/>
      <c r="S78" s="496" t="s">
        <v>2809</v>
      </c>
      <c r="T78" s="502"/>
      <c r="U78" s="502"/>
      <c r="V78" s="502"/>
      <c r="W78" s="502"/>
      <c r="X78" s="502"/>
      <c r="Y78" s="497"/>
      <c r="Z78" s="505" t="s">
        <v>326</v>
      </c>
    </row>
    <row r="79" spans="1:26" x14ac:dyDescent="0.3">
      <c r="A79" s="18"/>
      <c r="B79" s="21"/>
      <c r="C79" s="21"/>
      <c r="D79" s="21"/>
      <c r="E79" s="21"/>
      <c r="F79" s="21"/>
      <c r="G79" s="21"/>
      <c r="H79" s="21"/>
      <c r="I79" s="21"/>
      <c r="J79" s="21"/>
      <c r="K79" s="21"/>
      <c r="L79" s="21"/>
      <c r="M79" s="21"/>
      <c r="N79" s="21"/>
      <c r="O79" s="20"/>
      <c r="Q79" s="498"/>
      <c r="R79" s="499"/>
      <c r="S79" s="498"/>
      <c r="T79" s="503"/>
      <c r="U79" s="503"/>
      <c r="V79" s="503"/>
      <c r="W79" s="503"/>
      <c r="X79" s="503"/>
      <c r="Y79" s="499"/>
      <c r="Z79" s="506"/>
    </row>
    <row r="80" spans="1:26" x14ac:dyDescent="0.3">
      <c r="A80" s="18"/>
      <c r="B80" s="21"/>
      <c r="C80" s="21"/>
      <c r="D80" s="21"/>
      <c r="E80" s="21"/>
      <c r="F80" s="21"/>
      <c r="G80" s="21"/>
      <c r="H80" s="21"/>
      <c r="I80" s="21"/>
      <c r="J80" s="21"/>
      <c r="K80" s="21"/>
      <c r="L80" s="21"/>
      <c r="M80" s="21"/>
      <c r="N80" s="21"/>
      <c r="O80" s="20"/>
      <c r="Q80" s="500"/>
      <c r="R80" s="501"/>
      <c r="S80" s="500"/>
      <c r="T80" s="504"/>
      <c r="U80" s="504"/>
      <c r="V80" s="504"/>
      <c r="W80" s="504"/>
      <c r="X80" s="504"/>
      <c r="Y80" s="501"/>
      <c r="Z80" s="507"/>
    </row>
    <row r="81" spans="1:26" ht="15" customHeight="1" x14ac:dyDescent="0.3">
      <c r="A81" s="18"/>
      <c r="B81" s="21"/>
      <c r="C81" s="21"/>
      <c r="D81" s="21"/>
      <c r="E81" s="21"/>
      <c r="F81" s="21"/>
      <c r="G81" s="21"/>
      <c r="H81" s="21"/>
      <c r="I81" s="21"/>
      <c r="J81" s="21"/>
      <c r="K81" s="21"/>
      <c r="L81" s="21"/>
      <c r="M81" s="21"/>
      <c r="N81" s="21"/>
      <c r="O81" s="20"/>
      <c r="Q81" s="496" t="s">
        <v>2299</v>
      </c>
      <c r="R81" s="497"/>
      <c r="S81" s="496" t="s">
        <v>3088</v>
      </c>
      <c r="T81" s="502"/>
      <c r="U81" s="502"/>
      <c r="V81" s="502"/>
      <c r="W81" s="502"/>
      <c r="X81" s="502"/>
      <c r="Y81" s="497"/>
      <c r="Z81" s="505" t="s">
        <v>326</v>
      </c>
    </row>
    <row r="82" spans="1:26" x14ac:dyDescent="0.3">
      <c r="A82" s="18"/>
      <c r="B82" s="21"/>
      <c r="C82" s="21"/>
      <c r="D82" s="21"/>
      <c r="E82" s="21"/>
      <c r="F82" s="21"/>
      <c r="G82" s="21"/>
      <c r="H82" s="21"/>
      <c r="I82" s="21"/>
      <c r="J82" s="21"/>
      <c r="K82" s="21"/>
      <c r="L82" s="21"/>
      <c r="M82" s="21"/>
      <c r="N82" s="21"/>
      <c r="O82" s="20"/>
      <c r="Q82" s="498"/>
      <c r="R82" s="499"/>
      <c r="S82" s="498"/>
      <c r="T82" s="503"/>
      <c r="U82" s="503"/>
      <c r="V82" s="503"/>
      <c r="W82" s="503"/>
      <c r="X82" s="503"/>
      <c r="Y82" s="499"/>
      <c r="Z82" s="506"/>
    </row>
    <row r="83" spans="1:26" x14ac:dyDescent="0.3">
      <c r="A83" s="18"/>
      <c r="B83" s="21"/>
      <c r="C83" s="21"/>
      <c r="D83" s="21"/>
      <c r="E83" s="21"/>
      <c r="F83" s="21"/>
      <c r="G83" s="21"/>
      <c r="H83" s="21"/>
      <c r="I83" s="21"/>
      <c r="J83" s="21"/>
      <c r="K83" s="21"/>
      <c r="L83" s="21"/>
      <c r="M83" s="21"/>
      <c r="N83" s="21"/>
      <c r="O83" s="20"/>
      <c r="Q83" s="500"/>
      <c r="R83" s="501"/>
      <c r="S83" s="500"/>
      <c r="T83" s="504"/>
      <c r="U83" s="504"/>
      <c r="V83" s="504"/>
      <c r="W83" s="504"/>
      <c r="X83" s="504"/>
      <c r="Y83" s="501"/>
      <c r="Z83" s="507"/>
    </row>
    <row r="84" spans="1:26" x14ac:dyDescent="0.3">
      <c r="A84" s="18"/>
      <c r="B84" s="21"/>
      <c r="C84" s="21"/>
      <c r="D84" s="21"/>
      <c r="E84" s="21"/>
      <c r="F84" s="21"/>
      <c r="G84" s="21"/>
      <c r="H84" s="21"/>
      <c r="I84" s="21"/>
      <c r="J84" s="21"/>
      <c r="K84" s="21"/>
      <c r="L84" s="21"/>
      <c r="M84" s="21"/>
      <c r="N84" s="21"/>
      <c r="O84" s="20"/>
      <c r="Q84" s="126" t="s">
        <v>328</v>
      </c>
    </row>
    <row r="85" spans="1:26" x14ac:dyDescent="0.3">
      <c r="A85" s="18"/>
      <c r="B85" s="21"/>
      <c r="C85" s="21"/>
      <c r="D85" s="21"/>
      <c r="E85" s="21"/>
      <c r="F85" s="21"/>
      <c r="G85" s="21"/>
      <c r="H85" s="21"/>
      <c r="I85" s="21"/>
      <c r="J85" s="21"/>
      <c r="K85" s="21"/>
      <c r="L85" s="21"/>
      <c r="M85" s="21"/>
      <c r="N85" s="21"/>
      <c r="O85" s="20"/>
    </row>
    <row r="86" spans="1:26" x14ac:dyDescent="0.3">
      <c r="A86" s="18"/>
      <c r="B86" s="58" t="s">
        <v>3476</v>
      </c>
      <c r="C86" s="152" t="s">
        <v>3478</v>
      </c>
      <c r="D86" s="21"/>
      <c r="E86" s="21"/>
      <c r="F86" s="21"/>
      <c r="G86" s="21"/>
      <c r="H86" s="21"/>
      <c r="I86" s="21"/>
      <c r="J86" s="21"/>
      <c r="K86" s="21"/>
      <c r="L86" s="21"/>
      <c r="M86" s="21"/>
      <c r="N86" s="21"/>
      <c r="O86" s="20"/>
    </row>
    <row r="87" spans="1:26" x14ac:dyDescent="0.3">
      <c r="A87" s="18"/>
      <c r="B87" s="21"/>
      <c r="C87" s="21"/>
      <c r="D87" s="21"/>
      <c r="E87" s="21"/>
      <c r="F87" s="21"/>
      <c r="G87" s="21"/>
      <c r="H87" s="21"/>
      <c r="I87" s="21"/>
      <c r="J87" s="21"/>
      <c r="K87" s="21"/>
      <c r="L87" s="21"/>
      <c r="M87" s="21"/>
      <c r="N87" s="21"/>
      <c r="O87" s="20"/>
      <c r="Q87" s="486" t="s">
        <v>3479</v>
      </c>
      <c r="R87" s="486"/>
      <c r="S87" s="486"/>
      <c r="T87" s="486"/>
      <c r="U87" s="486"/>
      <c r="V87" s="486"/>
      <c r="W87" s="486"/>
      <c r="X87" s="486"/>
      <c r="Y87" s="486"/>
      <c r="Z87" s="486"/>
    </row>
    <row r="88" spans="1:26" x14ac:dyDescent="0.3">
      <c r="A88" s="18"/>
      <c r="B88" s="21"/>
      <c r="C88" s="21"/>
      <c r="D88" s="21"/>
      <c r="E88" s="21"/>
      <c r="F88" s="21"/>
      <c r="G88" s="21"/>
      <c r="H88" s="21"/>
      <c r="I88" s="21"/>
      <c r="J88" s="21"/>
      <c r="K88" s="21"/>
      <c r="L88" s="21"/>
      <c r="M88" s="21"/>
      <c r="N88" s="21"/>
      <c r="O88" s="20"/>
      <c r="Q88" s="487" t="s">
        <v>333</v>
      </c>
      <c r="R88" s="487"/>
      <c r="S88" s="487" t="s">
        <v>1265</v>
      </c>
      <c r="T88" s="487"/>
      <c r="U88" s="487"/>
      <c r="V88" s="487"/>
      <c r="W88" s="487"/>
      <c r="X88" s="487"/>
      <c r="Y88" s="487"/>
      <c r="Z88" s="487"/>
    </row>
    <row r="89" spans="1:26" x14ac:dyDescent="0.3">
      <c r="A89" s="18"/>
      <c r="B89" s="21"/>
      <c r="C89" s="21"/>
      <c r="D89" s="21"/>
      <c r="E89" s="21"/>
      <c r="F89" s="21"/>
      <c r="G89" s="21"/>
      <c r="H89" s="21"/>
      <c r="I89" s="21"/>
      <c r="J89" s="21"/>
      <c r="K89" s="21"/>
      <c r="L89" s="21"/>
      <c r="M89" s="21"/>
      <c r="N89" s="21"/>
      <c r="O89" s="20"/>
      <c r="Q89" s="487"/>
      <c r="R89" s="487"/>
      <c r="S89" s="487"/>
      <c r="T89" s="487"/>
      <c r="U89" s="487"/>
      <c r="V89" s="487"/>
      <c r="W89" s="487"/>
      <c r="X89" s="487"/>
      <c r="Y89" s="487"/>
      <c r="Z89" s="487"/>
    </row>
    <row r="90" spans="1:26" x14ac:dyDescent="0.3">
      <c r="A90" s="18"/>
      <c r="B90" s="21"/>
      <c r="C90" s="21"/>
      <c r="D90" s="21"/>
      <c r="E90" s="21"/>
      <c r="F90" s="21"/>
      <c r="G90" s="21"/>
      <c r="H90" s="21"/>
      <c r="I90" s="21"/>
      <c r="J90" s="21"/>
      <c r="K90" s="21"/>
      <c r="L90" s="21"/>
      <c r="M90" s="21"/>
      <c r="N90" s="21"/>
      <c r="O90" s="20"/>
      <c r="Q90" s="487"/>
      <c r="R90" s="487"/>
      <c r="S90" s="487"/>
      <c r="T90" s="487"/>
      <c r="U90" s="487"/>
      <c r="V90" s="487"/>
      <c r="W90" s="487"/>
      <c r="X90" s="487"/>
      <c r="Y90" s="487"/>
      <c r="Z90" s="487"/>
    </row>
    <row r="91" spans="1:26" x14ac:dyDescent="0.3">
      <c r="A91" s="18"/>
      <c r="B91" s="21"/>
      <c r="C91" s="21"/>
      <c r="D91" s="21"/>
      <c r="E91" s="21"/>
      <c r="F91" s="21"/>
      <c r="G91" s="21"/>
      <c r="H91" s="21"/>
      <c r="I91" s="21"/>
      <c r="J91" s="21"/>
      <c r="K91" s="21"/>
      <c r="L91" s="21"/>
      <c r="M91" s="21"/>
      <c r="N91" s="21"/>
      <c r="O91" s="20"/>
      <c r="Q91" s="483" t="s">
        <v>323</v>
      </c>
      <c r="R91" s="483"/>
      <c r="S91" s="483" t="s">
        <v>1</v>
      </c>
      <c r="T91" s="483"/>
      <c r="U91" s="483"/>
      <c r="V91" s="483"/>
      <c r="W91" s="483"/>
      <c r="X91" s="483"/>
      <c r="Y91" s="483"/>
      <c r="Z91" s="85" t="s">
        <v>324</v>
      </c>
    </row>
    <row r="92" spans="1:26" x14ac:dyDescent="0.3">
      <c r="A92" s="18"/>
      <c r="B92" s="21"/>
      <c r="C92" s="21"/>
      <c r="D92" s="21"/>
      <c r="E92" s="21"/>
      <c r="F92" s="21"/>
      <c r="G92" s="21"/>
      <c r="H92" s="21"/>
      <c r="I92" s="21"/>
      <c r="J92" s="21"/>
      <c r="K92" s="21"/>
      <c r="L92" s="21"/>
      <c r="M92" s="21"/>
      <c r="N92" s="21"/>
      <c r="O92" s="20"/>
      <c r="Q92" s="484" t="s">
        <v>1262</v>
      </c>
      <c r="R92" s="484"/>
      <c r="S92" s="484" t="s">
        <v>2505</v>
      </c>
      <c r="T92" s="484"/>
      <c r="U92" s="484"/>
      <c r="V92" s="484"/>
      <c r="W92" s="484"/>
      <c r="X92" s="484"/>
      <c r="Y92" s="484"/>
      <c r="Z92" s="485" t="s">
        <v>326</v>
      </c>
    </row>
    <row r="93" spans="1:26" x14ac:dyDescent="0.3">
      <c r="A93" s="18"/>
      <c r="B93" s="21"/>
      <c r="C93" s="21"/>
      <c r="D93" s="21"/>
      <c r="E93" s="21"/>
      <c r="F93" s="21"/>
      <c r="G93" s="21"/>
      <c r="H93" s="21"/>
      <c r="I93" s="21"/>
      <c r="J93" s="21"/>
      <c r="K93" s="21"/>
      <c r="L93" s="21"/>
      <c r="M93" s="21"/>
      <c r="N93" s="21"/>
      <c r="O93" s="20"/>
      <c r="Q93" s="484"/>
      <c r="R93" s="484"/>
      <c r="S93" s="484"/>
      <c r="T93" s="484"/>
      <c r="U93" s="484"/>
      <c r="V93" s="484"/>
      <c r="W93" s="484"/>
      <c r="X93" s="484"/>
      <c r="Y93" s="484"/>
      <c r="Z93" s="485"/>
    </row>
    <row r="94" spans="1:26" x14ac:dyDescent="0.3">
      <c r="A94" s="18"/>
      <c r="B94" s="21"/>
      <c r="C94" s="21"/>
      <c r="D94" s="21"/>
      <c r="E94" s="21"/>
      <c r="F94" s="21"/>
      <c r="G94" s="21"/>
      <c r="H94" s="21"/>
      <c r="I94" s="21"/>
      <c r="J94" s="21"/>
      <c r="K94" s="21"/>
      <c r="L94" s="21"/>
      <c r="M94" s="21"/>
      <c r="N94" s="21"/>
      <c r="O94" s="20"/>
      <c r="Q94" s="484"/>
      <c r="R94" s="484"/>
      <c r="S94" s="484"/>
      <c r="T94" s="484"/>
      <c r="U94" s="484"/>
      <c r="V94" s="484"/>
      <c r="W94" s="484"/>
      <c r="X94" s="484"/>
      <c r="Y94" s="484"/>
      <c r="Z94" s="485"/>
    </row>
    <row r="95" spans="1:26" x14ac:dyDescent="0.3">
      <c r="A95" s="18"/>
      <c r="B95" s="21"/>
      <c r="C95" s="21"/>
      <c r="D95" s="21"/>
      <c r="E95" s="21"/>
      <c r="F95" s="21"/>
      <c r="G95" s="21"/>
      <c r="H95" s="21"/>
      <c r="I95" s="21"/>
      <c r="J95" s="21"/>
      <c r="K95" s="21"/>
      <c r="L95" s="21"/>
      <c r="M95" s="21"/>
      <c r="N95" s="21"/>
      <c r="O95" s="20"/>
      <c r="Q95" s="484" t="s">
        <v>1263</v>
      </c>
      <c r="R95" s="484"/>
      <c r="S95" s="484" t="s">
        <v>2506</v>
      </c>
      <c r="T95" s="484"/>
      <c r="U95" s="484"/>
      <c r="V95" s="484"/>
      <c r="W95" s="484"/>
      <c r="X95" s="484"/>
      <c r="Y95" s="484"/>
      <c r="Z95" s="485" t="s">
        <v>326</v>
      </c>
    </row>
    <row r="96" spans="1:26" x14ac:dyDescent="0.3">
      <c r="A96" s="18"/>
      <c r="B96" s="21"/>
      <c r="C96" s="21"/>
      <c r="D96" s="21"/>
      <c r="E96" s="21"/>
      <c r="F96" s="21"/>
      <c r="G96" s="21"/>
      <c r="H96" s="21"/>
      <c r="I96" s="21"/>
      <c r="J96" s="21"/>
      <c r="K96" s="21"/>
      <c r="L96" s="21"/>
      <c r="M96" s="21"/>
      <c r="N96" s="21"/>
      <c r="O96" s="20"/>
      <c r="Q96" s="484"/>
      <c r="R96" s="484"/>
      <c r="S96" s="484"/>
      <c r="T96" s="484"/>
      <c r="U96" s="484"/>
      <c r="V96" s="484"/>
      <c r="W96" s="484"/>
      <c r="X96" s="484"/>
      <c r="Y96" s="484"/>
      <c r="Z96" s="485"/>
    </row>
    <row r="97" spans="1:26" x14ac:dyDescent="0.3">
      <c r="A97" s="18"/>
      <c r="B97" s="21"/>
      <c r="C97" s="21"/>
      <c r="D97" s="21"/>
      <c r="E97" s="21"/>
      <c r="F97" s="21"/>
      <c r="G97" s="21"/>
      <c r="H97" s="21"/>
      <c r="I97" s="21"/>
      <c r="J97" s="21"/>
      <c r="K97" s="21"/>
      <c r="L97" s="21"/>
      <c r="M97" s="21"/>
      <c r="N97" s="21"/>
      <c r="O97" s="20"/>
      <c r="Q97" s="484"/>
      <c r="R97" s="484"/>
      <c r="S97" s="484"/>
      <c r="T97" s="484"/>
      <c r="U97" s="484"/>
      <c r="V97" s="484"/>
      <c r="W97" s="484"/>
      <c r="X97" s="484"/>
      <c r="Y97" s="484"/>
      <c r="Z97" s="485"/>
    </row>
    <row r="98" spans="1:26" x14ac:dyDescent="0.3">
      <c r="A98" s="18"/>
      <c r="B98" s="21"/>
      <c r="C98" s="21"/>
      <c r="D98" s="21"/>
      <c r="E98" s="21"/>
      <c r="F98" s="21"/>
      <c r="G98" s="21"/>
      <c r="H98" s="21"/>
      <c r="I98" s="21"/>
      <c r="J98" s="21"/>
      <c r="K98" s="21"/>
      <c r="L98" s="21"/>
      <c r="M98" s="21"/>
      <c r="N98" s="21"/>
      <c r="O98" s="20"/>
      <c r="Q98" s="484" t="s">
        <v>616</v>
      </c>
      <c r="R98" s="484"/>
      <c r="S98" s="484" t="s">
        <v>1264</v>
      </c>
      <c r="T98" s="484"/>
      <c r="U98" s="484"/>
      <c r="V98" s="484"/>
      <c r="W98" s="484"/>
      <c r="X98" s="484"/>
      <c r="Y98" s="484"/>
      <c r="Z98" s="485" t="s">
        <v>326</v>
      </c>
    </row>
    <row r="99" spans="1:26" x14ac:dyDescent="0.3">
      <c r="A99" s="18"/>
      <c r="B99" s="58" t="s">
        <v>3479</v>
      </c>
      <c r="C99" s="152" t="s">
        <v>3480</v>
      </c>
      <c r="D99" s="21"/>
      <c r="E99" s="21"/>
      <c r="F99" s="21"/>
      <c r="G99" s="21"/>
      <c r="H99" s="21"/>
      <c r="I99" s="21"/>
      <c r="J99" s="21"/>
      <c r="K99" s="21"/>
      <c r="L99" s="21"/>
      <c r="M99" s="21"/>
      <c r="N99" s="21"/>
      <c r="O99" s="20"/>
      <c r="Q99" s="484"/>
      <c r="R99" s="484"/>
      <c r="S99" s="484"/>
      <c r="T99" s="484"/>
      <c r="U99" s="484"/>
      <c r="V99" s="484"/>
      <c r="W99" s="484"/>
      <c r="X99" s="484"/>
      <c r="Y99" s="484"/>
      <c r="Z99" s="485"/>
    </row>
    <row r="100" spans="1:26" x14ac:dyDescent="0.3">
      <c r="A100" s="18"/>
      <c r="B100" s="21"/>
      <c r="C100" s="21"/>
      <c r="D100" s="21"/>
      <c r="E100" s="21"/>
      <c r="F100" s="21"/>
      <c r="G100" s="21"/>
      <c r="H100" s="21"/>
      <c r="I100" s="21"/>
      <c r="J100" s="21"/>
      <c r="K100" s="21"/>
      <c r="L100" s="21"/>
      <c r="M100" s="21"/>
      <c r="N100" s="21"/>
      <c r="O100" s="20"/>
      <c r="Q100" s="484"/>
      <c r="R100" s="484"/>
      <c r="S100" s="484"/>
      <c r="T100" s="484"/>
      <c r="U100" s="484"/>
      <c r="V100" s="484"/>
      <c r="W100" s="484"/>
      <c r="X100" s="484"/>
      <c r="Y100" s="484"/>
      <c r="Z100" s="485"/>
    </row>
    <row r="101" spans="1:26" x14ac:dyDescent="0.3">
      <c r="A101" s="18"/>
      <c r="B101" s="21"/>
      <c r="C101" s="21"/>
      <c r="D101" s="21"/>
      <c r="E101" s="21"/>
      <c r="F101" s="21"/>
      <c r="G101" s="21"/>
      <c r="H101" s="21"/>
      <c r="I101" s="21"/>
      <c r="J101" s="21"/>
      <c r="K101" s="21"/>
      <c r="L101" s="21"/>
      <c r="M101" s="21"/>
      <c r="N101" s="21"/>
      <c r="O101" s="20"/>
      <c r="Q101" s="484" t="s">
        <v>1820</v>
      </c>
      <c r="R101" s="484"/>
      <c r="S101" s="484" t="s">
        <v>1821</v>
      </c>
      <c r="T101" s="484"/>
      <c r="U101" s="484"/>
      <c r="V101" s="484"/>
      <c r="W101" s="484"/>
      <c r="X101" s="484"/>
      <c r="Y101" s="484"/>
      <c r="Z101" s="485" t="s">
        <v>326</v>
      </c>
    </row>
    <row r="102" spans="1:26" x14ac:dyDescent="0.3">
      <c r="A102" s="18"/>
      <c r="B102" s="21"/>
      <c r="C102" s="21"/>
      <c r="D102" s="21"/>
      <c r="E102" s="21"/>
      <c r="F102" s="21"/>
      <c r="G102" s="21"/>
      <c r="H102" s="21"/>
      <c r="I102" s="21"/>
      <c r="J102" s="21"/>
      <c r="K102" s="21"/>
      <c r="L102" s="21"/>
      <c r="M102" s="21"/>
      <c r="N102" s="21"/>
      <c r="O102" s="20"/>
      <c r="Q102" s="484"/>
      <c r="R102" s="484"/>
      <c r="S102" s="484"/>
      <c r="T102" s="484"/>
      <c r="U102" s="484"/>
      <c r="V102" s="484"/>
      <c r="W102" s="484"/>
      <c r="X102" s="484"/>
      <c r="Y102" s="484"/>
      <c r="Z102" s="485"/>
    </row>
    <row r="103" spans="1:26" x14ac:dyDescent="0.3">
      <c r="A103" s="18"/>
      <c r="B103" s="21"/>
      <c r="C103" s="21"/>
      <c r="D103" s="21"/>
      <c r="E103" s="21"/>
      <c r="F103" s="21"/>
      <c r="G103" s="21"/>
      <c r="H103" s="21"/>
      <c r="I103" s="21"/>
      <c r="J103" s="21"/>
      <c r="K103" s="21"/>
      <c r="L103" s="21"/>
      <c r="M103" s="21"/>
      <c r="N103" s="21"/>
      <c r="O103" s="20"/>
      <c r="Q103" s="484"/>
      <c r="R103" s="484"/>
      <c r="S103" s="484"/>
      <c r="T103" s="484"/>
      <c r="U103" s="484"/>
      <c r="V103" s="484"/>
      <c r="W103" s="484"/>
      <c r="X103" s="484"/>
      <c r="Y103" s="484"/>
      <c r="Z103" s="485"/>
    </row>
    <row r="104" spans="1:26" x14ac:dyDescent="0.3">
      <c r="A104" s="18"/>
      <c r="B104" s="21"/>
      <c r="C104" s="21"/>
      <c r="D104" s="21"/>
      <c r="E104" s="21"/>
      <c r="F104" s="21"/>
      <c r="G104" s="21"/>
      <c r="H104" s="21"/>
      <c r="I104" s="21"/>
      <c r="J104" s="21"/>
      <c r="K104" s="21"/>
      <c r="L104" s="21"/>
      <c r="M104" s="21"/>
      <c r="N104" s="21"/>
      <c r="O104" s="20"/>
      <c r="Q104" s="126" t="s">
        <v>328</v>
      </c>
    </row>
    <row r="105" spans="1:26" x14ac:dyDescent="0.3">
      <c r="A105" s="18"/>
      <c r="B105" s="21"/>
      <c r="C105" s="21"/>
      <c r="D105" s="21"/>
      <c r="E105" s="21"/>
      <c r="F105" s="21"/>
      <c r="G105" s="21"/>
      <c r="H105" s="21"/>
      <c r="I105" s="21"/>
      <c r="J105" s="21"/>
      <c r="K105" s="21"/>
      <c r="L105" s="21"/>
      <c r="M105" s="21"/>
      <c r="N105" s="21"/>
      <c r="O105" s="20"/>
    </row>
    <row r="106" spans="1:26" x14ac:dyDescent="0.3">
      <c r="A106" s="18"/>
      <c r="B106" s="21"/>
      <c r="C106" s="21"/>
      <c r="D106" s="21"/>
      <c r="E106" s="21"/>
      <c r="F106" s="21"/>
      <c r="G106" s="21"/>
      <c r="H106" s="21"/>
      <c r="I106" s="21"/>
      <c r="J106" s="21"/>
      <c r="K106" s="21"/>
      <c r="L106" s="21"/>
      <c r="M106" s="21"/>
      <c r="N106" s="21"/>
      <c r="O106" s="20"/>
    </row>
    <row r="107" spans="1:26" x14ac:dyDescent="0.3">
      <c r="A107" s="18"/>
      <c r="B107" s="21"/>
      <c r="C107" s="21"/>
      <c r="D107" s="21"/>
      <c r="E107" s="21"/>
      <c r="F107" s="21"/>
      <c r="G107" s="21"/>
      <c r="H107" s="21"/>
      <c r="I107" s="21"/>
      <c r="J107" s="21"/>
      <c r="K107" s="21"/>
      <c r="L107" s="21"/>
      <c r="M107" s="21"/>
      <c r="N107" s="21"/>
      <c r="O107" s="20"/>
      <c r="Q107" s="486" t="s">
        <v>3481</v>
      </c>
      <c r="R107" s="486"/>
      <c r="S107" s="486"/>
      <c r="T107" s="486"/>
      <c r="U107" s="486"/>
      <c r="V107" s="486"/>
      <c r="W107" s="486"/>
      <c r="X107" s="486"/>
      <c r="Y107" s="486"/>
      <c r="Z107" s="486"/>
    </row>
    <row r="108" spans="1:26" x14ac:dyDescent="0.3">
      <c r="A108" s="18"/>
      <c r="B108" s="21"/>
      <c r="C108" s="21"/>
      <c r="D108" s="21"/>
      <c r="E108" s="21"/>
      <c r="F108" s="21"/>
      <c r="G108" s="21"/>
      <c r="H108" s="21"/>
      <c r="I108" s="21"/>
      <c r="J108" s="21"/>
      <c r="K108" s="21"/>
      <c r="L108" s="21"/>
      <c r="M108" s="21"/>
      <c r="N108" s="21"/>
      <c r="O108" s="20"/>
      <c r="Q108" s="487" t="s">
        <v>333</v>
      </c>
      <c r="R108" s="487"/>
      <c r="S108" s="487" t="s">
        <v>1381</v>
      </c>
      <c r="T108" s="487"/>
      <c r="U108" s="487"/>
      <c r="V108" s="487"/>
      <c r="W108" s="487"/>
      <c r="X108" s="487"/>
      <c r="Y108" s="487"/>
      <c r="Z108" s="487"/>
    </row>
    <row r="109" spans="1:26" x14ac:dyDescent="0.3">
      <c r="A109" s="18"/>
      <c r="B109" s="21"/>
      <c r="C109" s="21"/>
      <c r="D109" s="21"/>
      <c r="E109" s="21"/>
      <c r="F109" s="21"/>
      <c r="G109" s="21"/>
      <c r="H109" s="21"/>
      <c r="I109" s="21"/>
      <c r="J109" s="21"/>
      <c r="K109" s="21"/>
      <c r="L109" s="21"/>
      <c r="M109" s="21"/>
      <c r="N109" s="21"/>
      <c r="O109" s="20"/>
      <c r="Q109" s="487"/>
      <c r="R109" s="487"/>
      <c r="S109" s="487"/>
      <c r="T109" s="487"/>
      <c r="U109" s="487"/>
      <c r="V109" s="487"/>
      <c r="W109" s="487"/>
      <c r="X109" s="487"/>
      <c r="Y109" s="487"/>
      <c r="Z109" s="487"/>
    </row>
    <row r="110" spans="1:26" x14ac:dyDescent="0.3">
      <c r="A110" s="18"/>
      <c r="B110" s="85" t="s">
        <v>1374</v>
      </c>
      <c r="C110" s="181" t="s">
        <v>1375</v>
      </c>
      <c r="D110" s="21"/>
      <c r="E110" s="21"/>
      <c r="F110" s="21"/>
      <c r="G110" s="21"/>
      <c r="H110" s="21"/>
      <c r="I110" s="21"/>
      <c r="J110" s="21"/>
      <c r="K110" s="21"/>
      <c r="L110" s="21"/>
      <c r="M110" s="21"/>
      <c r="N110" s="21"/>
      <c r="O110" s="20"/>
      <c r="Q110" s="487"/>
      <c r="R110" s="487"/>
      <c r="S110" s="487"/>
      <c r="T110" s="487"/>
      <c r="U110" s="487"/>
      <c r="V110" s="487"/>
      <c r="W110" s="487"/>
      <c r="X110" s="487"/>
      <c r="Y110" s="487"/>
      <c r="Z110" s="487"/>
    </row>
    <row r="111" spans="1:26" x14ac:dyDescent="0.3">
      <c r="A111" s="18"/>
      <c r="B111" s="85" t="s">
        <v>1516</v>
      </c>
      <c r="C111" s="181" t="str" cm="1">
        <f t="array" ref="C111">"C:\DailyDownloads\EconData\"&amp;TEXT(_xll.U.TODAY(), "YYYY-MM-DD")</f>
        <v>C:\DailyDownloads\EconData\2026-05-03</v>
      </c>
      <c r="D111" s="21"/>
      <c r="E111" s="21"/>
      <c r="F111" s="21"/>
      <c r="G111" s="21"/>
      <c r="H111" s="21"/>
      <c r="I111" s="21"/>
      <c r="J111" s="21"/>
      <c r="K111" s="21"/>
      <c r="L111" s="21"/>
      <c r="M111" s="21"/>
      <c r="N111" s="21"/>
      <c r="O111" s="20"/>
      <c r="Q111" s="483" t="s">
        <v>323</v>
      </c>
      <c r="R111" s="483"/>
      <c r="S111" s="483" t="s">
        <v>1</v>
      </c>
      <c r="T111" s="483"/>
      <c r="U111" s="483"/>
      <c r="V111" s="483"/>
      <c r="W111" s="483"/>
      <c r="X111" s="483"/>
      <c r="Y111" s="483"/>
      <c r="Z111" s="85" t="s">
        <v>324</v>
      </c>
    </row>
    <row r="112" spans="1:26" x14ac:dyDescent="0.3">
      <c r="A112" s="18"/>
      <c r="B112" s="58" t="s">
        <v>3481</v>
      </c>
      <c r="C112" s="152" t="s">
        <v>3482</v>
      </c>
      <c r="D112" s="21"/>
      <c r="E112" s="21"/>
      <c r="F112" s="21"/>
      <c r="G112" s="21"/>
      <c r="H112" s="21"/>
      <c r="I112" s="21"/>
      <c r="J112" s="21"/>
      <c r="K112" s="21"/>
      <c r="L112" s="21"/>
      <c r="M112" s="21"/>
      <c r="N112" s="21"/>
      <c r="O112" s="20"/>
      <c r="Q112" s="488" t="s">
        <v>1370</v>
      </c>
      <c r="R112" s="488"/>
      <c r="S112" s="488" t="s">
        <v>2811</v>
      </c>
      <c r="T112" s="488"/>
      <c r="U112" s="488"/>
      <c r="V112" s="488"/>
      <c r="W112" s="488"/>
      <c r="X112" s="488"/>
      <c r="Y112" s="488"/>
      <c r="Z112" s="489" t="s">
        <v>325</v>
      </c>
    </row>
    <row r="113" spans="1:26" x14ac:dyDescent="0.3">
      <c r="A113" s="18"/>
      <c r="B113" s="21"/>
      <c r="C113" s="21"/>
      <c r="D113" s="21"/>
      <c r="E113" s="21"/>
      <c r="F113" s="21"/>
      <c r="G113" s="21"/>
      <c r="H113" s="21"/>
      <c r="I113" s="21"/>
      <c r="J113" s="21"/>
      <c r="K113" s="21"/>
      <c r="L113" s="21"/>
      <c r="M113" s="21"/>
      <c r="N113" s="21"/>
      <c r="O113" s="20"/>
      <c r="Q113" s="488"/>
      <c r="R113" s="488"/>
      <c r="S113" s="488"/>
      <c r="T113" s="488"/>
      <c r="U113" s="488"/>
      <c r="V113" s="488"/>
      <c r="W113" s="488"/>
      <c r="X113" s="488"/>
      <c r="Y113" s="488"/>
      <c r="Z113" s="489"/>
    </row>
    <row r="114" spans="1:26" x14ac:dyDescent="0.3">
      <c r="A114" s="18"/>
      <c r="B114" s="21"/>
      <c r="C114" s="21"/>
      <c r="D114" s="21"/>
      <c r="E114" s="21"/>
      <c r="F114" s="21"/>
      <c r="G114" s="21"/>
      <c r="H114" s="21"/>
      <c r="I114" s="21"/>
      <c r="J114" s="21"/>
      <c r="K114" s="21"/>
      <c r="L114" s="21"/>
      <c r="M114" s="21"/>
      <c r="N114" s="21"/>
      <c r="O114" s="20"/>
      <c r="Q114" s="488"/>
      <c r="R114" s="488"/>
      <c r="S114" s="488"/>
      <c r="T114" s="488"/>
      <c r="U114" s="488"/>
      <c r="V114" s="488"/>
      <c r="W114" s="488"/>
      <c r="X114" s="488"/>
      <c r="Y114" s="488"/>
      <c r="Z114" s="489"/>
    </row>
    <row r="115" spans="1:26" x14ac:dyDescent="0.3">
      <c r="A115" s="18"/>
      <c r="B115" s="21"/>
      <c r="C115" s="21"/>
      <c r="D115" s="21"/>
      <c r="E115" s="21"/>
      <c r="F115" s="21"/>
      <c r="G115" s="21"/>
      <c r="H115" s="21"/>
      <c r="I115" s="21"/>
      <c r="J115" s="21"/>
      <c r="K115" s="21"/>
      <c r="L115" s="21"/>
      <c r="M115" s="21"/>
      <c r="N115" s="21"/>
      <c r="O115" s="20"/>
      <c r="Q115" s="488" t="s">
        <v>1376</v>
      </c>
      <c r="R115" s="488"/>
      <c r="S115" s="488" t="s">
        <v>1382</v>
      </c>
      <c r="T115" s="488"/>
      <c r="U115" s="488"/>
      <c r="V115" s="488"/>
      <c r="W115" s="488"/>
      <c r="X115" s="488"/>
      <c r="Y115" s="488"/>
      <c r="Z115" s="489" t="s">
        <v>325</v>
      </c>
    </row>
    <row r="116" spans="1:26" x14ac:dyDescent="0.3">
      <c r="A116" s="18"/>
      <c r="B116" s="21"/>
      <c r="C116" s="21"/>
      <c r="D116" s="21"/>
      <c r="E116" s="21"/>
      <c r="F116" s="21"/>
      <c r="G116" s="21"/>
      <c r="H116" s="21"/>
      <c r="I116" s="21"/>
      <c r="J116" s="21"/>
      <c r="K116" s="21"/>
      <c r="L116" s="21"/>
      <c r="M116" s="21"/>
      <c r="N116" s="21"/>
      <c r="O116" s="20"/>
      <c r="Q116" s="488"/>
      <c r="R116" s="488"/>
      <c r="S116" s="488"/>
      <c r="T116" s="488"/>
      <c r="U116" s="488"/>
      <c r="V116" s="488"/>
      <c r="W116" s="488"/>
      <c r="X116" s="488"/>
      <c r="Y116" s="488"/>
      <c r="Z116" s="489"/>
    </row>
    <row r="117" spans="1:26" x14ac:dyDescent="0.3">
      <c r="A117" s="18"/>
      <c r="B117" s="21"/>
      <c r="C117" s="21"/>
      <c r="D117" s="21"/>
      <c r="E117" s="21"/>
      <c r="F117" s="21"/>
      <c r="G117" s="21"/>
      <c r="H117" s="21"/>
      <c r="I117" s="21"/>
      <c r="J117" s="21"/>
      <c r="K117" s="21"/>
      <c r="L117" s="21"/>
      <c r="M117" s="21"/>
      <c r="N117" s="21"/>
      <c r="O117" s="20"/>
      <c r="Q117" s="488"/>
      <c r="R117" s="488"/>
      <c r="S117" s="488"/>
      <c r="T117" s="488"/>
      <c r="U117" s="488"/>
      <c r="V117" s="488"/>
      <c r="W117" s="488"/>
      <c r="X117" s="488"/>
      <c r="Y117" s="488"/>
      <c r="Z117" s="489"/>
    </row>
    <row r="118" spans="1:26" x14ac:dyDescent="0.3">
      <c r="A118" s="18"/>
      <c r="B118" s="21"/>
      <c r="C118" s="21"/>
      <c r="D118" s="85" t="s">
        <v>2816</v>
      </c>
      <c r="E118" s="21"/>
      <c r="F118" s="21"/>
      <c r="G118" s="21"/>
      <c r="H118" s="21"/>
      <c r="I118" s="21"/>
      <c r="J118" s="21"/>
      <c r="K118" s="21"/>
      <c r="L118" s="21"/>
      <c r="M118" s="21"/>
      <c r="N118" s="21"/>
      <c r="O118" s="20"/>
      <c r="Q118" s="484" t="s">
        <v>1377</v>
      </c>
      <c r="R118" s="484"/>
      <c r="S118" s="484" t="s">
        <v>1383</v>
      </c>
      <c r="T118" s="484"/>
      <c r="U118" s="484"/>
      <c r="V118" s="484"/>
      <c r="W118" s="484"/>
      <c r="X118" s="484"/>
      <c r="Y118" s="484"/>
      <c r="Z118" s="485" t="s">
        <v>326</v>
      </c>
    </row>
    <row r="119" spans="1:26" x14ac:dyDescent="0.3">
      <c r="A119" s="18"/>
      <c r="B119" s="85" t="s">
        <v>2815</v>
      </c>
      <c r="C119" s="181" t="s">
        <v>2817</v>
      </c>
      <c r="D119" s="181" t="s">
        <v>2814</v>
      </c>
      <c r="E119" s="21"/>
      <c r="F119" s="21"/>
      <c r="G119" s="21"/>
      <c r="H119" s="21"/>
      <c r="I119" s="21"/>
      <c r="J119" s="21"/>
      <c r="K119" s="21"/>
      <c r="L119" s="21"/>
      <c r="M119" s="21"/>
      <c r="N119" s="21"/>
      <c r="O119" s="20"/>
      <c r="Q119" s="484"/>
      <c r="R119" s="484"/>
      <c r="S119" s="484"/>
      <c r="T119" s="484"/>
      <c r="U119" s="484"/>
      <c r="V119" s="484"/>
      <c r="W119" s="484"/>
      <c r="X119" s="484"/>
      <c r="Y119" s="484"/>
      <c r="Z119" s="485"/>
    </row>
    <row r="120" spans="1:26" x14ac:dyDescent="0.3">
      <c r="A120" s="18"/>
      <c r="B120" s="85" t="s">
        <v>2813</v>
      </c>
      <c r="C120" s="181" t="s">
        <v>2818</v>
      </c>
      <c r="D120" s="21"/>
      <c r="E120" s="21"/>
      <c r="F120" s="21"/>
      <c r="G120" s="21"/>
      <c r="H120" s="21"/>
      <c r="I120" s="21"/>
      <c r="J120" s="21"/>
      <c r="K120" s="21"/>
      <c r="L120" s="21"/>
      <c r="M120" s="21"/>
      <c r="N120" s="21"/>
      <c r="O120" s="20"/>
      <c r="Q120" s="484"/>
      <c r="R120" s="484"/>
      <c r="S120" s="484"/>
      <c r="T120" s="484"/>
      <c r="U120" s="484"/>
      <c r="V120" s="484"/>
      <c r="W120" s="484"/>
      <c r="X120" s="484"/>
      <c r="Y120" s="484"/>
      <c r="Z120" s="485"/>
    </row>
    <row r="121" spans="1:26" x14ac:dyDescent="0.3">
      <c r="A121" s="18"/>
      <c r="B121" s="85" t="s">
        <v>2812</v>
      </c>
      <c r="C121" s="181" t="b">
        <v>1</v>
      </c>
      <c r="D121" s="21"/>
      <c r="E121" s="21"/>
      <c r="F121" s="21"/>
      <c r="G121" s="21"/>
      <c r="H121" s="21"/>
      <c r="I121" s="21"/>
      <c r="J121" s="21"/>
      <c r="K121" s="21"/>
      <c r="L121" s="21"/>
      <c r="M121" s="21"/>
      <c r="N121" s="21"/>
      <c r="O121" s="20"/>
      <c r="Q121" s="484" t="s">
        <v>1378</v>
      </c>
      <c r="R121" s="484"/>
      <c r="S121" s="484" t="s">
        <v>3727</v>
      </c>
      <c r="T121" s="484"/>
      <c r="U121" s="484"/>
      <c r="V121" s="484"/>
      <c r="W121" s="484"/>
      <c r="X121" s="484"/>
      <c r="Y121" s="484"/>
      <c r="Z121" s="485" t="s">
        <v>326</v>
      </c>
    </row>
    <row r="122" spans="1:26" x14ac:dyDescent="0.3">
      <c r="A122" s="18"/>
      <c r="B122" s="58" t="s">
        <v>3481</v>
      </c>
      <c r="C122" s="150" t="s">
        <v>3483</v>
      </c>
      <c r="D122" s="21"/>
      <c r="E122" s="21"/>
      <c r="F122" s="21"/>
      <c r="G122" s="21"/>
      <c r="H122" s="21"/>
      <c r="I122" s="21"/>
      <c r="J122" s="21"/>
      <c r="K122" s="21"/>
      <c r="L122" s="21"/>
      <c r="M122" s="21"/>
      <c r="N122" s="21"/>
      <c r="O122" s="20"/>
      <c r="Q122" s="484"/>
      <c r="R122" s="484"/>
      <c r="S122" s="484"/>
      <c r="T122" s="484"/>
      <c r="U122" s="484"/>
      <c r="V122" s="484"/>
      <c r="W122" s="484"/>
      <c r="X122" s="484"/>
      <c r="Y122" s="484"/>
      <c r="Z122" s="485"/>
    </row>
    <row r="123" spans="1:26" x14ac:dyDescent="0.3">
      <c r="A123" s="18"/>
      <c r="B123" s="21"/>
      <c r="C123" s="21"/>
      <c r="E123" s="21"/>
      <c r="F123" s="21"/>
      <c r="G123" s="21"/>
      <c r="H123" s="21"/>
      <c r="I123" s="21"/>
      <c r="J123" s="21"/>
      <c r="K123" s="21"/>
      <c r="L123" s="21"/>
      <c r="M123" s="21"/>
      <c r="N123" s="21"/>
      <c r="O123" s="20"/>
      <c r="Q123" s="484"/>
      <c r="R123" s="484"/>
      <c r="S123" s="484"/>
      <c r="T123" s="484"/>
      <c r="U123" s="484"/>
      <c r="V123" s="484"/>
      <c r="W123" s="484"/>
      <c r="X123" s="484"/>
      <c r="Y123" s="484"/>
      <c r="Z123" s="485"/>
    </row>
    <row r="124" spans="1:26" x14ac:dyDescent="0.3">
      <c r="A124" s="18"/>
      <c r="B124" s="21"/>
      <c r="C124" s="21"/>
      <c r="D124" s="21"/>
      <c r="E124" s="21"/>
      <c r="F124" s="21"/>
      <c r="G124" s="21"/>
      <c r="H124" s="21"/>
      <c r="I124" s="21"/>
      <c r="J124" s="21"/>
      <c r="K124" s="21"/>
      <c r="L124" s="21"/>
      <c r="M124" s="21"/>
      <c r="N124" s="21"/>
      <c r="O124" s="20"/>
      <c r="Q124" s="484" t="s">
        <v>1379</v>
      </c>
      <c r="R124" s="484"/>
      <c r="S124" s="484" t="s">
        <v>1384</v>
      </c>
      <c r="T124" s="484"/>
      <c r="U124" s="484"/>
      <c r="V124" s="484"/>
      <c r="W124" s="484"/>
      <c r="X124" s="484"/>
      <c r="Y124" s="484"/>
      <c r="Z124" s="485" t="s">
        <v>326</v>
      </c>
    </row>
    <row r="125" spans="1:26" x14ac:dyDescent="0.3">
      <c r="A125" s="18"/>
      <c r="B125" s="21"/>
      <c r="C125" s="21"/>
      <c r="D125" s="21"/>
      <c r="E125" s="21"/>
      <c r="F125" s="21"/>
      <c r="G125" s="21"/>
      <c r="H125" s="21"/>
      <c r="I125" s="21"/>
      <c r="J125" s="21"/>
      <c r="K125" s="21"/>
      <c r="L125" s="21"/>
      <c r="M125" s="21"/>
      <c r="N125" s="21"/>
      <c r="O125" s="20"/>
      <c r="Q125" s="484"/>
      <c r="R125" s="484"/>
      <c r="S125" s="484"/>
      <c r="T125" s="484"/>
      <c r="U125" s="484"/>
      <c r="V125" s="484"/>
      <c r="W125" s="484"/>
      <c r="X125" s="484"/>
      <c r="Y125" s="484"/>
      <c r="Z125" s="485"/>
    </row>
    <row r="126" spans="1:26" x14ac:dyDescent="0.3">
      <c r="A126" s="18"/>
      <c r="B126" s="21"/>
      <c r="C126" s="21"/>
      <c r="D126" s="21"/>
      <c r="E126" s="21"/>
      <c r="F126" s="21"/>
      <c r="G126" s="21"/>
      <c r="H126" s="21"/>
      <c r="I126" s="21"/>
      <c r="J126" s="21"/>
      <c r="K126" s="21"/>
      <c r="L126" s="21"/>
      <c r="M126" s="21"/>
      <c r="N126" s="21"/>
      <c r="O126" s="20"/>
      <c r="Q126" s="484"/>
      <c r="R126" s="484"/>
      <c r="S126" s="484"/>
      <c r="T126" s="484"/>
      <c r="U126" s="484"/>
      <c r="V126" s="484"/>
      <c r="W126" s="484"/>
      <c r="X126" s="484"/>
      <c r="Y126" s="484"/>
      <c r="Z126" s="485"/>
    </row>
    <row r="127" spans="1:26" x14ac:dyDescent="0.3">
      <c r="A127" s="18"/>
      <c r="B127" s="21"/>
      <c r="C127" s="21"/>
      <c r="D127" s="21"/>
      <c r="E127" s="21"/>
      <c r="F127" s="21"/>
      <c r="G127" s="21"/>
      <c r="H127" s="21"/>
      <c r="I127" s="21"/>
      <c r="J127" s="21"/>
      <c r="K127" s="21"/>
      <c r="L127" s="21"/>
      <c r="M127" s="21"/>
      <c r="N127" s="21"/>
      <c r="O127" s="20"/>
      <c r="Q127" s="484" t="s">
        <v>1380</v>
      </c>
      <c r="R127" s="484"/>
      <c r="S127" s="484" t="s">
        <v>3728</v>
      </c>
      <c r="T127" s="484"/>
      <c r="U127" s="484"/>
      <c r="V127" s="484"/>
      <c r="W127" s="484"/>
      <c r="X127" s="484"/>
      <c r="Y127" s="484"/>
      <c r="Z127" s="485" t="s">
        <v>326</v>
      </c>
    </row>
    <row r="128" spans="1:26" x14ac:dyDescent="0.3">
      <c r="A128" s="18"/>
      <c r="B128" s="21"/>
      <c r="C128" s="21"/>
      <c r="D128" s="21"/>
      <c r="E128" s="21"/>
      <c r="F128" s="21"/>
      <c r="G128" s="21"/>
      <c r="H128" s="21"/>
      <c r="I128" s="21"/>
      <c r="J128" s="21"/>
      <c r="K128" s="21"/>
      <c r="L128" s="21"/>
      <c r="M128" s="21"/>
      <c r="N128" s="21"/>
      <c r="O128" s="20"/>
      <c r="Q128" s="484"/>
      <c r="R128" s="484"/>
      <c r="S128" s="484"/>
      <c r="T128" s="484"/>
      <c r="U128" s="484"/>
      <c r="V128" s="484"/>
      <c r="W128" s="484"/>
      <c r="X128" s="484"/>
      <c r="Y128" s="484"/>
      <c r="Z128" s="485"/>
    </row>
    <row r="129" spans="1:26" x14ac:dyDescent="0.3">
      <c r="A129" s="18"/>
      <c r="B129" s="21"/>
      <c r="C129" s="21"/>
      <c r="D129" s="21"/>
      <c r="E129" s="21"/>
      <c r="F129" s="21"/>
      <c r="G129" s="21"/>
      <c r="H129" s="21"/>
      <c r="I129" s="21"/>
      <c r="J129" s="21"/>
      <c r="K129" s="21"/>
      <c r="L129" s="21"/>
      <c r="M129" s="21"/>
      <c r="N129" s="21"/>
      <c r="O129" s="20"/>
      <c r="Q129" s="484"/>
      <c r="R129" s="484"/>
      <c r="S129" s="484"/>
      <c r="T129" s="484"/>
      <c r="U129" s="484"/>
      <c r="V129" s="484"/>
      <c r="W129" s="484"/>
      <c r="X129" s="484"/>
      <c r="Y129" s="484"/>
      <c r="Z129" s="485"/>
    </row>
    <row r="130" spans="1:26" ht="15" customHeight="1" x14ac:dyDescent="0.3">
      <c r="A130" s="18"/>
      <c r="B130" s="21"/>
      <c r="C130" s="21"/>
      <c r="D130" s="21"/>
      <c r="E130" s="21"/>
      <c r="F130" s="21"/>
      <c r="G130" s="21"/>
      <c r="H130" s="21"/>
      <c r="I130" s="21"/>
      <c r="J130" s="21"/>
      <c r="K130" s="21"/>
      <c r="L130" s="21"/>
      <c r="M130" s="21"/>
      <c r="N130" s="21"/>
      <c r="O130" s="20"/>
      <c r="Q130" s="496" t="s">
        <v>2299</v>
      </c>
      <c r="R130" s="497"/>
      <c r="S130" s="496" t="s">
        <v>3088</v>
      </c>
      <c r="T130" s="502"/>
      <c r="U130" s="502"/>
      <c r="V130" s="502"/>
      <c r="W130" s="502"/>
      <c r="X130" s="502"/>
      <c r="Y130" s="497"/>
      <c r="Z130" s="505" t="s">
        <v>326</v>
      </c>
    </row>
    <row r="131" spans="1:26" x14ac:dyDescent="0.3">
      <c r="A131" s="18"/>
      <c r="B131" s="21"/>
      <c r="C131" s="21"/>
      <c r="D131" s="21"/>
      <c r="E131" s="21"/>
      <c r="F131" s="21"/>
      <c r="G131" s="21"/>
      <c r="H131" s="21"/>
      <c r="I131" s="21"/>
      <c r="J131" s="21"/>
      <c r="K131" s="21"/>
      <c r="L131" s="21"/>
      <c r="M131" s="21"/>
      <c r="N131" s="21"/>
      <c r="O131" s="20"/>
      <c r="Q131" s="498"/>
      <c r="R131" s="499"/>
      <c r="S131" s="498"/>
      <c r="T131" s="503"/>
      <c r="U131" s="503"/>
      <c r="V131" s="503"/>
      <c r="W131" s="503"/>
      <c r="X131" s="503"/>
      <c r="Y131" s="499"/>
      <c r="Z131" s="506"/>
    </row>
    <row r="132" spans="1:26" x14ac:dyDescent="0.3">
      <c r="A132" s="18"/>
      <c r="B132" s="21"/>
      <c r="C132" s="21"/>
      <c r="D132" s="21"/>
      <c r="E132" s="21"/>
      <c r="F132" s="21"/>
      <c r="G132" s="21"/>
      <c r="H132" s="21"/>
      <c r="I132" s="21"/>
      <c r="J132" s="21"/>
      <c r="K132" s="21"/>
      <c r="L132" s="21"/>
      <c r="M132" s="21"/>
      <c r="N132" s="21"/>
      <c r="O132" s="20"/>
      <c r="Q132" s="500"/>
      <c r="R132" s="501"/>
      <c r="S132" s="500"/>
      <c r="T132" s="504"/>
      <c r="U132" s="504"/>
      <c r="V132" s="504"/>
      <c r="W132" s="504"/>
      <c r="X132" s="504"/>
      <c r="Y132" s="501"/>
      <c r="Z132" s="507"/>
    </row>
    <row r="133" spans="1:26" x14ac:dyDescent="0.3">
      <c r="A133" s="18"/>
      <c r="B133" s="21"/>
      <c r="C133" s="21"/>
      <c r="D133" s="21"/>
      <c r="E133" s="21"/>
      <c r="F133" s="21"/>
      <c r="G133" s="21"/>
      <c r="H133" s="21"/>
      <c r="I133" s="21"/>
      <c r="J133" s="21"/>
      <c r="K133" s="21"/>
      <c r="L133" s="21"/>
      <c r="M133" s="21"/>
      <c r="N133" s="21"/>
      <c r="O133" s="20"/>
      <c r="Q133" s="126" t="s">
        <v>328</v>
      </c>
    </row>
    <row r="134" spans="1:26" x14ac:dyDescent="0.3">
      <c r="A134" s="18"/>
      <c r="B134" s="21"/>
      <c r="C134" s="21"/>
      <c r="D134" s="21"/>
      <c r="E134" s="21"/>
      <c r="F134" s="21"/>
      <c r="G134" s="21"/>
      <c r="H134" s="21"/>
      <c r="I134" s="21"/>
      <c r="J134" s="21"/>
      <c r="K134" s="21"/>
      <c r="L134" s="21"/>
      <c r="M134" s="21"/>
      <c r="N134" s="21"/>
      <c r="O134" s="20"/>
    </row>
    <row r="135" spans="1:26" x14ac:dyDescent="0.3">
      <c r="A135" s="18"/>
      <c r="B135" s="21"/>
      <c r="C135" s="21"/>
      <c r="D135" s="21"/>
      <c r="E135" s="21"/>
      <c r="F135" s="21"/>
      <c r="G135" s="21"/>
      <c r="H135" s="21"/>
      <c r="I135" s="21"/>
      <c r="J135" s="21"/>
      <c r="K135" s="21"/>
      <c r="L135" s="21"/>
      <c r="M135" s="21"/>
      <c r="N135" s="21"/>
      <c r="O135" s="20"/>
    </row>
    <row r="136" spans="1:26" x14ac:dyDescent="0.3">
      <c r="A136" s="18"/>
      <c r="B136" s="21"/>
      <c r="C136" s="21"/>
      <c r="D136" s="21"/>
      <c r="E136" s="21"/>
      <c r="F136" s="21"/>
      <c r="G136" s="21"/>
      <c r="H136" s="21"/>
      <c r="I136" s="21"/>
      <c r="J136" s="21"/>
      <c r="K136" s="21"/>
      <c r="L136" s="21"/>
      <c r="M136" s="21"/>
      <c r="N136" s="21"/>
      <c r="O136" s="20"/>
      <c r="Q136" s="486" t="s">
        <v>3484</v>
      </c>
      <c r="R136" s="486"/>
      <c r="S136" s="486"/>
      <c r="T136" s="486"/>
      <c r="U136" s="486"/>
      <c r="V136" s="486"/>
      <c r="W136" s="486"/>
      <c r="X136" s="486"/>
      <c r="Y136" s="486"/>
      <c r="Z136" s="486"/>
    </row>
    <row r="137" spans="1:26" x14ac:dyDescent="0.3">
      <c r="A137" s="18"/>
      <c r="B137" s="21"/>
      <c r="C137" s="21"/>
      <c r="D137" s="21"/>
      <c r="E137" s="21"/>
      <c r="F137" s="21"/>
      <c r="G137" s="21"/>
      <c r="H137" s="21"/>
      <c r="I137" s="21"/>
      <c r="J137" s="21"/>
      <c r="K137" s="21"/>
      <c r="L137" s="21"/>
      <c r="M137" s="21"/>
      <c r="N137" s="21"/>
      <c r="O137" s="20"/>
      <c r="Q137" s="487" t="s">
        <v>333</v>
      </c>
      <c r="R137" s="487"/>
      <c r="S137" s="487" t="s">
        <v>681</v>
      </c>
      <c r="T137" s="487"/>
      <c r="U137" s="487"/>
      <c r="V137" s="487"/>
      <c r="W137" s="487"/>
      <c r="X137" s="487"/>
      <c r="Y137" s="487"/>
      <c r="Z137" s="487"/>
    </row>
    <row r="138" spans="1:26" x14ac:dyDescent="0.3">
      <c r="A138" s="18"/>
      <c r="B138" s="21"/>
      <c r="C138" s="21"/>
      <c r="D138" s="21"/>
      <c r="E138" s="21"/>
      <c r="F138" s="21"/>
      <c r="G138" s="21"/>
      <c r="H138" s="21"/>
      <c r="I138" s="21"/>
      <c r="J138" s="21"/>
      <c r="K138" s="21"/>
      <c r="L138" s="21"/>
      <c r="M138" s="21"/>
      <c r="N138" s="21"/>
      <c r="O138" s="20"/>
      <c r="Q138" s="487"/>
      <c r="R138" s="487"/>
      <c r="S138" s="487"/>
      <c r="T138" s="487"/>
      <c r="U138" s="487"/>
      <c r="V138" s="487"/>
      <c r="W138" s="487"/>
      <c r="X138" s="487"/>
      <c r="Y138" s="487"/>
      <c r="Z138" s="487"/>
    </row>
    <row r="139" spans="1:26" x14ac:dyDescent="0.3">
      <c r="A139" s="18"/>
      <c r="B139" s="21"/>
      <c r="C139" s="21"/>
      <c r="D139" s="21"/>
      <c r="E139" s="21"/>
      <c r="F139" s="21"/>
      <c r="G139" s="21"/>
      <c r="H139" s="21"/>
      <c r="I139" s="21"/>
      <c r="J139" s="21"/>
      <c r="K139" s="21"/>
      <c r="L139" s="21"/>
      <c r="M139" s="21"/>
      <c r="N139" s="21"/>
      <c r="O139" s="20"/>
      <c r="Q139" s="487"/>
      <c r="R139" s="487"/>
      <c r="S139" s="487"/>
      <c r="T139" s="487"/>
      <c r="U139" s="487"/>
      <c r="V139" s="487"/>
      <c r="W139" s="487"/>
      <c r="X139" s="487"/>
      <c r="Y139" s="487"/>
      <c r="Z139" s="487"/>
    </row>
    <row r="140" spans="1:26" x14ac:dyDescent="0.3">
      <c r="A140" s="18"/>
      <c r="B140" s="21"/>
      <c r="C140" s="21"/>
      <c r="D140" s="21"/>
      <c r="E140" s="21"/>
      <c r="F140" s="21"/>
      <c r="G140" s="21"/>
      <c r="H140" s="21"/>
      <c r="I140" s="21"/>
      <c r="J140" s="21"/>
      <c r="K140" s="21"/>
      <c r="L140" s="21"/>
      <c r="M140" s="21"/>
      <c r="N140" s="21"/>
      <c r="O140" s="20"/>
      <c r="Q140" s="483" t="s">
        <v>323</v>
      </c>
      <c r="R140" s="483"/>
      <c r="S140" s="483" t="s">
        <v>1</v>
      </c>
      <c r="T140" s="483"/>
      <c r="U140" s="483"/>
      <c r="V140" s="483"/>
      <c r="W140" s="483"/>
      <c r="X140" s="483"/>
      <c r="Y140" s="483"/>
      <c r="Z140" s="85" t="s">
        <v>324</v>
      </c>
    </row>
    <row r="141" spans="1:26" x14ac:dyDescent="0.3">
      <c r="A141" s="18"/>
      <c r="B141" s="21"/>
      <c r="C141" s="21"/>
      <c r="D141" s="21"/>
      <c r="E141" s="21"/>
      <c r="F141" s="21"/>
      <c r="G141" s="21"/>
      <c r="H141" s="21"/>
      <c r="I141" s="21"/>
      <c r="J141" s="21"/>
      <c r="K141" s="21"/>
      <c r="L141" s="21"/>
      <c r="M141" s="21"/>
      <c r="N141" s="21"/>
      <c r="O141" s="20"/>
      <c r="Q141" s="484" t="s">
        <v>683</v>
      </c>
      <c r="R141" s="484"/>
      <c r="S141" s="484" t="s">
        <v>3860</v>
      </c>
      <c r="T141" s="484"/>
      <c r="U141" s="484"/>
      <c r="V141" s="484"/>
      <c r="W141" s="484"/>
      <c r="X141" s="484"/>
      <c r="Y141" s="484"/>
      <c r="Z141" s="485" t="s">
        <v>326</v>
      </c>
    </row>
    <row r="142" spans="1:26" x14ac:dyDescent="0.3">
      <c r="A142" s="18"/>
      <c r="B142" s="21"/>
      <c r="C142" s="21"/>
      <c r="D142" s="21"/>
      <c r="E142" s="21"/>
      <c r="F142" s="21"/>
      <c r="G142" s="21"/>
      <c r="H142" s="21"/>
      <c r="I142" s="21"/>
      <c r="J142" s="21"/>
      <c r="K142" s="21"/>
      <c r="L142" s="21"/>
      <c r="M142" s="21"/>
      <c r="N142" s="21"/>
      <c r="O142" s="20"/>
      <c r="Q142" s="484"/>
      <c r="R142" s="484"/>
      <c r="S142" s="484"/>
      <c r="T142" s="484"/>
      <c r="U142" s="484"/>
      <c r="V142" s="484"/>
      <c r="W142" s="484"/>
      <c r="X142" s="484"/>
      <c r="Y142" s="484"/>
      <c r="Z142" s="485"/>
    </row>
    <row r="143" spans="1:26" x14ac:dyDescent="0.3">
      <c r="A143" s="18"/>
      <c r="B143" s="21"/>
      <c r="C143" s="21"/>
      <c r="D143" s="21"/>
      <c r="E143" s="21"/>
      <c r="F143" s="21"/>
      <c r="G143" s="21"/>
      <c r="H143" s="21"/>
      <c r="I143" s="21"/>
      <c r="J143" s="21"/>
      <c r="K143" s="21"/>
      <c r="L143" s="21"/>
      <c r="M143" s="21"/>
      <c r="N143" s="21"/>
      <c r="O143" s="20"/>
      <c r="Q143" s="484"/>
      <c r="R143" s="484"/>
      <c r="S143" s="484"/>
      <c r="T143" s="484"/>
      <c r="U143" s="484"/>
      <c r="V143" s="484"/>
      <c r="W143" s="484"/>
      <c r="X143" s="484"/>
      <c r="Y143" s="484"/>
      <c r="Z143" s="485"/>
    </row>
    <row r="144" spans="1:26" x14ac:dyDescent="0.3">
      <c r="A144" s="18"/>
      <c r="B144" s="21"/>
      <c r="C144" s="21"/>
      <c r="D144" s="21"/>
      <c r="E144" s="21"/>
      <c r="F144" s="21"/>
      <c r="G144" s="21"/>
      <c r="H144" s="21"/>
      <c r="I144" s="21"/>
      <c r="J144" s="21"/>
      <c r="K144" s="21"/>
      <c r="L144" s="21"/>
      <c r="M144" s="21"/>
      <c r="N144" s="21"/>
      <c r="O144" s="20"/>
      <c r="Q144" s="484" t="s">
        <v>615</v>
      </c>
      <c r="R144" s="484"/>
      <c r="S144" s="484" t="s">
        <v>1258</v>
      </c>
      <c r="T144" s="484"/>
      <c r="U144" s="484"/>
      <c r="V144" s="484"/>
      <c r="W144" s="484"/>
      <c r="X144" s="484"/>
      <c r="Y144" s="484"/>
      <c r="Z144" s="485" t="s">
        <v>326</v>
      </c>
    </row>
    <row r="145" spans="1:26" x14ac:dyDescent="0.3">
      <c r="A145" s="18"/>
      <c r="B145" s="21"/>
      <c r="C145" s="21"/>
      <c r="D145" s="21"/>
      <c r="E145" s="21"/>
      <c r="F145" s="21"/>
      <c r="G145" s="21"/>
      <c r="H145" s="21"/>
      <c r="I145" s="21"/>
      <c r="J145" s="21"/>
      <c r="K145" s="21"/>
      <c r="L145" s="21"/>
      <c r="M145" s="21"/>
      <c r="N145" s="21"/>
      <c r="O145" s="20"/>
      <c r="Q145" s="484"/>
      <c r="R145" s="484"/>
      <c r="S145" s="484"/>
      <c r="T145" s="484"/>
      <c r="U145" s="484"/>
      <c r="V145" s="484"/>
      <c r="W145" s="484"/>
      <c r="X145" s="484"/>
      <c r="Y145" s="484"/>
      <c r="Z145" s="485"/>
    </row>
    <row r="146" spans="1:26" x14ac:dyDescent="0.3">
      <c r="A146" s="18"/>
      <c r="B146" s="21"/>
      <c r="C146" s="21"/>
      <c r="D146" s="21"/>
      <c r="E146" s="21"/>
      <c r="F146" s="21"/>
      <c r="G146" s="21"/>
      <c r="H146" s="21"/>
      <c r="I146" s="21"/>
      <c r="J146" s="21"/>
      <c r="K146" s="21"/>
      <c r="L146" s="21"/>
      <c r="M146" s="21"/>
      <c r="N146" s="21"/>
      <c r="O146" s="20"/>
      <c r="Q146" s="484"/>
      <c r="R146" s="484"/>
      <c r="S146" s="484"/>
      <c r="T146" s="484"/>
      <c r="U146" s="484"/>
      <c r="V146" s="484"/>
      <c r="W146" s="484"/>
      <c r="X146" s="484"/>
      <c r="Y146" s="484"/>
      <c r="Z146" s="485"/>
    </row>
    <row r="147" spans="1:26" ht="15" customHeight="1" x14ac:dyDescent="0.3">
      <c r="A147" s="18"/>
      <c r="B147" s="21"/>
      <c r="C147" s="21"/>
      <c r="D147" s="21"/>
      <c r="E147" s="21"/>
      <c r="F147" s="21"/>
      <c r="G147" s="21"/>
      <c r="H147" s="21"/>
      <c r="I147" s="21"/>
      <c r="J147" s="21"/>
      <c r="K147" s="21"/>
      <c r="L147" s="21"/>
      <c r="M147" s="21"/>
      <c r="N147" s="21"/>
      <c r="O147" s="20"/>
      <c r="Q147" s="496" t="s">
        <v>2299</v>
      </c>
      <c r="R147" s="497"/>
      <c r="S147" s="496" t="s">
        <v>3088</v>
      </c>
      <c r="T147" s="502"/>
      <c r="U147" s="502"/>
      <c r="V147" s="502"/>
      <c r="W147" s="502"/>
      <c r="X147" s="502"/>
      <c r="Y147" s="497"/>
      <c r="Z147" s="505" t="s">
        <v>326</v>
      </c>
    </row>
    <row r="148" spans="1:26" x14ac:dyDescent="0.3">
      <c r="A148" s="18"/>
      <c r="B148" s="21"/>
      <c r="C148" s="21"/>
      <c r="D148" s="21"/>
      <c r="E148" s="21"/>
      <c r="F148" s="21"/>
      <c r="G148" s="21"/>
      <c r="H148" s="21"/>
      <c r="I148" s="21"/>
      <c r="J148" s="21"/>
      <c r="K148" s="21"/>
      <c r="L148" s="21"/>
      <c r="M148" s="21"/>
      <c r="N148" s="21"/>
      <c r="O148" s="20"/>
      <c r="Q148" s="498"/>
      <c r="R148" s="499"/>
      <c r="S148" s="498"/>
      <c r="T148" s="503"/>
      <c r="U148" s="503"/>
      <c r="V148" s="503"/>
      <c r="W148" s="503"/>
      <c r="X148" s="503"/>
      <c r="Y148" s="499"/>
      <c r="Z148" s="506"/>
    </row>
    <row r="149" spans="1:26" x14ac:dyDescent="0.3">
      <c r="A149" s="18"/>
      <c r="B149" s="21"/>
      <c r="C149" s="21"/>
      <c r="D149" s="21"/>
      <c r="E149" s="21"/>
      <c r="F149" s="21"/>
      <c r="G149" s="21"/>
      <c r="H149" s="21"/>
      <c r="I149" s="21"/>
      <c r="J149" s="21"/>
      <c r="K149" s="21"/>
      <c r="L149" s="21"/>
      <c r="M149" s="21"/>
      <c r="N149" s="21"/>
      <c r="O149" s="20"/>
      <c r="Q149" s="500"/>
      <c r="R149" s="501"/>
      <c r="S149" s="500"/>
      <c r="T149" s="504"/>
      <c r="U149" s="504"/>
      <c r="V149" s="504"/>
      <c r="W149" s="504"/>
      <c r="X149" s="504"/>
      <c r="Y149" s="501"/>
      <c r="Z149" s="507"/>
    </row>
    <row r="150" spans="1:26" x14ac:dyDescent="0.3">
      <c r="A150" s="18"/>
      <c r="B150" s="21"/>
      <c r="C150" s="21"/>
      <c r="D150" s="21"/>
      <c r="E150" s="21"/>
      <c r="F150" s="21"/>
      <c r="G150" s="21"/>
      <c r="H150" s="21"/>
      <c r="I150" s="21"/>
      <c r="J150" s="21"/>
      <c r="K150" s="21"/>
      <c r="L150" s="21"/>
      <c r="M150" s="21"/>
      <c r="N150" s="21"/>
      <c r="O150" s="20"/>
      <c r="Q150" s="126" t="s">
        <v>328</v>
      </c>
    </row>
    <row r="151" spans="1:26" x14ac:dyDescent="0.3">
      <c r="A151" s="18"/>
      <c r="B151" s="21"/>
      <c r="C151" s="21"/>
      <c r="D151" s="21"/>
      <c r="E151" s="21"/>
      <c r="F151" s="21"/>
      <c r="G151" s="21"/>
      <c r="H151" s="21"/>
      <c r="I151" s="21"/>
      <c r="J151" s="21"/>
      <c r="K151" s="21"/>
      <c r="L151" s="21"/>
      <c r="M151" s="21"/>
      <c r="N151" s="21"/>
      <c r="O151" s="20"/>
    </row>
    <row r="152" spans="1:26" x14ac:dyDescent="0.3">
      <c r="A152" s="18"/>
      <c r="B152" s="58" t="s">
        <v>3484</v>
      </c>
      <c r="C152" s="152" t="s">
        <v>3485</v>
      </c>
      <c r="D152" s="21"/>
      <c r="E152" s="21"/>
      <c r="F152" s="21"/>
      <c r="G152" s="21"/>
      <c r="H152" s="21"/>
      <c r="I152" s="21"/>
      <c r="J152" s="21"/>
      <c r="K152" s="21"/>
      <c r="L152" s="21"/>
      <c r="M152" s="21"/>
      <c r="N152" s="21"/>
      <c r="O152" s="20"/>
    </row>
    <row r="153" spans="1:26" x14ac:dyDescent="0.3">
      <c r="A153" s="18"/>
      <c r="B153" s="21"/>
      <c r="C153" s="21"/>
      <c r="D153" s="21"/>
      <c r="E153" s="21"/>
      <c r="F153" s="21"/>
      <c r="G153" s="21"/>
      <c r="H153" s="21"/>
      <c r="I153" s="21"/>
      <c r="J153" s="21"/>
      <c r="K153" s="21"/>
      <c r="L153" s="21"/>
      <c r="M153" s="21"/>
      <c r="N153" s="21"/>
      <c r="O153" s="20"/>
      <c r="Q153" s="486" t="s">
        <v>3706</v>
      </c>
      <c r="R153" s="486"/>
      <c r="S153" s="486"/>
      <c r="T153" s="486"/>
      <c r="U153" s="486"/>
      <c r="V153" s="486"/>
      <c r="W153" s="486"/>
      <c r="X153" s="486"/>
      <c r="Y153" s="486"/>
      <c r="Z153" s="486"/>
    </row>
    <row r="154" spans="1:26" x14ac:dyDescent="0.3">
      <c r="A154" s="18"/>
      <c r="B154" s="21"/>
      <c r="C154" s="21"/>
      <c r="D154" s="21"/>
      <c r="E154" s="21"/>
      <c r="F154" s="21"/>
      <c r="G154" s="21"/>
      <c r="H154" s="21"/>
      <c r="I154" s="21"/>
      <c r="J154" s="21"/>
      <c r="K154" s="21"/>
      <c r="L154" s="21"/>
      <c r="M154" s="21"/>
      <c r="N154" s="21"/>
      <c r="O154" s="20"/>
      <c r="Q154" s="487" t="s">
        <v>333</v>
      </c>
      <c r="R154" s="487"/>
      <c r="S154" s="487" t="s">
        <v>3711</v>
      </c>
      <c r="T154" s="487"/>
      <c r="U154" s="487"/>
      <c r="V154" s="487"/>
      <c r="W154" s="487"/>
      <c r="X154" s="487"/>
      <c r="Y154" s="487"/>
      <c r="Z154" s="487"/>
    </row>
    <row r="155" spans="1:26" x14ac:dyDescent="0.3">
      <c r="A155" s="18"/>
      <c r="B155" s="3" t="s">
        <v>2345</v>
      </c>
      <c r="C155" s="3" t="s">
        <v>1</v>
      </c>
      <c r="D155" s="21"/>
      <c r="E155" s="21"/>
      <c r="F155" s="21"/>
      <c r="G155" s="21"/>
      <c r="H155" s="21"/>
      <c r="I155" s="21"/>
      <c r="J155" s="21"/>
      <c r="K155" s="21"/>
      <c r="L155" s="21"/>
      <c r="M155" s="21"/>
      <c r="N155" s="21"/>
      <c r="O155" s="20"/>
      <c r="Q155" s="487"/>
      <c r="R155" s="487"/>
      <c r="S155" s="487"/>
      <c r="T155" s="487"/>
      <c r="U155" s="487"/>
      <c r="V155" s="487"/>
      <c r="W155" s="487"/>
      <c r="X155" s="487"/>
      <c r="Y155" s="487"/>
      <c r="Z155" s="487"/>
    </row>
    <row r="156" spans="1:26" x14ac:dyDescent="0.3">
      <c r="A156" s="18"/>
      <c r="B156" s="30" t="s">
        <v>3858</v>
      </c>
      <c r="C156" s="30" t="s">
        <v>3839</v>
      </c>
      <c r="D156" s="21"/>
      <c r="E156" s="21"/>
      <c r="F156" s="21"/>
      <c r="G156" s="21"/>
      <c r="H156" s="21"/>
      <c r="I156" s="21"/>
      <c r="J156" s="21"/>
      <c r="K156" s="21"/>
      <c r="L156" s="21"/>
      <c r="M156" s="21"/>
      <c r="N156" s="21"/>
      <c r="O156" s="20"/>
      <c r="Q156" s="487"/>
      <c r="R156" s="487"/>
      <c r="S156" s="487"/>
      <c r="T156" s="487"/>
      <c r="U156" s="487"/>
      <c r="V156" s="487"/>
      <c r="W156" s="487"/>
      <c r="X156" s="487"/>
      <c r="Y156" s="487"/>
      <c r="Z156" s="487"/>
    </row>
    <row r="157" spans="1:26" x14ac:dyDescent="0.3">
      <c r="A157" s="18"/>
      <c r="B157" s="30" t="s">
        <v>2327</v>
      </c>
      <c r="C157" s="30" t="s">
        <v>3840</v>
      </c>
      <c r="D157" s="21"/>
      <c r="E157" s="21"/>
      <c r="F157" s="21"/>
      <c r="G157" s="21"/>
      <c r="H157" s="21"/>
      <c r="I157" s="21"/>
      <c r="J157" s="21"/>
      <c r="K157" s="21"/>
      <c r="L157" s="21"/>
      <c r="M157" s="21"/>
      <c r="N157" s="21"/>
      <c r="O157" s="20"/>
      <c r="Q157" s="483" t="s">
        <v>323</v>
      </c>
      <c r="R157" s="483"/>
      <c r="S157" s="483" t="s">
        <v>1</v>
      </c>
      <c r="T157" s="483"/>
      <c r="U157" s="483"/>
      <c r="V157" s="483"/>
      <c r="W157" s="483"/>
      <c r="X157" s="483"/>
      <c r="Y157" s="483"/>
      <c r="Z157" s="85" t="s">
        <v>324</v>
      </c>
    </row>
    <row r="158" spans="1:26" x14ac:dyDescent="0.3">
      <c r="A158" s="18"/>
      <c r="B158" s="30" t="s">
        <v>2328</v>
      </c>
      <c r="C158" s="30" t="s">
        <v>3841</v>
      </c>
      <c r="D158" s="21"/>
      <c r="E158" s="21"/>
      <c r="F158" s="21"/>
      <c r="G158" s="21"/>
      <c r="H158" s="21"/>
      <c r="I158" s="21"/>
      <c r="J158" s="21"/>
      <c r="K158" s="21"/>
      <c r="L158" s="21"/>
      <c r="M158" s="21"/>
      <c r="N158" s="21"/>
      <c r="O158" s="20"/>
      <c r="Q158" s="487" t="s">
        <v>3712</v>
      </c>
      <c r="R158" s="487"/>
      <c r="S158" s="487" t="s">
        <v>3859</v>
      </c>
      <c r="T158" s="487"/>
      <c r="U158" s="487"/>
      <c r="V158" s="487"/>
      <c r="W158" s="487"/>
      <c r="X158" s="487"/>
      <c r="Y158" s="487"/>
      <c r="Z158" s="509" t="s">
        <v>325</v>
      </c>
    </row>
    <row r="159" spans="1:26" x14ac:dyDescent="0.3">
      <c r="A159" s="18"/>
      <c r="B159" s="30" t="s">
        <v>2329</v>
      </c>
      <c r="C159" s="30" t="s">
        <v>3679</v>
      </c>
      <c r="D159" s="21"/>
      <c r="E159" s="21"/>
      <c r="F159" s="21"/>
      <c r="G159" s="21"/>
      <c r="H159" s="21"/>
      <c r="I159" s="21"/>
      <c r="J159" s="21"/>
      <c r="K159" s="21"/>
      <c r="L159" s="21"/>
      <c r="M159" s="21"/>
      <c r="N159" s="21"/>
      <c r="O159" s="20"/>
      <c r="Q159" s="487"/>
      <c r="R159" s="487"/>
      <c r="S159" s="487"/>
      <c r="T159" s="487"/>
      <c r="U159" s="487"/>
      <c r="V159" s="487"/>
      <c r="W159" s="487"/>
      <c r="X159" s="487"/>
      <c r="Y159" s="487"/>
      <c r="Z159" s="509"/>
    </row>
    <row r="160" spans="1:26" x14ac:dyDescent="0.3">
      <c r="A160" s="18"/>
      <c r="B160" s="30" t="s">
        <v>2330</v>
      </c>
      <c r="C160" s="30" t="s">
        <v>3680</v>
      </c>
      <c r="D160" s="21"/>
      <c r="E160" s="21"/>
      <c r="F160" s="21"/>
      <c r="G160" s="21"/>
      <c r="H160" s="21"/>
      <c r="I160" s="21"/>
      <c r="J160" s="21"/>
      <c r="K160" s="21"/>
      <c r="L160" s="21"/>
      <c r="M160" s="21"/>
      <c r="N160" s="21"/>
      <c r="O160" s="20"/>
      <c r="Q160" s="487"/>
      <c r="R160" s="487"/>
      <c r="S160" s="487"/>
      <c r="T160" s="487"/>
      <c r="U160" s="487"/>
      <c r="V160" s="487"/>
      <c r="W160" s="487"/>
      <c r="X160" s="487"/>
      <c r="Y160" s="487"/>
      <c r="Z160" s="509"/>
    </row>
    <row r="161" spans="1:26" x14ac:dyDescent="0.3">
      <c r="A161" s="18"/>
      <c r="B161" s="30" t="s">
        <v>2331</v>
      </c>
      <c r="C161" s="30" t="s">
        <v>3681</v>
      </c>
      <c r="D161" s="21"/>
      <c r="E161" s="21"/>
      <c r="F161" s="21"/>
      <c r="G161" s="21"/>
      <c r="H161" s="21"/>
      <c r="I161" s="21"/>
      <c r="J161" s="21"/>
      <c r="K161" s="21"/>
      <c r="L161" s="21"/>
      <c r="M161" s="21"/>
      <c r="N161" s="21"/>
      <c r="O161" s="20"/>
      <c r="Q161" s="487" t="s">
        <v>538</v>
      </c>
      <c r="R161" s="487"/>
      <c r="S161" s="487" t="s">
        <v>1258</v>
      </c>
      <c r="T161" s="487"/>
      <c r="U161" s="487"/>
      <c r="V161" s="487"/>
      <c r="W161" s="487"/>
      <c r="X161" s="487"/>
      <c r="Y161" s="487"/>
      <c r="Z161" s="509" t="s">
        <v>325</v>
      </c>
    </row>
    <row r="162" spans="1:26" x14ac:dyDescent="0.3">
      <c r="A162" s="18"/>
      <c r="B162" s="30" t="s">
        <v>2332</v>
      </c>
      <c r="C162" s="30" t="s">
        <v>3682</v>
      </c>
      <c r="D162" s="21"/>
      <c r="E162" s="21"/>
      <c r="F162" s="21"/>
      <c r="G162" s="21"/>
      <c r="H162" s="21"/>
      <c r="I162" s="21"/>
      <c r="J162" s="21"/>
      <c r="K162" s="21"/>
      <c r="L162" s="21"/>
      <c r="M162" s="21"/>
      <c r="N162" s="21"/>
      <c r="O162" s="20"/>
      <c r="Q162" s="487"/>
      <c r="R162" s="487"/>
      <c r="S162" s="487"/>
      <c r="T162" s="487"/>
      <c r="U162" s="487"/>
      <c r="V162" s="487"/>
      <c r="W162" s="487"/>
      <c r="X162" s="487"/>
      <c r="Y162" s="487"/>
      <c r="Z162" s="509"/>
    </row>
    <row r="163" spans="1:26" x14ac:dyDescent="0.3">
      <c r="A163" s="18"/>
      <c r="B163" s="30" t="s">
        <v>2333</v>
      </c>
      <c r="C163" s="30" t="s">
        <v>3683</v>
      </c>
      <c r="D163" s="21"/>
      <c r="E163" s="21"/>
      <c r="F163" s="21"/>
      <c r="G163" s="21"/>
      <c r="H163" s="21"/>
      <c r="I163" s="21"/>
      <c r="J163" s="21"/>
      <c r="K163" s="21"/>
      <c r="L163" s="21"/>
      <c r="M163" s="21"/>
      <c r="N163" s="21"/>
      <c r="O163" s="20"/>
      <c r="Q163" s="487"/>
      <c r="R163" s="487"/>
      <c r="S163" s="487"/>
      <c r="T163" s="487"/>
      <c r="U163" s="487"/>
      <c r="V163" s="487"/>
      <c r="W163" s="487"/>
      <c r="X163" s="487"/>
      <c r="Y163" s="487"/>
      <c r="Z163" s="509"/>
    </row>
    <row r="164" spans="1:26" x14ac:dyDescent="0.3">
      <c r="A164" s="18"/>
      <c r="B164" s="30" t="s">
        <v>2334</v>
      </c>
      <c r="C164" s="30" t="s">
        <v>3684</v>
      </c>
      <c r="D164" s="21"/>
      <c r="E164" s="21"/>
      <c r="F164" s="21"/>
      <c r="G164" s="21"/>
      <c r="H164" s="21"/>
      <c r="I164" s="21"/>
      <c r="J164" s="21"/>
      <c r="K164" s="21"/>
      <c r="L164" s="21"/>
      <c r="M164" s="21"/>
      <c r="N164" s="21"/>
      <c r="O164" s="20"/>
      <c r="Q164" s="496" t="s">
        <v>3713</v>
      </c>
      <c r="R164" s="497"/>
      <c r="S164" s="496" t="s">
        <v>3714</v>
      </c>
      <c r="T164" s="502"/>
      <c r="U164" s="502"/>
      <c r="V164" s="502"/>
      <c r="W164" s="502"/>
      <c r="X164" s="502"/>
      <c r="Y164" s="497"/>
      <c r="Z164" s="505" t="s">
        <v>326</v>
      </c>
    </row>
    <row r="165" spans="1:26" x14ac:dyDescent="0.3">
      <c r="A165" s="18"/>
      <c r="B165" s="30" t="s">
        <v>2335</v>
      </c>
      <c r="C165" s="30" t="s">
        <v>3685</v>
      </c>
      <c r="D165" s="21"/>
      <c r="E165" s="21"/>
      <c r="F165" s="21"/>
      <c r="G165" s="21"/>
      <c r="H165" s="21"/>
      <c r="I165" s="21"/>
      <c r="J165" s="21"/>
      <c r="K165" s="21"/>
      <c r="L165" s="21"/>
      <c r="M165" s="21"/>
      <c r="N165" s="21"/>
      <c r="O165" s="20"/>
      <c r="Q165" s="498"/>
      <c r="R165" s="499"/>
      <c r="S165" s="498"/>
      <c r="T165" s="503"/>
      <c r="U165" s="503"/>
      <c r="V165" s="503"/>
      <c r="W165" s="503"/>
      <c r="X165" s="503"/>
      <c r="Y165" s="499"/>
      <c r="Z165" s="506"/>
    </row>
    <row r="166" spans="1:26" x14ac:dyDescent="0.3">
      <c r="A166" s="18"/>
      <c r="B166" s="30" t="s">
        <v>2336</v>
      </c>
      <c r="C166" s="30" t="s">
        <v>3686</v>
      </c>
      <c r="D166" s="21"/>
      <c r="E166" s="21"/>
      <c r="F166" s="21"/>
      <c r="G166" s="21"/>
      <c r="H166" s="21"/>
      <c r="I166" s="21"/>
      <c r="J166" s="21"/>
      <c r="K166" s="21"/>
      <c r="L166" s="21"/>
      <c r="M166" s="21"/>
      <c r="N166" s="21"/>
      <c r="O166" s="20"/>
      <c r="Q166" s="500"/>
      <c r="R166" s="501"/>
      <c r="S166" s="500"/>
      <c r="T166" s="504"/>
      <c r="U166" s="504"/>
      <c r="V166" s="504"/>
      <c r="W166" s="504"/>
      <c r="X166" s="504"/>
      <c r="Y166" s="501"/>
      <c r="Z166" s="507"/>
    </row>
    <row r="167" spans="1:26" x14ac:dyDescent="0.3">
      <c r="A167" s="18"/>
      <c r="B167" s="30" t="s">
        <v>2337</v>
      </c>
      <c r="C167" s="30" t="s">
        <v>3687</v>
      </c>
      <c r="D167" s="21"/>
      <c r="E167" s="21"/>
      <c r="F167" s="21"/>
      <c r="G167" s="21"/>
      <c r="H167" s="21"/>
      <c r="I167" s="21"/>
      <c r="J167" s="21"/>
      <c r="K167" s="21"/>
      <c r="L167" s="21"/>
      <c r="M167" s="21"/>
      <c r="N167" s="21"/>
      <c r="O167" s="20"/>
      <c r="Q167" s="496" t="s">
        <v>2299</v>
      </c>
      <c r="R167" s="497"/>
      <c r="S167" s="496" t="s">
        <v>3088</v>
      </c>
      <c r="T167" s="502"/>
      <c r="U167" s="502"/>
      <c r="V167" s="502"/>
      <c r="W167" s="502"/>
      <c r="X167" s="502"/>
      <c r="Y167" s="497"/>
      <c r="Z167" s="505" t="s">
        <v>326</v>
      </c>
    </row>
    <row r="168" spans="1:26" x14ac:dyDescent="0.3">
      <c r="A168" s="18"/>
      <c r="B168" s="30" t="s">
        <v>2338</v>
      </c>
      <c r="C168" s="30" t="s">
        <v>3688</v>
      </c>
      <c r="D168" s="21"/>
      <c r="E168" s="21"/>
      <c r="F168" s="21"/>
      <c r="G168" s="21"/>
      <c r="H168" s="21"/>
      <c r="I168" s="21"/>
      <c r="J168" s="21"/>
      <c r="K168" s="21"/>
      <c r="L168" s="21"/>
      <c r="M168" s="21"/>
      <c r="N168" s="21"/>
      <c r="O168" s="20"/>
      <c r="Q168" s="498"/>
      <c r="R168" s="499"/>
      <c r="S168" s="498"/>
      <c r="T168" s="503"/>
      <c r="U168" s="503"/>
      <c r="V168" s="503"/>
      <c r="W168" s="503"/>
      <c r="X168" s="503"/>
      <c r="Y168" s="499"/>
      <c r="Z168" s="506"/>
    </row>
    <row r="169" spans="1:26" x14ac:dyDescent="0.3">
      <c r="A169" s="18"/>
      <c r="B169" s="30" t="s">
        <v>2339</v>
      </c>
      <c r="C169" s="30" t="s">
        <v>3689</v>
      </c>
      <c r="D169" s="21"/>
      <c r="E169" s="21"/>
      <c r="F169" s="21"/>
      <c r="G169" s="21"/>
      <c r="H169" s="21"/>
      <c r="I169" s="21"/>
      <c r="J169" s="21"/>
      <c r="K169" s="21"/>
      <c r="L169" s="21"/>
      <c r="M169" s="21"/>
      <c r="N169" s="21"/>
      <c r="O169" s="20"/>
      <c r="Q169" s="500"/>
      <c r="R169" s="501"/>
      <c r="S169" s="500"/>
      <c r="T169" s="504"/>
      <c r="U169" s="504"/>
      <c r="V169" s="504"/>
      <c r="W169" s="504"/>
      <c r="X169" s="504"/>
      <c r="Y169" s="501"/>
      <c r="Z169" s="507"/>
    </row>
    <row r="170" spans="1:26" x14ac:dyDescent="0.3">
      <c r="A170" s="18"/>
      <c r="B170" s="30" t="s">
        <v>2340</v>
      </c>
      <c r="C170" s="30" t="s">
        <v>3690</v>
      </c>
      <c r="D170" s="21"/>
      <c r="E170" s="21"/>
      <c r="F170" s="21"/>
      <c r="G170" s="21"/>
      <c r="H170" s="21"/>
      <c r="I170" s="21"/>
      <c r="J170" s="21"/>
      <c r="K170" s="21"/>
      <c r="L170" s="21"/>
      <c r="M170" s="21"/>
      <c r="N170" s="21"/>
      <c r="O170" s="20"/>
      <c r="Q170" s="126" t="s">
        <v>328</v>
      </c>
    </row>
    <row r="171" spans="1:26" x14ac:dyDescent="0.3">
      <c r="A171" s="18"/>
      <c r="B171" s="30" t="s">
        <v>2341</v>
      </c>
      <c r="C171" s="30" t="s">
        <v>3691</v>
      </c>
      <c r="D171" s="21"/>
      <c r="E171" s="21"/>
      <c r="F171" s="21"/>
      <c r="G171" s="21"/>
      <c r="H171" s="21"/>
      <c r="I171" s="21"/>
      <c r="J171" s="21"/>
      <c r="K171" s="21"/>
      <c r="L171" s="21"/>
      <c r="M171" s="21"/>
      <c r="N171" s="21"/>
      <c r="O171" s="20"/>
    </row>
    <row r="172" spans="1:26" x14ac:dyDescent="0.3">
      <c r="A172" s="18"/>
      <c r="B172" s="30" t="s">
        <v>2342</v>
      </c>
      <c r="C172" s="30" t="s">
        <v>3692</v>
      </c>
      <c r="D172" s="21"/>
      <c r="E172" s="21"/>
      <c r="F172" s="21"/>
      <c r="G172" s="21"/>
      <c r="H172" s="21"/>
      <c r="I172" s="21"/>
      <c r="J172" s="21"/>
      <c r="K172" s="21"/>
      <c r="L172" s="21"/>
      <c r="M172" s="21"/>
      <c r="N172" s="21"/>
      <c r="O172" s="20"/>
    </row>
    <row r="173" spans="1:26" x14ac:dyDescent="0.3">
      <c r="A173" s="18"/>
      <c r="B173" s="30" t="s">
        <v>2343</v>
      </c>
      <c r="C173" s="30" t="s">
        <v>3693</v>
      </c>
      <c r="D173" s="21"/>
      <c r="E173" s="21"/>
      <c r="F173" s="21"/>
      <c r="G173" s="21"/>
      <c r="H173" s="21"/>
      <c r="I173" s="21"/>
      <c r="J173" s="21"/>
      <c r="K173" s="21"/>
      <c r="L173" s="21"/>
      <c r="M173" s="21"/>
      <c r="N173" s="21"/>
      <c r="O173" s="20"/>
      <c r="Q173" s="486" t="s">
        <v>3486</v>
      </c>
      <c r="R173" s="486"/>
      <c r="S173" s="486"/>
      <c r="T173" s="486"/>
      <c r="U173" s="486"/>
      <c r="V173" s="486"/>
      <c r="W173" s="486"/>
      <c r="X173" s="486"/>
      <c r="Y173" s="486"/>
      <c r="Z173" s="486"/>
    </row>
    <row r="174" spans="1:26" x14ac:dyDescent="0.3">
      <c r="A174" s="18"/>
      <c r="B174" s="30" t="s">
        <v>443</v>
      </c>
      <c r="C174" s="30" t="s">
        <v>3866</v>
      </c>
      <c r="D174" s="21"/>
      <c r="E174" s="21"/>
      <c r="F174" s="21"/>
      <c r="G174" s="21"/>
      <c r="H174" s="21"/>
      <c r="I174" s="21"/>
      <c r="J174" s="21"/>
      <c r="K174" s="21"/>
      <c r="L174" s="21"/>
      <c r="M174" s="21"/>
      <c r="N174" s="21"/>
      <c r="O174" s="20"/>
      <c r="Q174" s="487" t="s">
        <v>333</v>
      </c>
      <c r="R174" s="487"/>
      <c r="S174" s="487" t="s">
        <v>1744</v>
      </c>
      <c r="T174" s="487"/>
      <c r="U174" s="487"/>
      <c r="V174" s="487"/>
      <c r="W174" s="487"/>
      <c r="X174" s="487"/>
      <c r="Y174" s="487"/>
      <c r="Z174" s="487"/>
    </row>
    <row r="175" spans="1:26" x14ac:dyDescent="0.3">
      <c r="A175" s="18"/>
      <c r="B175" s="30" t="s">
        <v>2344</v>
      </c>
      <c r="C175" s="30" t="s">
        <v>3842</v>
      </c>
      <c r="D175" s="21"/>
      <c r="E175" s="21"/>
      <c r="F175" s="21"/>
      <c r="G175" s="21"/>
      <c r="H175" s="21"/>
      <c r="I175" s="21"/>
      <c r="J175" s="21"/>
      <c r="K175" s="21"/>
      <c r="L175" s="21"/>
      <c r="M175" s="21"/>
      <c r="N175" s="21"/>
      <c r="O175" s="20"/>
      <c r="Q175" s="487"/>
      <c r="R175" s="487"/>
      <c r="S175" s="487"/>
      <c r="T175" s="487"/>
      <c r="U175" s="487"/>
      <c r="V175" s="487"/>
      <c r="W175" s="487"/>
      <c r="X175" s="487"/>
      <c r="Y175" s="487"/>
      <c r="Z175" s="487"/>
    </row>
    <row r="176" spans="1:26" x14ac:dyDescent="0.3">
      <c r="A176" s="18"/>
      <c r="B176" s="30" t="s">
        <v>2810</v>
      </c>
      <c r="C176" s="30" t="s">
        <v>3487</v>
      </c>
      <c r="D176" s="21"/>
      <c r="E176" s="21"/>
      <c r="F176" s="21"/>
      <c r="G176" s="21"/>
      <c r="H176" s="21"/>
      <c r="I176" s="21"/>
      <c r="J176" s="21"/>
      <c r="K176" s="21"/>
      <c r="L176" s="21"/>
      <c r="M176" s="21"/>
      <c r="N176" s="21"/>
      <c r="O176" s="20"/>
      <c r="Q176" s="487"/>
      <c r="R176" s="487"/>
      <c r="S176" s="487"/>
      <c r="T176" s="487"/>
      <c r="U176" s="487"/>
      <c r="V176" s="487"/>
      <c r="W176" s="487"/>
      <c r="X176" s="487"/>
      <c r="Y176" s="487"/>
      <c r="Z176" s="487"/>
    </row>
    <row r="177" spans="1:26" x14ac:dyDescent="0.3">
      <c r="A177" s="18"/>
      <c r="B177" s="21"/>
      <c r="C177" s="21"/>
      <c r="D177" s="21"/>
      <c r="E177" s="21"/>
      <c r="F177" s="21"/>
      <c r="G177" s="21"/>
      <c r="H177" s="21"/>
      <c r="I177" s="21"/>
      <c r="J177" s="21"/>
      <c r="K177" s="21"/>
      <c r="L177" s="21"/>
      <c r="M177" s="21"/>
      <c r="N177" s="21"/>
      <c r="O177" s="20"/>
      <c r="Q177" s="483" t="s">
        <v>323</v>
      </c>
      <c r="R177" s="483"/>
      <c r="S177" s="483" t="s">
        <v>1</v>
      </c>
      <c r="T177" s="483"/>
      <c r="U177" s="483"/>
      <c r="V177" s="483"/>
      <c r="W177" s="483"/>
      <c r="X177" s="483"/>
      <c r="Y177" s="483"/>
      <c r="Z177" s="85" t="s">
        <v>324</v>
      </c>
    </row>
    <row r="178" spans="1:26" x14ac:dyDescent="0.3">
      <c r="A178" s="18"/>
      <c r="B178" s="21"/>
      <c r="C178" s="21"/>
      <c r="D178" s="21"/>
      <c r="E178" s="21"/>
      <c r="F178" s="21"/>
      <c r="G178" s="21"/>
      <c r="H178" s="21"/>
      <c r="I178" s="21"/>
      <c r="J178" s="21"/>
      <c r="K178" s="21"/>
      <c r="L178" s="21"/>
      <c r="M178" s="21"/>
      <c r="N178" s="21"/>
      <c r="O178" s="20"/>
      <c r="Q178" s="484" t="s">
        <v>1742</v>
      </c>
      <c r="R178" s="484"/>
      <c r="S178" s="484" t="s">
        <v>1743</v>
      </c>
      <c r="T178" s="484"/>
      <c r="U178" s="484"/>
      <c r="V178" s="484"/>
      <c r="W178" s="484"/>
      <c r="X178" s="484"/>
      <c r="Y178" s="484"/>
      <c r="Z178" s="485" t="s">
        <v>326</v>
      </c>
    </row>
    <row r="179" spans="1:26" x14ac:dyDescent="0.3">
      <c r="A179" s="18"/>
      <c r="B179" s="21"/>
      <c r="C179" s="21"/>
      <c r="D179" s="21"/>
      <c r="E179" s="21"/>
      <c r="F179" s="21"/>
      <c r="G179" s="21"/>
      <c r="H179" s="21"/>
      <c r="I179" s="21"/>
      <c r="J179" s="21"/>
      <c r="K179" s="21"/>
      <c r="L179" s="21"/>
      <c r="M179" s="21"/>
      <c r="N179" s="21"/>
      <c r="O179" s="20"/>
      <c r="Q179" s="484"/>
      <c r="R179" s="484"/>
      <c r="S179" s="484"/>
      <c r="T179" s="484"/>
      <c r="U179" s="484"/>
      <c r="V179" s="484"/>
      <c r="W179" s="484"/>
      <c r="X179" s="484"/>
      <c r="Y179" s="484"/>
      <c r="Z179" s="485"/>
    </row>
    <row r="180" spans="1:26" x14ac:dyDescent="0.3">
      <c r="A180" s="18"/>
      <c r="B180" s="85" t="s">
        <v>3710</v>
      </c>
      <c r="C180" s="181" t="s">
        <v>3708</v>
      </c>
      <c r="D180" s="21"/>
      <c r="E180" s="21"/>
      <c r="F180" s="21"/>
      <c r="G180" s="21"/>
      <c r="H180" s="21"/>
      <c r="I180" s="21"/>
      <c r="J180" s="21"/>
      <c r="K180" s="21"/>
      <c r="L180" s="21"/>
      <c r="M180" s="21"/>
      <c r="N180" s="21"/>
      <c r="O180" s="20"/>
      <c r="Q180" s="484"/>
      <c r="R180" s="484"/>
      <c r="S180" s="484"/>
      <c r="T180" s="484"/>
      <c r="U180" s="484"/>
      <c r="V180" s="484"/>
      <c r="W180" s="484"/>
      <c r="X180" s="484"/>
      <c r="Y180" s="484"/>
      <c r="Z180" s="485"/>
    </row>
    <row r="181" spans="1:26" x14ac:dyDescent="0.3">
      <c r="A181" s="18"/>
      <c r="B181" s="85" t="s">
        <v>1516</v>
      </c>
      <c r="C181" s="181" t="s">
        <v>3707</v>
      </c>
      <c r="D181" s="21"/>
      <c r="E181" s="21"/>
      <c r="F181" s="21"/>
      <c r="G181" s="21"/>
      <c r="H181" s="21"/>
      <c r="I181" s="21"/>
      <c r="J181" s="21"/>
      <c r="K181" s="21"/>
      <c r="L181" s="21"/>
      <c r="M181" s="21"/>
      <c r="N181" s="21"/>
      <c r="O181" s="20"/>
      <c r="Q181" s="126" t="s">
        <v>328</v>
      </c>
    </row>
    <row r="182" spans="1:26" x14ac:dyDescent="0.3">
      <c r="A182" s="18"/>
      <c r="B182" s="58" t="s">
        <v>3706</v>
      </c>
      <c r="C182" s="152" t="s">
        <v>3709</v>
      </c>
      <c r="D182" s="21"/>
      <c r="E182" s="21"/>
      <c r="F182" s="21"/>
      <c r="G182" s="21"/>
      <c r="H182" s="21"/>
      <c r="I182" s="21"/>
      <c r="J182" s="21"/>
      <c r="K182" s="21"/>
      <c r="L182" s="21"/>
      <c r="M182" s="21"/>
      <c r="N182" s="21"/>
      <c r="O182" s="20"/>
    </row>
    <row r="183" spans="1:26" x14ac:dyDescent="0.3">
      <c r="A183" s="18"/>
      <c r="B183" s="21"/>
      <c r="C183" s="21"/>
      <c r="D183" s="21"/>
      <c r="E183" s="21"/>
      <c r="F183" s="21"/>
      <c r="G183" s="21"/>
      <c r="H183" s="21"/>
      <c r="I183" s="21"/>
      <c r="J183" s="21"/>
      <c r="K183" s="21"/>
      <c r="L183" s="21"/>
      <c r="M183" s="21"/>
      <c r="N183" s="21"/>
      <c r="O183" s="20"/>
    </row>
    <row r="184" spans="1:26" x14ac:dyDescent="0.3">
      <c r="A184" s="18"/>
      <c r="B184" s="21"/>
      <c r="C184" s="21"/>
      <c r="D184" s="21"/>
      <c r="E184" s="21"/>
      <c r="F184" s="21"/>
      <c r="G184" s="21"/>
      <c r="H184" s="21"/>
      <c r="I184" s="21"/>
      <c r="J184" s="21"/>
      <c r="K184" s="21"/>
      <c r="L184" s="21"/>
      <c r="M184" s="21"/>
      <c r="N184" s="21"/>
      <c r="O184" s="20"/>
    </row>
    <row r="185" spans="1:26" x14ac:dyDescent="0.3">
      <c r="A185" s="18"/>
      <c r="B185" s="21"/>
      <c r="C185" s="21"/>
      <c r="D185" s="21"/>
      <c r="E185" s="21"/>
      <c r="F185" s="21"/>
      <c r="G185" s="21"/>
      <c r="H185" s="21"/>
      <c r="I185" s="21"/>
      <c r="J185" s="21"/>
      <c r="K185" s="21"/>
      <c r="L185" s="21"/>
      <c r="M185" s="21"/>
      <c r="N185" s="21"/>
      <c r="O185" s="20"/>
    </row>
    <row r="186" spans="1:26" x14ac:dyDescent="0.3">
      <c r="A186" s="18"/>
      <c r="B186" s="21"/>
      <c r="C186" s="21"/>
      <c r="D186" s="21"/>
      <c r="E186" s="21"/>
      <c r="F186" s="21"/>
      <c r="G186" s="21"/>
      <c r="H186" s="21"/>
      <c r="I186" s="21"/>
      <c r="J186" s="21"/>
      <c r="K186" s="21"/>
      <c r="L186" s="21"/>
      <c r="M186" s="21"/>
      <c r="N186" s="21"/>
      <c r="O186" s="20"/>
    </row>
    <row r="187" spans="1:26" x14ac:dyDescent="0.3">
      <c r="A187" s="18"/>
      <c r="B187" s="21"/>
      <c r="C187" s="21"/>
      <c r="D187" s="21"/>
      <c r="E187" s="21"/>
      <c r="F187" s="21"/>
      <c r="G187" s="21"/>
      <c r="H187" s="21"/>
      <c r="I187" s="21"/>
      <c r="J187" s="21"/>
      <c r="K187" s="21"/>
      <c r="L187" s="21"/>
      <c r="M187" s="21"/>
      <c r="N187" s="21"/>
      <c r="O187" s="20"/>
    </row>
    <row r="188" spans="1:26" x14ac:dyDescent="0.3">
      <c r="A188" s="18"/>
      <c r="C188" s="21"/>
      <c r="D188" s="21"/>
      <c r="E188" s="21"/>
      <c r="F188" s="21"/>
      <c r="G188" s="21"/>
      <c r="H188" s="21"/>
      <c r="I188" s="21"/>
      <c r="J188" s="21"/>
      <c r="K188" s="21"/>
      <c r="L188" s="21"/>
      <c r="M188" s="21"/>
      <c r="N188" s="21"/>
      <c r="O188" s="20"/>
    </row>
    <row r="189" spans="1:26" x14ac:dyDescent="0.3">
      <c r="A189" s="18"/>
      <c r="B189" s="58" t="s">
        <v>3486</v>
      </c>
      <c r="C189" s="38" cm="1">
        <f t="array" ref="C189">_xll.U.NOW()</f>
        <v>46145.893240740697</v>
      </c>
      <c r="D189" s="21"/>
      <c r="E189" s="21"/>
      <c r="F189" s="21"/>
      <c r="G189" s="21"/>
      <c r="H189" s="21"/>
      <c r="I189" s="21"/>
      <c r="J189" s="21"/>
      <c r="K189" s="21"/>
      <c r="L189" s="21"/>
      <c r="M189" s="21"/>
      <c r="N189" s="21"/>
      <c r="O189" s="20"/>
    </row>
    <row r="190" spans="1:26" x14ac:dyDescent="0.3">
      <c r="A190" s="18"/>
      <c r="B190" s="21" t="str">
        <f t="array" ref="B190:B216">_xll.U.DO(_xll.U.RECENT(),C189)</f>
        <v>C:\Runline\U\Current\U_UsageExamples.xlsx</v>
      </c>
      <c r="C190" s="21"/>
      <c r="D190" s="21"/>
      <c r="E190" s="21"/>
      <c r="F190" s="21"/>
      <c r="G190" s="21"/>
      <c r="H190" s="21"/>
      <c r="I190" s="21"/>
      <c r="J190" s="21"/>
      <c r="K190" s="21"/>
      <c r="L190" s="21"/>
      <c r="M190" s="21"/>
      <c r="N190" s="21"/>
      <c r="O190" s="20"/>
    </row>
    <row r="191" spans="1:26" x14ac:dyDescent="0.3">
      <c r="A191" s="18"/>
      <c r="B191" s="21" t="str">
        <v>C:\Projects\runline-web-site\Excel_workbooks\clean_button.xlsx</v>
      </c>
      <c r="C191" s="21"/>
      <c r="D191" s="21"/>
      <c r="E191" s="21"/>
      <c r="F191" s="21"/>
      <c r="G191" s="21"/>
      <c r="H191" s="21"/>
      <c r="I191" s="21"/>
      <c r="J191" s="21"/>
      <c r="K191" s="21"/>
      <c r="L191" s="21"/>
      <c r="M191" s="21"/>
      <c r="N191" s="21"/>
      <c r="O191" s="20"/>
    </row>
    <row r="192" spans="1:26" x14ac:dyDescent="0.3">
      <c r="A192" s="18"/>
      <c r="B192" s="21" t="str">
        <v>C:\Projects\Runline\doc\My_Workbooks\Pierces\Brian\greg-bob-utils.xlsx</v>
      </c>
      <c r="C192" s="21"/>
      <c r="D192" s="21"/>
      <c r="E192" s="21"/>
      <c r="F192" s="21"/>
      <c r="G192" s="21"/>
      <c r="H192" s="21"/>
      <c r="I192" s="21"/>
      <c r="J192" s="21"/>
      <c r="K192" s="21"/>
      <c r="L192" s="21"/>
      <c r="M192" s="21"/>
      <c r="N192" s="21"/>
      <c r="O192" s="20"/>
    </row>
    <row r="193" spans="1:15" x14ac:dyDescent="0.3">
      <c r="A193" s="18"/>
      <c r="B193" s="21" t="str">
        <v>C:\Projects\runline-web-site\Excel_workbooks\Energy_PnL.xlsx</v>
      </c>
      <c r="C193" s="21"/>
      <c r="D193" s="21"/>
      <c r="E193" s="21"/>
      <c r="F193" s="21"/>
      <c r="G193" s="21"/>
      <c r="H193" s="21"/>
      <c r="I193" s="21"/>
      <c r="J193" s="21"/>
      <c r="K193" s="21"/>
      <c r="L193" s="21"/>
      <c r="M193" s="21"/>
      <c r="N193" s="21"/>
      <c r="O193" s="20"/>
    </row>
    <row r="194" spans="1:15" x14ac:dyDescent="0.3">
      <c r="A194" s="18"/>
      <c r="B194" s="21" t="str">
        <v>C:\Projects\Runline\doc\Customer docs\DV\DV_Users_For_Billing.xlsx</v>
      </c>
      <c r="C194" s="21"/>
      <c r="D194" s="21"/>
      <c r="E194" s="21"/>
      <c r="F194" s="21"/>
      <c r="G194" s="21"/>
      <c r="H194" s="21"/>
      <c r="I194" s="21"/>
      <c r="J194" s="21"/>
      <c r="K194" s="21"/>
      <c r="L194" s="21"/>
      <c r="M194" s="21"/>
      <c r="N194" s="21"/>
      <c r="O194" s="20"/>
    </row>
    <row r="195" spans="1:15" x14ac:dyDescent="0.3">
      <c r="A195" s="18"/>
      <c r="B195" s="21" t="str">
        <v>C:\Projects\Runline\doc\misc\revenue.xlsx</v>
      </c>
      <c r="C195" s="21"/>
      <c r="D195" s="21"/>
      <c r="E195" s="21"/>
      <c r="F195" s="21"/>
      <c r="G195" s="21"/>
      <c r="H195" s="21"/>
      <c r="I195" s="21"/>
      <c r="J195" s="21"/>
      <c r="K195" s="21"/>
      <c r="L195" s="21"/>
      <c r="M195" s="21"/>
      <c r="N195" s="21"/>
      <c r="O195" s="20"/>
    </row>
    <row r="196" spans="1:15" x14ac:dyDescent="0.3">
      <c r="A196" s="18"/>
      <c r="B196" s="21" t="str">
        <v>C:\Runline\U\Current\U_InstallTest_Sub.xlsx</v>
      </c>
      <c r="C196" s="21"/>
      <c r="D196" s="21"/>
      <c r="E196" s="21"/>
      <c r="F196" s="21"/>
      <c r="G196" s="21"/>
      <c r="H196" s="21"/>
      <c r="I196" s="21"/>
      <c r="J196" s="21"/>
      <c r="K196" s="21"/>
      <c r="L196" s="21"/>
      <c r="M196" s="21"/>
      <c r="N196" s="21"/>
      <c r="O196" s="20"/>
    </row>
    <row r="197" spans="1:15" x14ac:dyDescent="0.3">
      <c r="A197" s="18"/>
      <c r="B197" s="21" t="str">
        <v>C:\Runline\U\Current\U_InstallTest_Pub.xlsx</v>
      </c>
      <c r="C197" s="21"/>
      <c r="D197" s="21"/>
      <c r="E197" s="21"/>
      <c r="F197" s="21"/>
      <c r="G197" s="21"/>
      <c r="H197" s="21"/>
      <c r="I197" s="21"/>
      <c r="J197" s="21"/>
      <c r="K197" s="21"/>
      <c r="L197" s="21"/>
      <c r="M197" s="21"/>
      <c r="N197" s="21"/>
      <c r="O197" s="20"/>
    </row>
    <row r="198" spans="1:15" x14ac:dyDescent="0.3">
      <c r="A198" s="18"/>
      <c r="B198" s="21" t="str">
        <v>C:\Projects\Runline\doc\U_InstallTest_Sub.xlsx</v>
      </c>
      <c r="C198" s="21"/>
      <c r="D198" s="21"/>
      <c r="E198" s="21"/>
      <c r="F198" s="21"/>
      <c r="G198" s="21"/>
      <c r="H198" s="21"/>
      <c r="I198" s="21"/>
      <c r="J198" s="21"/>
      <c r="K198" s="21"/>
      <c r="L198" s="21"/>
      <c r="M198" s="21"/>
      <c r="N198" s="21"/>
      <c r="O198" s="20"/>
    </row>
    <row r="199" spans="1:15" x14ac:dyDescent="0.3">
      <c r="A199" s="18"/>
      <c r="B199" s="21" t="str">
        <v>C:\Projects\Runline\doc\U_InstallTest_Pub.xlsx</v>
      </c>
      <c r="C199" s="21"/>
      <c r="D199" s="21"/>
      <c r="E199" s="21"/>
      <c r="F199" s="21"/>
      <c r="G199" s="21"/>
      <c r="H199" s="21"/>
      <c r="I199" s="21"/>
      <c r="J199" s="21"/>
      <c r="K199" s="21"/>
      <c r="L199" s="21"/>
      <c r="M199" s="21"/>
      <c r="N199" s="21"/>
      <c r="O199" s="20"/>
    </row>
    <row r="200" spans="1:15" x14ac:dyDescent="0.3">
      <c r="A200" s="18"/>
      <c r="B200" s="21" t="str">
        <v>C:\Projects\Runline\doc\U_UsageExamples.xlsx</v>
      </c>
      <c r="C200" s="21"/>
      <c r="D200" s="21"/>
      <c r="E200" s="21"/>
      <c r="F200" s="21"/>
      <c r="G200" s="21"/>
      <c r="H200" s="21"/>
      <c r="I200" s="21"/>
      <c r="J200" s="21"/>
      <c r="K200" s="21"/>
      <c r="L200" s="21"/>
      <c r="M200" s="21"/>
      <c r="N200" s="21"/>
      <c r="O200" s="20"/>
    </row>
    <row r="201" spans="1:15" x14ac:dyDescent="0.3">
      <c r="A201" s="18"/>
      <c r="B201" s="21" t="str">
        <v>C:\Projects\Runline\doc\My_Workbooks\Runline\Dev\UpTickXL_AddIn_Bundle - Runline.xlsx</v>
      </c>
      <c r="C201" s="21"/>
      <c r="D201" s="21"/>
      <c r="E201" s="21"/>
      <c r="F201" s="21"/>
      <c r="G201" s="21"/>
      <c r="H201" s="21"/>
      <c r="I201" s="21"/>
      <c r="J201" s="21"/>
      <c r="K201" s="21"/>
      <c r="L201" s="21"/>
      <c r="M201" s="21"/>
      <c r="N201" s="21"/>
      <c r="O201" s="20"/>
    </row>
    <row r="202" spans="1:15" x14ac:dyDescent="0.3">
      <c r="A202" s="18"/>
      <c r="B202" s="21" t="str">
        <v>C:\Projects\UpTick\UpTick.Admin.Installers.UpTickXL\Resources\UpTickXL_UsageExamples.xlsx</v>
      </c>
      <c r="C202" s="21"/>
      <c r="D202" s="21"/>
      <c r="E202" s="21"/>
      <c r="F202" s="21"/>
      <c r="G202" s="21"/>
      <c r="H202" s="21"/>
      <c r="I202" s="21"/>
      <c r="J202" s="21"/>
      <c r="K202" s="21"/>
      <c r="L202" s="21"/>
      <c r="M202" s="21"/>
      <c r="N202" s="21"/>
      <c r="O202" s="20"/>
    </row>
    <row r="203" spans="1:15" x14ac:dyDescent="0.3">
      <c r="A203" s="18"/>
      <c r="B203" s="21" t="str">
        <v>C:\Users\bpierce\Desktop\change_time_records.xlsx</v>
      </c>
      <c r="C203" s="21"/>
      <c r="D203" s="21"/>
      <c r="E203" s="21"/>
      <c r="F203" s="21"/>
      <c r="G203" s="21"/>
      <c r="H203" s="21"/>
      <c r="I203" s="21"/>
      <c r="J203" s="21"/>
      <c r="K203" s="21"/>
      <c r="L203" s="21"/>
      <c r="M203" s="21"/>
      <c r="N203" s="21"/>
      <c r="O203" s="20"/>
    </row>
    <row r="204" spans="1:15" x14ac:dyDescent="0.3">
      <c r="A204" s="18"/>
      <c r="B204" s="21" t="str">
        <v>C:\Projects\Runline\doc\API Sample Projects\Excel Client and Python Server Example\Client_of_U_Server_Example.xlsx</v>
      </c>
      <c r="C204" s="21"/>
      <c r="D204" s="21"/>
      <c r="E204" s="21"/>
      <c r="F204" s="21"/>
      <c r="G204" s="21"/>
      <c r="H204" s="21"/>
      <c r="I204" s="21"/>
      <c r="J204" s="21"/>
      <c r="K204" s="21"/>
      <c r="L204" s="21"/>
      <c r="M204" s="21"/>
      <c r="N204" s="21"/>
      <c r="O204" s="20"/>
    </row>
    <row r="205" spans="1:15" x14ac:dyDescent="0.3">
      <c r="A205" s="18"/>
      <c r="B205" s="21" t="str">
        <v>C:\Projects\Runline\doc\API Sample Projects\Excel Client and .NET Server Example\Client_of_U_Server_Example.xlsx</v>
      </c>
      <c r="C205" s="21"/>
      <c r="D205" s="21"/>
      <c r="E205" s="21"/>
      <c r="F205" s="21"/>
      <c r="G205" s="21"/>
      <c r="H205" s="21"/>
      <c r="I205" s="21"/>
      <c r="J205" s="21"/>
      <c r="K205" s="21"/>
      <c r="L205" s="21"/>
      <c r="M205" s="21"/>
      <c r="N205" s="21"/>
      <c r="O205" s="20"/>
    </row>
    <row r="206" spans="1:15" x14ac:dyDescent="0.3">
      <c r="A206" s="18"/>
      <c r="B206" s="21" t="str">
        <v>C:\Projects\Runline\doc\DataQuery.xlsx</v>
      </c>
      <c r="C206" s="21"/>
      <c r="D206" s="21"/>
      <c r="E206" s="21"/>
      <c r="F206" s="21"/>
      <c r="G206" s="21"/>
      <c r="H206" s="21"/>
      <c r="I206" s="21"/>
      <c r="J206" s="21"/>
      <c r="K206" s="21"/>
      <c r="L206" s="21"/>
      <c r="M206" s="21"/>
      <c r="N206" s="21"/>
      <c r="O206" s="20"/>
    </row>
    <row r="207" spans="1:15" x14ac:dyDescent="0.3">
      <c r="A207" s="18"/>
      <c r="B207" s="21" t="str">
        <v>C:\Projects\runline-docs\docs\products\u\examples\pubsub\draft_excel-to-dashboard-single-dataset\files\u-xl2web-single-page-pub.xlsx</v>
      </c>
      <c r="C207" s="21"/>
      <c r="D207" s="21"/>
      <c r="E207" s="21"/>
      <c r="F207" s="21"/>
      <c r="G207" s="21"/>
      <c r="H207" s="21"/>
      <c r="I207" s="21"/>
      <c r="J207" s="21"/>
      <c r="K207" s="21"/>
      <c r="L207" s="21"/>
      <c r="M207" s="21"/>
      <c r="N207" s="21"/>
      <c r="O207" s="20"/>
    </row>
    <row r="208" spans="1:15" x14ac:dyDescent="0.3">
      <c r="A208" s="18"/>
      <c r="B208" s="21" t="str">
        <v>C:\Users\bpierce\Dropbox\Taxes\Taxes 2025\income.xlsx</v>
      </c>
      <c r="C208" s="21"/>
      <c r="D208" s="21"/>
      <c r="E208" s="21"/>
      <c r="F208" s="21"/>
      <c r="G208" s="21"/>
      <c r="H208" s="21"/>
      <c r="I208" s="21"/>
      <c r="J208" s="21"/>
      <c r="K208" s="21"/>
      <c r="L208" s="21"/>
      <c r="M208" s="21"/>
      <c r="N208" s="21"/>
      <c r="O208" s="20"/>
    </row>
    <row r="209" spans="1:15" x14ac:dyDescent="0.3">
      <c r="A209" s="18"/>
      <c r="B209" s="21" t="str">
        <v>C:\Users\bpierce\Dropbox\Taxes\Taxes 2025\2024 Prop Expenses Total.xlsx</v>
      </c>
      <c r="C209" s="21"/>
      <c r="D209" s="21"/>
      <c r="E209" s="21"/>
      <c r="F209" s="21"/>
      <c r="G209" s="21"/>
      <c r="H209" s="21"/>
      <c r="I209" s="21"/>
      <c r="J209" s="21"/>
      <c r="K209" s="21"/>
      <c r="L209" s="21"/>
      <c r="M209" s="21"/>
      <c r="N209" s="21"/>
      <c r="O209" s="20"/>
    </row>
    <row r="210" spans="1:15" x14ac:dyDescent="0.3">
      <c r="A210" s="18"/>
      <c r="B210" s="21" t="str">
        <v>C:\Users\bpierce\Dropbox\Taxes\Taxes 2024\income.xlsx</v>
      </c>
      <c r="C210" s="21"/>
      <c r="D210" s="21"/>
      <c r="E210" s="21"/>
      <c r="F210" s="21"/>
      <c r="G210" s="21"/>
      <c r="H210" s="21"/>
      <c r="I210" s="21"/>
      <c r="J210" s="21"/>
      <c r="K210" s="21"/>
      <c r="L210" s="21"/>
      <c r="M210" s="21"/>
      <c r="N210" s="21"/>
      <c r="O210" s="20"/>
    </row>
    <row r="211" spans="1:15" x14ac:dyDescent="0.3">
      <c r="A211" s="18"/>
      <c r="B211" s="21" t="str">
        <v>C:\Users\bpierce\Dropbox\Taxes\Taxes 2025\2024 Property Expenses 911 Ocean Dr.xlsx</v>
      </c>
      <c r="C211" s="21"/>
      <c r="D211" s="21"/>
      <c r="E211" s="21"/>
      <c r="F211" s="21"/>
      <c r="G211" s="21"/>
      <c r="H211" s="21"/>
      <c r="I211" s="21"/>
      <c r="J211" s="21"/>
      <c r="K211" s="21"/>
      <c r="L211" s="21"/>
      <c r="M211" s="21"/>
      <c r="N211" s="21"/>
      <c r="O211" s="20"/>
    </row>
    <row r="212" spans="1:15" x14ac:dyDescent="0.3">
      <c r="A212" s="18"/>
      <c r="B212" s="21" t="str">
        <v>C:\Users\bpierce\Dropbox\Taxes\Taxes 2025\2025 PNL for Jen.xlsx</v>
      </c>
      <c r="C212" s="21"/>
      <c r="D212" s="21"/>
      <c r="E212" s="21"/>
      <c r="F212" s="21"/>
      <c r="G212" s="21"/>
      <c r="H212" s="21"/>
      <c r="I212" s="21"/>
      <c r="J212" s="21"/>
      <c r="K212" s="21"/>
      <c r="L212" s="21"/>
      <c r="M212" s="21"/>
      <c r="N212" s="21"/>
      <c r="O212" s="20"/>
    </row>
    <row r="213" spans="1:15" x14ac:dyDescent="0.3">
      <c r="A213" s="18"/>
      <c r="B213" s="21" t="str">
        <v>C:\Users\bpierce\Dropbox\Taxes\Taxes 2024\Kurt_Bobby_Payments.xlsx</v>
      </c>
      <c r="C213" s="21"/>
      <c r="D213" s="21"/>
      <c r="E213" s="21"/>
      <c r="F213" s="21"/>
      <c r="G213" s="21"/>
      <c r="H213" s="21"/>
      <c r="I213" s="21"/>
      <c r="J213" s="21"/>
      <c r="K213" s="21"/>
      <c r="L213" s="21"/>
      <c r="M213" s="21"/>
      <c r="N213" s="21"/>
      <c r="O213" s="20"/>
    </row>
    <row r="214" spans="1:15" x14ac:dyDescent="0.3">
      <c r="A214" s="18"/>
      <c r="B214" s="21" t="str">
        <v>C:\Users\bpierce\Dropbox\Taxes\Taxes 2025\Runline\Chase_Checking_Activity.CSV</v>
      </c>
      <c r="C214" s="21"/>
      <c r="D214" s="21"/>
      <c r="E214" s="21"/>
      <c r="F214" s="21"/>
      <c r="G214" s="21"/>
      <c r="H214" s="21"/>
      <c r="I214" s="21"/>
      <c r="J214" s="21"/>
      <c r="K214" s="21"/>
      <c r="L214" s="21"/>
      <c r="M214" s="21"/>
      <c r="N214" s="21"/>
      <c r="O214" s="20"/>
    </row>
    <row r="215" spans="1:15" x14ac:dyDescent="0.3">
      <c r="A215" s="18"/>
      <c r="B215" s="21" t="str">
        <v>C:\Users\bpierce\Dropbox\Taxes\Taxes 2025\Runline\Chase_Biz_Visa.CSV</v>
      </c>
      <c r="C215" s="21"/>
      <c r="D215" s="21"/>
      <c r="E215" s="21"/>
      <c r="F215" s="21"/>
      <c r="G215" s="21"/>
      <c r="H215" s="21"/>
      <c r="I215" s="21"/>
      <c r="J215" s="21"/>
      <c r="K215" s="21"/>
      <c r="L215" s="21"/>
      <c r="M215" s="21"/>
      <c r="N215" s="21"/>
      <c r="O215" s="20"/>
    </row>
    <row r="216" spans="1:15" x14ac:dyDescent="0.3">
      <c r="A216" s="18"/>
      <c r="B216" s="21" t="str">
        <v>C:\Users\bpierce\Dropbox\Taxes\Taxes 2025\Runline\Amex_Activity.csv</v>
      </c>
      <c r="C216" s="21"/>
      <c r="D216" s="21"/>
      <c r="E216" s="21"/>
      <c r="F216" s="21"/>
      <c r="G216" s="21"/>
      <c r="H216" s="21"/>
      <c r="I216" s="21"/>
      <c r="J216" s="21"/>
      <c r="K216" s="21"/>
      <c r="L216" s="21"/>
      <c r="M216" s="21"/>
      <c r="N216" s="21"/>
      <c r="O216" s="20"/>
    </row>
    <row r="217" spans="1:15" x14ac:dyDescent="0.3">
      <c r="A217" s="18"/>
      <c r="B217" s="21"/>
      <c r="C217" s="21"/>
      <c r="D217" s="21"/>
      <c r="E217" s="21"/>
      <c r="F217" s="21"/>
      <c r="G217" s="21"/>
      <c r="H217" s="21"/>
      <c r="I217" s="21"/>
      <c r="J217" s="21"/>
      <c r="K217" s="21"/>
      <c r="L217" s="21"/>
      <c r="M217" s="21"/>
      <c r="N217" s="21"/>
      <c r="O217" s="20"/>
    </row>
    <row r="218" spans="1:15" ht="15" thickBot="1" x14ac:dyDescent="0.35">
      <c r="A218" s="22"/>
      <c r="B218" s="23"/>
      <c r="C218" s="23"/>
      <c r="D218" s="23"/>
      <c r="E218" s="23"/>
      <c r="F218" s="23"/>
      <c r="G218" s="23"/>
      <c r="H218" s="23"/>
      <c r="I218" s="23"/>
      <c r="J218" s="23"/>
      <c r="K218" s="23"/>
      <c r="L218" s="23"/>
      <c r="M218" s="23"/>
      <c r="N218" s="23"/>
      <c r="O218" s="24"/>
    </row>
  </sheetData>
  <mergeCells count="161">
    <mergeCell ref="Q164:R166"/>
    <mergeCell ref="S164:Y166"/>
    <mergeCell ref="Z164:Z166"/>
    <mergeCell ref="Q167:R169"/>
    <mergeCell ref="S167:Y169"/>
    <mergeCell ref="Z167:Z169"/>
    <mergeCell ref="Q153:Z153"/>
    <mergeCell ref="Q154:R156"/>
    <mergeCell ref="S154:Z156"/>
    <mergeCell ref="Q157:R157"/>
    <mergeCell ref="S157:Y157"/>
    <mergeCell ref="Q158:R160"/>
    <mergeCell ref="S158:Y160"/>
    <mergeCell ref="Z158:Z160"/>
    <mergeCell ref="Q161:R163"/>
    <mergeCell ref="S161:Y163"/>
    <mergeCell ref="Z161:Z163"/>
    <mergeCell ref="Z147:Z149"/>
    <mergeCell ref="Q81:R83"/>
    <mergeCell ref="S81:Y83"/>
    <mergeCell ref="Z81:Z83"/>
    <mergeCell ref="Q26:R28"/>
    <mergeCell ref="S26:Y28"/>
    <mergeCell ref="Z26:Z28"/>
    <mergeCell ref="Q52:R54"/>
    <mergeCell ref="S52:Y54"/>
    <mergeCell ref="Z52:Z54"/>
    <mergeCell ref="Q130:R132"/>
    <mergeCell ref="S130:Y132"/>
    <mergeCell ref="Z130:Z132"/>
    <mergeCell ref="Q95:R97"/>
    <mergeCell ref="S95:Y97"/>
    <mergeCell ref="Z95:Z97"/>
    <mergeCell ref="Q98:R100"/>
    <mergeCell ref="S98:Y100"/>
    <mergeCell ref="Z98:Z100"/>
    <mergeCell ref="Q69:R71"/>
    <mergeCell ref="S69:Y71"/>
    <mergeCell ref="Z69:Z71"/>
    <mergeCell ref="Q87:Z87"/>
    <mergeCell ref="Q88:R90"/>
    <mergeCell ref="S88:Z90"/>
    <mergeCell ref="Q91:R91"/>
    <mergeCell ref="S91:Y91"/>
    <mergeCell ref="Q92:R94"/>
    <mergeCell ref="S92:Y94"/>
    <mergeCell ref="Z92:Z94"/>
    <mergeCell ref="Q75:R77"/>
    <mergeCell ref="S75:Y77"/>
    <mergeCell ref="Z75:Z77"/>
    <mergeCell ref="Q78:R80"/>
    <mergeCell ref="S78:Y80"/>
    <mergeCell ref="Z78:Z80"/>
    <mergeCell ref="Z66:Z68"/>
    <mergeCell ref="Q72:R74"/>
    <mergeCell ref="S72:Y74"/>
    <mergeCell ref="Z72:Z74"/>
    <mergeCell ref="Q62:R62"/>
    <mergeCell ref="S62:Y62"/>
    <mergeCell ref="Q66:R68"/>
    <mergeCell ref="S66:Y68"/>
    <mergeCell ref="B44:C44"/>
    <mergeCell ref="B49:C49"/>
    <mergeCell ref="Q63:R65"/>
    <mergeCell ref="S63:Y65"/>
    <mergeCell ref="Q32:Z32"/>
    <mergeCell ref="Q33:R35"/>
    <mergeCell ref="S33:Z35"/>
    <mergeCell ref="Q36:R36"/>
    <mergeCell ref="S36:Y36"/>
    <mergeCell ref="S23:Y25"/>
    <mergeCell ref="Z23:Z25"/>
    <mergeCell ref="Q23:R25"/>
    <mergeCell ref="Z63:Z65"/>
    <mergeCell ref="Q59:R61"/>
    <mergeCell ref="S43:Y45"/>
    <mergeCell ref="Z43:Z45"/>
    <mergeCell ref="S59:Z61"/>
    <mergeCell ref="Q58:Z58"/>
    <mergeCell ref="Q49:R51"/>
    <mergeCell ref="S49:Y51"/>
    <mergeCell ref="Z49:Z51"/>
    <mergeCell ref="Q43:R45"/>
    <mergeCell ref="Q46:R48"/>
    <mergeCell ref="S46:Y48"/>
    <mergeCell ref="Z46:Z48"/>
    <mergeCell ref="Q37:R39"/>
    <mergeCell ref="S37:Y39"/>
    <mergeCell ref="Z37:Z39"/>
    <mergeCell ref="Q40:R42"/>
    <mergeCell ref="S40:Y42"/>
    <mergeCell ref="Z40:Z42"/>
    <mergeCell ref="Q3:Z3"/>
    <mergeCell ref="B6:C6"/>
    <mergeCell ref="Q4:R6"/>
    <mergeCell ref="S4:Z6"/>
    <mergeCell ref="Q7:R7"/>
    <mergeCell ref="S7:Y7"/>
    <mergeCell ref="Q20:R22"/>
    <mergeCell ref="S20:Y22"/>
    <mergeCell ref="Z20:Z22"/>
    <mergeCell ref="Q11:R13"/>
    <mergeCell ref="S11:Y13"/>
    <mergeCell ref="Z11:Z13"/>
    <mergeCell ref="S14:Y16"/>
    <mergeCell ref="Z14:Z16"/>
    <mergeCell ref="Q17:R19"/>
    <mergeCell ref="S17:Y19"/>
    <mergeCell ref="Z17:Z19"/>
    <mergeCell ref="Q14:R16"/>
    <mergeCell ref="B12:F12"/>
    <mergeCell ref="Q8:R10"/>
    <mergeCell ref="S8:Y10"/>
    <mergeCell ref="Z8:Z10"/>
    <mergeCell ref="Q137:R139"/>
    <mergeCell ref="S137:Z139"/>
    <mergeCell ref="Q136:Z136"/>
    <mergeCell ref="Q140:R140"/>
    <mergeCell ref="S140:Y140"/>
    <mergeCell ref="Q101:R103"/>
    <mergeCell ref="S101:Y103"/>
    <mergeCell ref="S124:Y126"/>
    <mergeCell ref="Z124:Z126"/>
    <mergeCell ref="Q107:Z107"/>
    <mergeCell ref="Q108:R110"/>
    <mergeCell ref="S108:Z110"/>
    <mergeCell ref="Q111:R111"/>
    <mergeCell ref="S111:Y111"/>
    <mergeCell ref="Z101:Z103"/>
    <mergeCell ref="Q127:R129"/>
    <mergeCell ref="S127:Y129"/>
    <mergeCell ref="Z127:Z129"/>
    <mergeCell ref="Q115:R117"/>
    <mergeCell ref="S115:Y117"/>
    <mergeCell ref="Z115:Z117"/>
    <mergeCell ref="Q124:R126"/>
    <mergeCell ref="Q118:R120"/>
    <mergeCell ref="S118:Y120"/>
    <mergeCell ref="Z118:Z120"/>
    <mergeCell ref="Q121:R123"/>
    <mergeCell ref="S121:Y123"/>
    <mergeCell ref="Z121:Z123"/>
    <mergeCell ref="Q112:R114"/>
    <mergeCell ref="S112:Y114"/>
    <mergeCell ref="Z112:Z114"/>
    <mergeCell ref="Q178:R180"/>
    <mergeCell ref="S178:Y180"/>
    <mergeCell ref="Z178:Z180"/>
    <mergeCell ref="Q144:R146"/>
    <mergeCell ref="S144:Y146"/>
    <mergeCell ref="Z144:Z146"/>
    <mergeCell ref="Q141:R143"/>
    <mergeCell ref="S141:Y143"/>
    <mergeCell ref="Z141:Z143"/>
    <mergeCell ref="Q177:R177"/>
    <mergeCell ref="S177:Y177"/>
    <mergeCell ref="Q173:Z173"/>
    <mergeCell ref="Q174:R176"/>
    <mergeCell ref="S174:Z176"/>
    <mergeCell ref="Q147:R149"/>
    <mergeCell ref="S147:Y149"/>
  </mergeCells>
  <pageMargins left="0.7" right="0.7" top="0.75" bottom="0.75" header="0.3" footer="0.3"/>
  <pageSetup orientation="portrait"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2"/>
  <dimension ref="A1:AB297"/>
  <sheetViews>
    <sheetView zoomScaleNormal="100"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36" bestFit="1" customWidth="1"/>
    <col min="4" max="4" width="14.77734375" customWidth="1"/>
    <col min="5" max="5" width="37.77734375" customWidth="1"/>
    <col min="6" max="6" width="18.77734375" customWidth="1"/>
    <col min="7" max="7" width="14.44140625" customWidth="1"/>
    <col min="16" max="16" width="14.5546875" customWidth="1"/>
    <col min="17" max="17" width="77.5546875" customWidth="1"/>
    <col min="19" max="20" width="11.77734375" customWidth="1"/>
    <col min="21" max="27" width="17.21875" customWidth="1"/>
  </cols>
  <sheetData>
    <row r="1" spans="1:28" ht="34.5" customHeight="1" thickBot="1" x14ac:dyDescent="0.35">
      <c r="A1" s="292" t="s">
        <v>1580</v>
      </c>
      <c r="B1" s="473" t="e" vm="1">
        <v>#VALUE!</v>
      </c>
      <c r="C1" s="8" t="s">
        <v>340</v>
      </c>
      <c r="D1" s="27"/>
      <c r="E1" s="16"/>
      <c r="F1" s="16"/>
      <c r="G1" s="16"/>
      <c r="H1" s="16"/>
      <c r="I1" s="16"/>
      <c r="J1" s="16"/>
      <c r="K1" s="16"/>
      <c r="L1" s="16"/>
      <c r="M1" s="16"/>
      <c r="N1" s="16"/>
      <c r="O1" s="16"/>
      <c r="P1" s="16"/>
      <c r="Q1" s="19"/>
    </row>
    <row r="2" spans="1:28" ht="15" customHeight="1" x14ac:dyDescent="0.3">
      <c r="A2" s="18"/>
      <c r="B2" s="25"/>
      <c r="C2" s="25"/>
      <c r="D2" s="21"/>
      <c r="E2" s="21"/>
      <c r="F2" s="21"/>
      <c r="G2" s="21"/>
      <c r="H2" s="21"/>
      <c r="I2" s="21"/>
      <c r="J2" s="21"/>
      <c r="K2" s="21"/>
      <c r="L2" s="21"/>
      <c r="M2" s="21"/>
      <c r="N2" s="21"/>
      <c r="O2" s="21"/>
      <c r="P2" s="21"/>
      <c r="Q2" s="20"/>
    </row>
    <row r="3" spans="1:28" ht="15" customHeight="1" x14ac:dyDescent="0.3">
      <c r="A3" s="18"/>
      <c r="B3" s="21"/>
      <c r="C3" s="21"/>
      <c r="D3" s="26"/>
      <c r="E3" s="21"/>
      <c r="F3" s="21"/>
      <c r="G3" s="21"/>
      <c r="H3" s="21"/>
      <c r="I3" s="21"/>
      <c r="J3" s="21"/>
      <c r="K3" s="21"/>
      <c r="L3" s="21"/>
      <c r="M3" s="21"/>
      <c r="N3" s="21"/>
      <c r="O3" s="21"/>
      <c r="P3" s="21"/>
      <c r="Q3" s="20"/>
      <c r="S3" s="486" t="s">
        <v>3488</v>
      </c>
      <c r="T3" s="486"/>
      <c r="U3" s="486"/>
      <c r="V3" s="486"/>
      <c r="W3" s="486"/>
      <c r="X3" s="486"/>
      <c r="Y3" s="486"/>
      <c r="Z3" s="486"/>
      <c r="AA3" s="486"/>
      <c r="AB3" s="486"/>
    </row>
    <row r="4" spans="1:28" ht="15" customHeight="1" x14ac:dyDescent="0.3">
      <c r="A4" s="18"/>
      <c r="B4" s="101" t="s">
        <v>341</v>
      </c>
      <c r="C4" s="21"/>
      <c r="D4" s="26"/>
      <c r="E4" s="101" t="s">
        <v>3488</v>
      </c>
      <c r="F4" s="21"/>
      <c r="G4" s="21"/>
      <c r="H4" s="21"/>
      <c r="I4" s="21"/>
      <c r="J4" s="21"/>
      <c r="K4" s="21"/>
      <c r="L4" s="21"/>
      <c r="M4" s="21"/>
      <c r="N4" s="21"/>
      <c r="O4" s="21"/>
      <c r="P4" s="21"/>
      <c r="Q4" s="20"/>
      <c r="S4" s="487" t="s">
        <v>333</v>
      </c>
      <c r="T4" s="487"/>
      <c r="U4" s="487" t="s">
        <v>503</v>
      </c>
      <c r="V4" s="487"/>
      <c r="W4" s="487"/>
      <c r="X4" s="487"/>
      <c r="Y4" s="487"/>
      <c r="Z4" s="487"/>
      <c r="AA4" s="487"/>
      <c r="AB4" s="487"/>
    </row>
    <row r="5" spans="1:28" x14ac:dyDescent="0.3">
      <c r="A5" s="18"/>
      <c r="B5" s="42" t="s">
        <v>342</v>
      </c>
      <c r="C5" s="21"/>
      <c r="D5" s="21"/>
      <c r="E5" s="97" t="str">
        <f t="array" ref="E5:E6">_xll.U.LAUNCH_EXCEL(B5:B6)</f>
        <v>File not found [C:/MyFolder/blah.xlsx]</v>
      </c>
      <c r="F5" s="21"/>
      <c r="G5" s="21"/>
      <c r="H5" s="21"/>
      <c r="I5" s="21"/>
      <c r="J5" s="21"/>
      <c r="K5" s="21"/>
      <c r="L5" s="21"/>
      <c r="M5" s="21"/>
      <c r="N5" s="21"/>
      <c r="O5" s="21"/>
      <c r="P5" s="21"/>
      <c r="Q5" s="20"/>
      <c r="S5" s="487"/>
      <c r="T5" s="487"/>
      <c r="U5" s="487"/>
      <c r="V5" s="487"/>
      <c r="W5" s="487"/>
      <c r="X5" s="487"/>
      <c r="Y5" s="487"/>
      <c r="Z5" s="487"/>
      <c r="AA5" s="487"/>
      <c r="AB5" s="487"/>
    </row>
    <row r="6" spans="1:28" x14ac:dyDescent="0.3">
      <c r="A6" s="18"/>
      <c r="B6" s="42" t="s">
        <v>343</v>
      </c>
      <c r="C6" s="21"/>
      <c r="D6" s="21"/>
      <c r="E6" s="97" t="str">
        <v>File not found [C:/MyFolder/blah2.xlsx]</v>
      </c>
      <c r="F6" s="21"/>
      <c r="G6" s="21"/>
      <c r="H6" s="21"/>
      <c r="I6" s="21"/>
      <c r="J6" s="21"/>
      <c r="K6" s="21"/>
      <c r="L6" s="21"/>
      <c r="M6" s="21"/>
      <c r="N6" s="21"/>
      <c r="O6" s="21"/>
      <c r="P6" s="21"/>
      <c r="Q6" s="20"/>
      <c r="S6" s="487"/>
      <c r="T6" s="487"/>
      <c r="U6" s="487"/>
      <c r="V6" s="487"/>
      <c r="W6" s="487"/>
      <c r="X6" s="487"/>
      <c r="Y6" s="487"/>
      <c r="Z6" s="487"/>
      <c r="AA6" s="487"/>
      <c r="AB6" s="487"/>
    </row>
    <row r="7" spans="1:28" x14ac:dyDescent="0.3">
      <c r="A7" s="18"/>
      <c r="B7" s="21"/>
      <c r="C7" s="21"/>
      <c r="D7" s="21"/>
      <c r="E7" s="21"/>
      <c r="F7" s="21"/>
      <c r="G7" s="21"/>
      <c r="H7" s="21"/>
      <c r="I7" s="21"/>
      <c r="J7" s="21"/>
      <c r="K7" s="21"/>
      <c r="L7" s="21"/>
      <c r="M7" s="21"/>
      <c r="N7" s="21"/>
      <c r="O7" s="21"/>
      <c r="P7" s="21"/>
      <c r="Q7" s="20"/>
      <c r="S7" s="483" t="s">
        <v>323</v>
      </c>
      <c r="T7" s="483"/>
      <c r="U7" s="483" t="s">
        <v>1</v>
      </c>
      <c r="V7" s="483"/>
      <c r="W7" s="483"/>
      <c r="X7" s="483"/>
      <c r="Y7" s="483"/>
      <c r="Z7" s="483"/>
      <c r="AA7" s="483"/>
      <c r="AB7" s="85" t="s">
        <v>324</v>
      </c>
    </row>
    <row r="8" spans="1:28" x14ac:dyDescent="0.3">
      <c r="A8" s="18"/>
      <c r="B8" s="21"/>
      <c r="C8" s="99"/>
      <c r="D8" s="21"/>
      <c r="E8" s="21"/>
      <c r="F8" s="21"/>
      <c r="G8" s="21"/>
      <c r="H8" s="21"/>
      <c r="I8" s="21"/>
      <c r="J8" s="21"/>
      <c r="K8" s="21"/>
      <c r="L8" s="21"/>
      <c r="M8" s="21"/>
      <c r="N8" s="21"/>
      <c r="O8" s="21"/>
      <c r="P8" s="21"/>
      <c r="Q8" s="20"/>
      <c r="S8" s="487" t="s">
        <v>502</v>
      </c>
      <c r="T8" s="487"/>
      <c r="U8" s="487" t="s">
        <v>1725</v>
      </c>
      <c r="V8" s="487"/>
      <c r="W8" s="487"/>
      <c r="X8" s="487"/>
      <c r="Y8" s="487"/>
      <c r="Z8" s="487"/>
      <c r="AA8" s="487"/>
      <c r="AB8" s="509" t="s">
        <v>325</v>
      </c>
    </row>
    <row r="9" spans="1:28" x14ac:dyDescent="0.3">
      <c r="A9" s="18"/>
      <c r="B9" s="21"/>
      <c r="C9" s="21"/>
      <c r="D9" s="21"/>
      <c r="E9" s="21"/>
      <c r="F9" s="21"/>
      <c r="G9" s="21"/>
      <c r="H9" s="21"/>
      <c r="I9" s="21"/>
      <c r="J9" s="21"/>
      <c r="K9" s="21"/>
      <c r="L9" s="21"/>
      <c r="M9" s="21"/>
      <c r="N9" s="21"/>
      <c r="O9" s="21"/>
      <c r="P9" s="21"/>
      <c r="Q9" s="20"/>
      <c r="S9" s="487"/>
      <c r="T9" s="487"/>
      <c r="U9" s="487"/>
      <c r="V9" s="487"/>
      <c r="W9" s="487"/>
      <c r="X9" s="487"/>
      <c r="Y9" s="487"/>
      <c r="Z9" s="487"/>
      <c r="AA9" s="487"/>
      <c r="AB9" s="509"/>
    </row>
    <row r="10" spans="1:28" x14ac:dyDescent="0.3">
      <c r="A10" s="18"/>
      <c r="B10" s="21"/>
      <c r="C10" s="21"/>
      <c r="D10" s="21"/>
      <c r="E10" s="21"/>
      <c r="F10" s="21"/>
      <c r="G10" s="21"/>
      <c r="H10" s="21"/>
      <c r="I10" s="21"/>
      <c r="J10" s="21"/>
      <c r="K10" s="21"/>
      <c r="L10" s="21"/>
      <c r="M10" s="21"/>
      <c r="N10" s="21"/>
      <c r="O10" s="21"/>
      <c r="P10" s="21"/>
      <c r="Q10" s="20"/>
      <c r="S10" s="487"/>
      <c r="T10" s="487"/>
      <c r="U10" s="487"/>
      <c r="V10" s="487"/>
      <c r="W10" s="487"/>
      <c r="X10" s="487"/>
      <c r="Y10" s="487"/>
      <c r="Z10" s="487"/>
      <c r="AA10" s="487"/>
      <c r="AB10" s="509"/>
    </row>
    <row r="11" spans="1:28" x14ac:dyDescent="0.3">
      <c r="A11" s="18"/>
      <c r="B11" s="21"/>
      <c r="C11" s="21"/>
      <c r="D11" s="21"/>
      <c r="E11" s="21"/>
      <c r="F11" s="21"/>
      <c r="G11" s="21"/>
      <c r="H11" s="21"/>
      <c r="I11" s="21"/>
      <c r="J11" s="21"/>
      <c r="K11" s="21"/>
      <c r="L11" s="21"/>
      <c r="M11" s="21"/>
      <c r="N11" s="21"/>
      <c r="O11" s="21"/>
      <c r="P11" s="21"/>
      <c r="Q11" s="20"/>
      <c r="S11" s="484" t="s">
        <v>604</v>
      </c>
      <c r="T11" s="484"/>
      <c r="U11" s="484" t="s">
        <v>3640</v>
      </c>
      <c r="V11" s="484"/>
      <c r="W11" s="484"/>
      <c r="X11" s="484"/>
      <c r="Y11" s="484"/>
      <c r="Z11" s="484"/>
      <c r="AA11" s="484"/>
      <c r="AB11" s="485" t="s">
        <v>326</v>
      </c>
    </row>
    <row r="12" spans="1:28" x14ac:dyDescent="0.3">
      <c r="A12" s="18"/>
      <c r="B12" s="21"/>
      <c r="C12" s="21"/>
      <c r="D12" s="21"/>
      <c r="E12" s="21"/>
      <c r="F12" s="21"/>
      <c r="G12" s="21"/>
      <c r="H12" s="21"/>
      <c r="I12" s="21"/>
      <c r="J12" s="21"/>
      <c r="K12" s="21"/>
      <c r="L12" s="21"/>
      <c r="M12" s="21"/>
      <c r="N12" s="21"/>
      <c r="O12" s="21"/>
      <c r="P12" s="21"/>
      <c r="Q12" s="20"/>
      <c r="S12" s="484"/>
      <c r="T12" s="484"/>
      <c r="U12" s="484"/>
      <c r="V12" s="484"/>
      <c r="W12" s="484"/>
      <c r="X12" s="484"/>
      <c r="Y12" s="484"/>
      <c r="Z12" s="484"/>
      <c r="AA12" s="484"/>
      <c r="AB12" s="485"/>
    </row>
    <row r="13" spans="1:28" x14ac:dyDescent="0.3">
      <c r="A13" s="18"/>
      <c r="B13" s="21"/>
      <c r="C13" s="21"/>
      <c r="D13" s="21"/>
      <c r="E13" s="21"/>
      <c r="F13" s="21"/>
      <c r="G13" s="21"/>
      <c r="H13" s="21"/>
      <c r="I13" s="21"/>
      <c r="J13" s="21"/>
      <c r="K13" s="21"/>
      <c r="L13" s="21"/>
      <c r="M13" s="21"/>
      <c r="N13" s="21"/>
      <c r="O13" s="21"/>
      <c r="P13" s="21"/>
      <c r="Q13" s="20"/>
      <c r="S13" s="484"/>
      <c r="T13" s="484"/>
      <c r="U13" s="484"/>
      <c r="V13" s="484"/>
      <c r="W13" s="484"/>
      <c r="X13" s="484"/>
      <c r="Y13" s="484"/>
      <c r="Z13" s="484"/>
      <c r="AA13" s="484"/>
      <c r="AB13" s="485"/>
    </row>
    <row r="14" spans="1:28" x14ac:dyDescent="0.3">
      <c r="A14" s="18"/>
      <c r="B14" s="21"/>
      <c r="C14" s="21"/>
      <c r="D14" s="21"/>
      <c r="E14" s="21"/>
      <c r="F14" s="21"/>
      <c r="G14" s="21"/>
      <c r="H14" s="21"/>
      <c r="I14" s="21"/>
      <c r="J14" s="21"/>
      <c r="K14" s="21"/>
      <c r="L14" s="21"/>
      <c r="M14" s="21"/>
      <c r="N14" s="21"/>
      <c r="O14" s="21"/>
      <c r="P14" s="21"/>
      <c r="Q14" s="20"/>
      <c r="S14" s="484" t="s">
        <v>606</v>
      </c>
      <c r="T14" s="484"/>
      <c r="U14" s="484" t="s">
        <v>1049</v>
      </c>
      <c r="V14" s="484"/>
      <c r="W14" s="484"/>
      <c r="X14" s="484"/>
      <c r="Y14" s="484"/>
      <c r="Z14" s="484"/>
      <c r="AA14" s="484"/>
      <c r="AB14" s="485" t="s">
        <v>326</v>
      </c>
    </row>
    <row r="15" spans="1:28" x14ac:dyDescent="0.3">
      <c r="A15" s="18"/>
      <c r="B15" s="21"/>
      <c r="C15" s="21"/>
      <c r="D15" s="21"/>
      <c r="E15" s="21"/>
      <c r="F15" s="21"/>
      <c r="G15" s="21"/>
      <c r="H15" s="21"/>
      <c r="I15" s="21"/>
      <c r="J15" s="21"/>
      <c r="K15" s="21"/>
      <c r="L15" s="21"/>
      <c r="M15" s="21"/>
      <c r="N15" s="21"/>
      <c r="O15" s="21"/>
      <c r="P15" s="21"/>
      <c r="Q15" s="20"/>
      <c r="S15" s="484"/>
      <c r="T15" s="484"/>
      <c r="U15" s="484"/>
      <c r="V15" s="484"/>
      <c r="W15" s="484"/>
      <c r="X15" s="484"/>
      <c r="Y15" s="484"/>
      <c r="Z15" s="484"/>
      <c r="AA15" s="484"/>
      <c r="AB15" s="485"/>
    </row>
    <row r="16" spans="1:28" x14ac:dyDescent="0.3">
      <c r="A16" s="18"/>
      <c r="B16" s="21"/>
      <c r="C16" s="21"/>
      <c r="D16" s="21"/>
      <c r="E16" s="21"/>
      <c r="F16" s="21"/>
      <c r="G16" s="21"/>
      <c r="H16" s="21"/>
      <c r="I16" s="21"/>
      <c r="J16" s="21"/>
      <c r="K16" s="21"/>
      <c r="L16" s="21"/>
      <c r="M16" s="21"/>
      <c r="N16" s="21"/>
      <c r="O16" s="21"/>
      <c r="P16" s="21"/>
      <c r="Q16" s="20"/>
      <c r="S16" s="484"/>
      <c r="T16" s="484"/>
      <c r="U16" s="484"/>
      <c r="V16" s="484"/>
      <c r="W16" s="484"/>
      <c r="X16" s="484"/>
      <c r="Y16" s="484"/>
      <c r="Z16" s="484"/>
      <c r="AA16" s="484"/>
      <c r="AB16" s="485"/>
    </row>
    <row r="17" spans="1:28" x14ac:dyDescent="0.3">
      <c r="A17" s="18"/>
      <c r="B17" s="21"/>
      <c r="C17" s="21"/>
      <c r="D17" s="21"/>
      <c r="E17" s="21"/>
      <c r="F17" s="21"/>
      <c r="G17" s="21"/>
      <c r="H17" s="21"/>
      <c r="I17" s="21"/>
      <c r="J17" s="21"/>
      <c r="K17" s="21"/>
      <c r="L17" s="21"/>
      <c r="M17" s="21"/>
      <c r="N17" s="21"/>
      <c r="O17" s="21"/>
      <c r="P17" s="21"/>
      <c r="Q17" s="20"/>
      <c r="S17" s="484" t="s">
        <v>620</v>
      </c>
      <c r="T17" s="484"/>
      <c r="U17" s="484" t="s">
        <v>3072</v>
      </c>
      <c r="V17" s="484"/>
      <c r="W17" s="484"/>
      <c r="X17" s="484"/>
      <c r="Y17" s="484"/>
      <c r="Z17" s="484"/>
      <c r="AA17" s="484"/>
      <c r="AB17" s="485" t="s">
        <v>326</v>
      </c>
    </row>
    <row r="18" spans="1:28" x14ac:dyDescent="0.3">
      <c r="A18" s="18"/>
      <c r="B18" s="21"/>
      <c r="C18" s="21"/>
      <c r="D18" s="21"/>
      <c r="E18" s="21"/>
      <c r="F18" s="21"/>
      <c r="G18" s="21"/>
      <c r="H18" s="21"/>
      <c r="I18" s="21"/>
      <c r="J18" s="21"/>
      <c r="K18" s="21"/>
      <c r="L18" s="21"/>
      <c r="M18" s="21"/>
      <c r="N18" s="21"/>
      <c r="O18" s="21"/>
      <c r="P18" s="21"/>
      <c r="Q18" s="20"/>
      <c r="S18" s="484"/>
      <c r="T18" s="484"/>
      <c r="U18" s="484"/>
      <c r="V18" s="484"/>
      <c r="W18" s="484"/>
      <c r="X18" s="484"/>
      <c r="Y18" s="484"/>
      <c r="Z18" s="484"/>
      <c r="AA18" s="484"/>
      <c r="AB18" s="485"/>
    </row>
    <row r="19" spans="1:28" x14ac:dyDescent="0.3">
      <c r="A19" s="18"/>
      <c r="B19" s="21"/>
      <c r="C19" s="21"/>
      <c r="D19" s="21"/>
      <c r="E19" s="21"/>
      <c r="F19" s="21"/>
      <c r="G19" s="21"/>
      <c r="H19" s="21"/>
      <c r="I19" s="21"/>
      <c r="J19" s="21"/>
      <c r="K19" s="21"/>
      <c r="L19" s="21"/>
      <c r="M19" s="21"/>
      <c r="N19" s="21"/>
      <c r="O19" s="21"/>
      <c r="P19" s="21"/>
      <c r="Q19" s="20"/>
      <c r="S19" s="484"/>
      <c r="T19" s="484"/>
      <c r="U19" s="484"/>
      <c r="V19" s="484"/>
      <c r="W19" s="484"/>
      <c r="X19" s="484"/>
      <c r="Y19" s="484"/>
      <c r="Z19" s="484"/>
      <c r="AA19" s="484"/>
      <c r="AB19" s="485"/>
    </row>
    <row r="20" spans="1:28" x14ac:dyDescent="0.3">
      <c r="A20" s="18"/>
      <c r="B20" s="21"/>
      <c r="C20" s="21"/>
      <c r="D20" s="21"/>
      <c r="E20" s="21"/>
      <c r="F20" s="21"/>
      <c r="G20" s="21"/>
      <c r="H20" s="21"/>
      <c r="I20" s="21"/>
      <c r="J20" s="21"/>
      <c r="K20" s="21"/>
      <c r="L20" s="21"/>
      <c r="M20" s="21"/>
      <c r="N20" s="21"/>
      <c r="O20" s="21"/>
      <c r="P20" s="21"/>
      <c r="Q20" s="20"/>
      <c r="S20" s="484" t="s">
        <v>1050</v>
      </c>
      <c r="T20" s="484"/>
      <c r="U20" s="484" t="s">
        <v>2065</v>
      </c>
      <c r="V20" s="484"/>
      <c r="W20" s="484"/>
      <c r="X20" s="484"/>
      <c r="Y20" s="484"/>
      <c r="Z20" s="484"/>
      <c r="AA20" s="484"/>
      <c r="AB20" s="485" t="s">
        <v>326</v>
      </c>
    </row>
    <row r="21" spans="1:28" x14ac:dyDescent="0.3">
      <c r="A21" s="18"/>
      <c r="B21" s="21"/>
      <c r="C21" s="21"/>
      <c r="D21" s="21"/>
      <c r="E21" s="21"/>
      <c r="F21" s="21"/>
      <c r="G21" s="21"/>
      <c r="H21" s="21"/>
      <c r="I21" s="21"/>
      <c r="J21" s="21"/>
      <c r="K21" s="21"/>
      <c r="L21" s="21"/>
      <c r="M21" s="21"/>
      <c r="N21" s="21"/>
      <c r="O21" s="21"/>
      <c r="P21" s="21"/>
      <c r="Q21" s="20"/>
      <c r="S21" s="484"/>
      <c r="T21" s="484"/>
      <c r="U21" s="484"/>
      <c r="V21" s="484"/>
      <c r="W21" s="484"/>
      <c r="X21" s="484"/>
      <c r="Y21" s="484"/>
      <c r="Z21" s="484"/>
      <c r="AA21" s="484"/>
      <c r="AB21" s="485"/>
    </row>
    <row r="22" spans="1:28" x14ac:dyDescent="0.3">
      <c r="A22" s="18"/>
      <c r="B22" s="21"/>
      <c r="C22" s="21"/>
      <c r="D22" s="21"/>
      <c r="E22" s="21"/>
      <c r="F22" s="21"/>
      <c r="G22" s="21"/>
      <c r="H22" s="21"/>
      <c r="I22" s="21"/>
      <c r="J22" s="21"/>
      <c r="K22" s="21"/>
      <c r="L22" s="21"/>
      <c r="M22" s="21"/>
      <c r="N22" s="21"/>
      <c r="O22" s="21"/>
      <c r="P22" s="21"/>
      <c r="Q22" s="20"/>
      <c r="S22" s="484"/>
      <c r="T22" s="484"/>
      <c r="U22" s="484"/>
      <c r="V22" s="484"/>
      <c r="W22" s="484"/>
      <c r="X22" s="484"/>
      <c r="Y22" s="484"/>
      <c r="Z22" s="484"/>
      <c r="AA22" s="484"/>
      <c r="AB22" s="485"/>
    </row>
    <row r="23" spans="1:28" x14ac:dyDescent="0.3">
      <c r="A23" s="18"/>
      <c r="B23" s="21"/>
      <c r="C23" s="21"/>
      <c r="D23" s="21"/>
      <c r="E23" s="21"/>
      <c r="F23" s="21"/>
      <c r="G23" s="21"/>
      <c r="H23" s="21"/>
      <c r="I23" s="21"/>
      <c r="J23" s="21"/>
      <c r="K23" s="21"/>
      <c r="L23" s="21"/>
      <c r="M23" s="21"/>
      <c r="N23" s="21"/>
      <c r="O23" s="21"/>
      <c r="P23" s="21"/>
      <c r="Q23" s="20"/>
      <c r="S23" s="484" t="s">
        <v>1728</v>
      </c>
      <c r="T23" s="484"/>
      <c r="U23" s="484" t="s">
        <v>3920</v>
      </c>
      <c r="V23" s="484"/>
      <c r="W23" s="484"/>
      <c r="X23" s="484"/>
      <c r="Y23" s="484"/>
      <c r="Z23" s="484"/>
      <c r="AA23" s="484"/>
      <c r="AB23" s="485" t="s">
        <v>326</v>
      </c>
    </row>
    <row r="24" spans="1:28" x14ac:dyDescent="0.3">
      <c r="A24" s="18"/>
      <c r="B24" s="21"/>
      <c r="C24" s="21"/>
      <c r="D24" s="21"/>
      <c r="E24" s="21"/>
      <c r="F24" s="21"/>
      <c r="G24" s="21"/>
      <c r="H24" s="21"/>
      <c r="I24" s="21"/>
      <c r="J24" s="21"/>
      <c r="K24" s="21"/>
      <c r="L24" s="21"/>
      <c r="M24" s="21"/>
      <c r="N24" s="21"/>
      <c r="O24" s="21"/>
      <c r="P24" s="21"/>
      <c r="Q24" s="20"/>
      <c r="S24" s="484"/>
      <c r="T24" s="484"/>
      <c r="U24" s="484"/>
      <c r="V24" s="484"/>
      <c r="W24" s="484"/>
      <c r="X24" s="484"/>
      <c r="Y24" s="484"/>
      <c r="Z24" s="484"/>
      <c r="AA24" s="484"/>
      <c r="AB24" s="485"/>
    </row>
    <row r="25" spans="1:28" ht="15" customHeight="1" x14ac:dyDescent="0.3">
      <c r="A25" s="18"/>
      <c r="B25" s="21"/>
      <c r="C25" s="21"/>
      <c r="D25" s="21"/>
      <c r="E25" s="21"/>
      <c r="F25" s="21"/>
      <c r="G25" s="21"/>
      <c r="H25" s="21"/>
      <c r="I25" s="21"/>
      <c r="J25" s="21"/>
      <c r="K25" s="21"/>
      <c r="L25" s="21"/>
      <c r="M25" s="21"/>
      <c r="N25" s="21"/>
      <c r="O25" s="21"/>
      <c r="P25" s="21"/>
      <c r="Q25" s="20"/>
      <c r="S25" s="484"/>
      <c r="T25" s="484"/>
      <c r="U25" s="484"/>
      <c r="V25" s="484"/>
      <c r="W25" s="484"/>
      <c r="X25" s="484"/>
      <c r="Y25" s="484"/>
      <c r="Z25" s="484"/>
      <c r="AA25" s="484"/>
      <c r="AB25" s="485"/>
    </row>
    <row r="26" spans="1:28" x14ac:dyDescent="0.3">
      <c r="A26" s="18"/>
      <c r="B26" s="21"/>
      <c r="C26" s="21"/>
      <c r="D26" s="21"/>
      <c r="E26" s="21"/>
      <c r="F26" s="21"/>
      <c r="G26" s="21"/>
      <c r="H26" s="21"/>
      <c r="I26" s="21"/>
      <c r="J26" s="21"/>
      <c r="K26" s="21"/>
      <c r="L26" s="21"/>
      <c r="M26" s="21"/>
      <c r="N26" s="21"/>
      <c r="O26" s="21"/>
      <c r="P26" s="21"/>
      <c r="Q26" s="20"/>
      <c r="S26" s="484" t="s">
        <v>2294</v>
      </c>
      <c r="T26" s="484"/>
      <c r="U26" s="484" t="s">
        <v>2295</v>
      </c>
      <c r="V26" s="484"/>
      <c r="W26" s="484"/>
      <c r="X26" s="484"/>
      <c r="Y26" s="484"/>
      <c r="Z26" s="484"/>
      <c r="AA26" s="484"/>
      <c r="AB26" s="485" t="s">
        <v>326</v>
      </c>
    </row>
    <row r="27" spans="1:28" x14ac:dyDescent="0.3">
      <c r="A27" s="18"/>
      <c r="B27" s="21"/>
      <c r="C27" s="21"/>
      <c r="D27" s="21"/>
      <c r="E27" s="21"/>
      <c r="F27" s="21"/>
      <c r="G27" s="21"/>
      <c r="H27" s="21"/>
      <c r="I27" s="21"/>
      <c r="J27" s="21"/>
      <c r="K27" s="21"/>
      <c r="L27" s="21"/>
      <c r="M27" s="21"/>
      <c r="N27" s="21"/>
      <c r="O27" s="21"/>
      <c r="P27" s="21"/>
      <c r="Q27" s="20"/>
      <c r="S27" s="484"/>
      <c r="T27" s="484"/>
      <c r="U27" s="484"/>
      <c r="V27" s="484"/>
      <c r="W27" s="484"/>
      <c r="X27" s="484"/>
      <c r="Y27" s="484"/>
      <c r="Z27" s="484"/>
      <c r="AA27" s="484"/>
      <c r="AB27" s="485"/>
    </row>
    <row r="28" spans="1:28" x14ac:dyDescent="0.3">
      <c r="A28" s="18"/>
      <c r="B28" s="21"/>
      <c r="C28" s="21"/>
      <c r="D28" s="21"/>
      <c r="E28" s="21"/>
      <c r="F28" s="21"/>
      <c r="G28" s="21"/>
      <c r="H28" s="21"/>
      <c r="I28" s="21"/>
      <c r="J28" s="21"/>
      <c r="K28" s="21"/>
      <c r="L28" s="21"/>
      <c r="M28" s="21"/>
      <c r="N28" s="21"/>
      <c r="O28" s="21"/>
      <c r="P28" s="21"/>
      <c r="Q28" s="20"/>
      <c r="S28" s="484"/>
      <c r="T28" s="484"/>
      <c r="U28" s="484"/>
      <c r="V28" s="484"/>
      <c r="W28" s="484"/>
      <c r="X28" s="484"/>
      <c r="Y28" s="484"/>
      <c r="Z28" s="484"/>
      <c r="AA28" s="484"/>
      <c r="AB28" s="485"/>
    </row>
    <row r="29" spans="1:28" ht="15" customHeight="1" x14ac:dyDescent="0.3">
      <c r="A29" s="18"/>
      <c r="B29" s="21"/>
      <c r="C29" s="21"/>
      <c r="D29" s="21"/>
      <c r="E29" s="21"/>
      <c r="F29" s="21"/>
      <c r="G29" s="21"/>
      <c r="H29" s="21"/>
      <c r="I29" s="21"/>
      <c r="J29" s="21"/>
      <c r="K29" s="21"/>
      <c r="L29" s="21"/>
      <c r="M29" s="21"/>
      <c r="N29" s="21"/>
      <c r="O29" s="21"/>
      <c r="P29" s="21"/>
      <c r="Q29" s="20"/>
      <c r="S29" s="496" t="s">
        <v>2299</v>
      </c>
      <c r="T29" s="497"/>
      <c r="U29" s="496" t="s">
        <v>3088</v>
      </c>
      <c r="V29" s="502"/>
      <c r="W29" s="502"/>
      <c r="X29" s="502"/>
      <c r="Y29" s="502"/>
      <c r="Z29" s="502"/>
      <c r="AA29" s="497"/>
      <c r="AB29" s="505" t="s">
        <v>326</v>
      </c>
    </row>
    <row r="30" spans="1:28" x14ac:dyDescent="0.3">
      <c r="A30" s="18"/>
      <c r="B30" s="85" t="s">
        <v>806</v>
      </c>
      <c r="C30" s="42" t="s">
        <v>808</v>
      </c>
      <c r="D30" s="21"/>
      <c r="E30" s="101" t="s">
        <v>3489</v>
      </c>
      <c r="F30" s="21"/>
      <c r="G30" s="21"/>
      <c r="H30" s="21"/>
      <c r="I30" s="21"/>
      <c r="J30" s="21"/>
      <c r="K30" s="21"/>
      <c r="L30" s="21"/>
      <c r="M30" s="21"/>
      <c r="N30" s="21"/>
      <c r="O30" s="21"/>
      <c r="P30" s="21"/>
      <c r="Q30" s="20"/>
      <c r="S30" s="498"/>
      <c r="T30" s="499"/>
      <c r="U30" s="498"/>
      <c r="V30" s="503"/>
      <c r="W30" s="503"/>
      <c r="X30" s="503"/>
      <c r="Y30" s="503"/>
      <c r="Z30" s="503"/>
      <c r="AA30" s="499"/>
      <c r="AB30" s="506"/>
    </row>
    <row r="31" spans="1:28" x14ac:dyDescent="0.3">
      <c r="A31" s="18"/>
      <c r="B31" s="85" t="s">
        <v>807</v>
      </c>
      <c r="C31" s="177" t="s">
        <v>809</v>
      </c>
      <c r="D31" s="21"/>
      <c r="E31" s="150" t="s">
        <v>3490</v>
      </c>
      <c r="F31" s="21"/>
      <c r="G31" s="21"/>
      <c r="H31" s="21"/>
      <c r="I31" s="21"/>
      <c r="J31" s="21"/>
      <c r="K31" s="21"/>
      <c r="L31" s="21"/>
      <c r="M31" s="21"/>
      <c r="N31" s="21"/>
      <c r="O31" s="21"/>
      <c r="P31" s="21"/>
      <c r="Q31" s="20"/>
      <c r="S31" s="500"/>
      <c r="T31" s="501"/>
      <c r="U31" s="500"/>
      <c r="V31" s="504"/>
      <c r="W31" s="504"/>
      <c r="X31" s="504"/>
      <c r="Y31" s="504"/>
      <c r="Z31" s="504"/>
      <c r="AA31" s="501"/>
      <c r="AB31" s="507"/>
    </row>
    <row r="32" spans="1:28" x14ac:dyDescent="0.3">
      <c r="A32" s="18"/>
      <c r="B32" s="21"/>
      <c r="C32" s="21"/>
      <c r="D32" s="21"/>
      <c r="E32" s="21"/>
      <c r="F32" s="21"/>
      <c r="G32" s="21"/>
      <c r="H32" s="21"/>
      <c r="I32" s="21"/>
      <c r="J32" s="21"/>
      <c r="K32" s="21"/>
      <c r="L32" s="21"/>
      <c r="M32" s="21"/>
      <c r="N32" s="21"/>
      <c r="O32" s="21"/>
      <c r="P32" s="21"/>
      <c r="Q32" s="20"/>
      <c r="S32" s="126" t="s">
        <v>328</v>
      </c>
    </row>
    <row r="33" spans="1:28" x14ac:dyDescent="0.3">
      <c r="A33" s="18"/>
      <c r="B33" s="21"/>
      <c r="C33" s="21"/>
      <c r="D33" s="21"/>
      <c r="E33" s="21"/>
      <c r="F33" s="21"/>
      <c r="G33" s="21"/>
      <c r="H33" s="21"/>
      <c r="I33" s="21"/>
      <c r="J33" s="21"/>
      <c r="K33" s="21"/>
      <c r="L33" s="21"/>
      <c r="M33" s="21"/>
      <c r="N33" s="21"/>
      <c r="O33" s="21"/>
      <c r="P33" s="21"/>
      <c r="Q33" s="20"/>
    </row>
    <row r="34" spans="1:28" x14ac:dyDescent="0.3">
      <c r="A34" s="18"/>
      <c r="B34" s="21"/>
      <c r="C34" s="21"/>
      <c r="D34" s="21"/>
      <c r="E34" s="21"/>
      <c r="F34" s="21"/>
      <c r="G34" s="21"/>
      <c r="H34" s="21"/>
      <c r="I34" s="21"/>
      <c r="J34" s="21"/>
      <c r="K34" s="21"/>
      <c r="L34" s="21"/>
      <c r="M34" s="21"/>
      <c r="N34" s="21"/>
      <c r="O34" s="21"/>
      <c r="P34" s="21"/>
      <c r="Q34" s="20"/>
    </row>
    <row r="35" spans="1:28" x14ac:dyDescent="0.3">
      <c r="A35" s="18"/>
      <c r="B35" s="21"/>
      <c r="C35" s="21"/>
      <c r="D35" s="21"/>
      <c r="E35" s="21"/>
      <c r="F35" s="21"/>
      <c r="G35" s="21"/>
      <c r="H35" s="21"/>
      <c r="I35" s="21"/>
      <c r="J35" s="21"/>
      <c r="K35" s="21"/>
      <c r="L35" s="21"/>
      <c r="M35" s="21"/>
      <c r="N35" s="21"/>
      <c r="O35" s="21"/>
      <c r="P35" s="21"/>
      <c r="Q35" s="20"/>
      <c r="S35" s="486" t="s">
        <v>3489</v>
      </c>
      <c r="T35" s="486"/>
      <c r="U35" s="486"/>
      <c r="V35" s="486"/>
      <c r="W35" s="486"/>
      <c r="X35" s="486"/>
      <c r="Y35" s="486"/>
      <c r="Z35" s="486"/>
      <c r="AA35" s="486"/>
      <c r="AB35" s="486"/>
    </row>
    <row r="36" spans="1:28" x14ac:dyDescent="0.3">
      <c r="A36" s="18"/>
      <c r="B36" s="21"/>
      <c r="C36" s="21"/>
      <c r="D36" s="21"/>
      <c r="E36" s="21"/>
      <c r="F36" s="21"/>
      <c r="G36" s="21"/>
      <c r="H36" s="21"/>
      <c r="I36" s="21"/>
      <c r="J36" s="21"/>
      <c r="K36" s="21"/>
      <c r="L36" s="21"/>
      <c r="M36" s="21"/>
      <c r="N36" s="21"/>
      <c r="O36" s="21"/>
      <c r="P36" s="21"/>
      <c r="Q36" s="20"/>
      <c r="S36" s="487" t="s">
        <v>333</v>
      </c>
      <c r="T36" s="487"/>
      <c r="U36" s="487" t="s">
        <v>810</v>
      </c>
      <c r="V36" s="487"/>
      <c r="W36" s="487"/>
      <c r="X36" s="487"/>
      <c r="Y36" s="487"/>
      <c r="Z36" s="487"/>
      <c r="AA36" s="487"/>
      <c r="AB36" s="487"/>
    </row>
    <row r="37" spans="1:28" x14ac:dyDescent="0.3">
      <c r="A37" s="18"/>
      <c r="B37" s="21"/>
      <c r="C37" s="21"/>
      <c r="D37" s="21"/>
      <c r="E37" s="21"/>
      <c r="F37" s="21"/>
      <c r="G37" s="21"/>
      <c r="H37" s="21"/>
      <c r="I37" s="21"/>
      <c r="J37" s="21"/>
      <c r="K37" s="21"/>
      <c r="L37" s="21"/>
      <c r="M37" s="21"/>
      <c r="N37" s="21"/>
      <c r="O37" s="21"/>
      <c r="P37" s="21"/>
      <c r="Q37" s="20"/>
      <c r="S37" s="487"/>
      <c r="T37" s="487"/>
      <c r="U37" s="487"/>
      <c r="V37" s="487"/>
      <c r="W37" s="487"/>
      <c r="X37" s="487"/>
      <c r="Y37" s="487"/>
      <c r="Z37" s="487"/>
      <c r="AA37" s="487"/>
      <c r="AB37" s="487"/>
    </row>
    <row r="38" spans="1:28" x14ac:dyDescent="0.3">
      <c r="A38" s="18"/>
      <c r="B38" s="21"/>
      <c r="C38" s="21"/>
      <c r="D38" s="21"/>
      <c r="E38" s="21"/>
      <c r="F38" s="21"/>
      <c r="G38" s="21"/>
      <c r="H38" s="21"/>
      <c r="I38" s="21"/>
      <c r="J38" s="21"/>
      <c r="K38" s="21"/>
      <c r="L38" s="21"/>
      <c r="M38" s="21"/>
      <c r="N38" s="21"/>
      <c r="O38" s="21"/>
      <c r="P38" s="21"/>
      <c r="Q38" s="20"/>
      <c r="S38" s="487"/>
      <c r="T38" s="487"/>
      <c r="U38" s="487"/>
      <c r="V38" s="487"/>
      <c r="W38" s="487"/>
      <c r="X38" s="487"/>
      <c r="Y38" s="487"/>
      <c r="Z38" s="487"/>
      <c r="AA38" s="487"/>
      <c r="AB38" s="487"/>
    </row>
    <row r="39" spans="1:28" x14ac:dyDescent="0.3">
      <c r="A39" s="18"/>
      <c r="B39" s="85" t="s">
        <v>344</v>
      </c>
      <c r="C39" s="85" t="s">
        <v>17</v>
      </c>
      <c r="D39" s="21"/>
      <c r="E39" s="101" t="s">
        <v>3491</v>
      </c>
      <c r="F39" s="21"/>
      <c r="G39" s="21"/>
      <c r="H39" s="21"/>
      <c r="I39" s="21"/>
      <c r="J39" s="21"/>
      <c r="K39" s="21"/>
      <c r="L39" s="21"/>
      <c r="M39" s="21"/>
      <c r="N39" s="21"/>
      <c r="O39" s="21"/>
      <c r="P39" s="21"/>
      <c r="Q39" s="20"/>
      <c r="S39" s="483" t="s">
        <v>323</v>
      </c>
      <c r="T39" s="483"/>
      <c r="U39" s="483" t="s">
        <v>1</v>
      </c>
      <c r="V39" s="483"/>
      <c r="W39" s="483"/>
      <c r="X39" s="483"/>
      <c r="Y39" s="483"/>
      <c r="Z39" s="483"/>
      <c r="AA39" s="483"/>
      <c r="AB39" s="85" t="s">
        <v>324</v>
      </c>
    </row>
    <row r="40" spans="1:28" x14ac:dyDescent="0.3">
      <c r="A40" s="18"/>
      <c r="B40" s="42" t="s">
        <v>383</v>
      </c>
      <c r="C40" s="42" t="s">
        <v>384</v>
      </c>
      <c r="D40" s="21"/>
      <c r="E40" s="94" cm="1">
        <f t="array" ref="E40">_xll.U.CONTROL_EXCEL(B40:C45)</f>
        <v>46072.453056712962</v>
      </c>
      <c r="F40" s="21"/>
      <c r="G40" s="21"/>
      <c r="H40" s="21"/>
      <c r="I40" s="21"/>
      <c r="J40" s="21"/>
      <c r="K40" s="21"/>
      <c r="L40" s="21"/>
      <c r="M40" s="21"/>
      <c r="N40" s="21"/>
      <c r="O40" s="21"/>
      <c r="P40" s="21"/>
      <c r="Q40" s="20"/>
      <c r="S40" s="487" t="s">
        <v>507</v>
      </c>
      <c r="T40" s="487"/>
      <c r="U40" s="487" t="s">
        <v>811</v>
      </c>
      <c r="V40" s="487"/>
      <c r="W40" s="487"/>
      <c r="X40" s="487"/>
      <c r="Y40" s="487"/>
      <c r="Z40" s="487"/>
      <c r="AA40" s="487"/>
      <c r="AB40" s="509" t="s">
        <v>325</v>
      </c>
    </row>
    <row r="41" spans="1:28" x14ac:dyDescent="0.3">
      <c r="A41" s="18"/>
      <c r="B41" s="42" t="s">
        <v>387</v>
      </c>
      <c r="C41" s="42" t="b">
        <v>1</v>
      </c>
      <c r="D41" s="21"/>
      <c r="E41" s="21"/>
      <c r="F41" s="21"/>
      <c r="G41" s="21"/>
      <c r="H41" s="21"/>
      <c r="I41" s="21"/>
      <c r="J41" s="21"/>
      <c r="K41" s="21"/>
      <c r="L41" s="21"/>
      <c r="M41" s="21"/>
      <c r="N41" s="21"/>
      <c r="O41" s="21"/>
      <c r="P41" s="21"/>
      <c r="Q41" s="20"/>
      <c r="S41" s="487"/>
      <c r="T41" s="487"/>
      <c r="U41" s="487"/>
      <c r="V41" s="487"/>
      <c r="W41" s="487"/>
      <c r="X41" s="487"/>
      <c r="Y41" s="487"/>
      <c r="Z41" s="487"/>
      <c r="AA41" s="487"/>
      <c r="AB41" s="509"/>
    </row>
    <row r="42" spans="1:28" x14ac:dyDescent="0.3">
      <c r="A42" s="18"/>
      <c r="B42" s="42" t="s">
        <v>385</v>
      </c>
      <c r="C42" s="42">
        <v>0</v>
      </c>
      <c r="D42" s="21"/>
      <c r="E42" s="21"/>
      <c r="F42" s="21"/>
      <c r="G42" s="21"/>
      <c r="H42" s="21"/>
      <c r="I42" s="21"/>
      <c r="J42" s="21"/>
      <c r="K42" s="21"/>
      <c r="L42" s="21"/>
      <c r="M42" s="21"/>
      <c r="N42" s="21"/>
      <c r="O42" s="21"/>
      <c r="P42" s="21"/>
      <c r="Q42" s="20"/>
      <c r="S42" s="487"/>
      <c r="T42" s="487"/>
      <c r="U42" s="487"/>
      <c r="V42" s="487"/>
      <c r="W42" s="487"/>
      <c r="X42" s="487"/>
      <c r="Y42" s="487"/>
      <c r="Z42" s="487"/>
      <c r="AA42" s="487"/>
      <c r="AB42" s="509"/>
    </row>
    <row r="43" spans="1:28" x14ac:dyDescent="0.3">
      <c r="A43" s="18"/>
      <c r="B43" s="42" t="s">
        <v>386</v>
      </c>
      <c r="C43" s="42">
        <v>0</v>
      </c>
      <c r="D43" s="21"/>
      <c r="E43" s="21"/>
      <c r="F43" s="21"/>
      <c r="G43" s="21"/>
      <c r="H43" s="21"/>
      <c r="I43" s="21"/>
      <c r="J43" s="21"/>
      <c r="K43" s="21"/>
      <c r="L43" s="21"/>
      <c r="M43" s="21"/>
      <c r="N43" s="21"/>
      <c r="O43" s="21"/>
      <c r="P43" s="21"/>
      <c r="Q43" s="20"/>
      <c r="S43" s="484" t="s">
        <v>720</v>
      </c>
      <c r="T43" s="484"/>
      <c r="U43" s="484" t="s">
        <v>2061</v>
      </c>
      <c r="V43" s="484"/>
      <c r="W43" s="484"/>
      <c r="X43" s="484"/>
      <c r="Y43" s="484"/>
      <c r="Z43" s="484"/>
      <c r="AA43" s="484"/>
      <c r="AB43" s="485" t="s">
        <v>326</v>
      </c>
    </row>
    <row r="44" spans="1:28" x14ac:dyDescent="0.3">
      <c r="A44" s="18"/>
      <c r="B44" s="42" t="s">
        <v>335</v>
      </c>
      <c r="C44" s="42">
        <v>500</v>
      </c>
      <c r="D44" s="21"/>
      <c r="E44" s="21"/>
      <c r="F44" s="21"/>
      <c r="G44" s="21"/>
      <c r="H44" s="21"/>
      <c r="I44" s="21"/>
      <c r="J44" s="21"/>
      <c r="K44" s="21"/>
      <c r="L44" s="21"/>
      <c r="M44" s="21"/>
      <c r="N44" s="21"/>
      <c r="O44" s="21"/>
      <c r="P44" s="21"/>
      <c r="Q44" s="20"/>
      <c r="S44" s="484"/>
      <c r="T44" s="484"/>
      <c r="U44" s="484"/>
      <c r="V44" s="484"/>
      <c r="W44" s="484"/>
      <c r="X44" s="484"/>
      <c r="Y44" s="484"/>
      <c r="Z44" s="484"/>
      <c r="AA44" s="484"/>
      <c r="AB44" s="485"/>
    </row>
    <row r="45" spans="1:28" x14ac:dyDescent="0.3">
      <c r="A45" s="18"/>
      <c r="B45" s="42" t="s">
        <v>336</v>
      </c>
      <c r="C45" s="42">
        <v>500</v>
      </c>
      <c r="D45" s="21"/>
      <c r="E45" s="21"/>
      <c r="F45" s="21"/>
      <c r="G45" s="21"/>
      <c r="H45" s="21"/>
      <c r="I45" s="21"/>
      <c r="J45" s="21"/>
      <c r="K45" s="21"/>
      <c r="L45" s="21"/>
      <c r="M45" s="21"/>
      <c r="N45" s="21"/>
      <c r="O45" s="21"/>
      <c r="P45" s="21"/>
      <c r="Q45" s="20"/>
      <c r="S45" s="484"/>
      <c r="T45" s="484"/>
      <c r="U45" s="484"/>
      <c r="V45" s="484"/>
      <c r="W45" s="484"/>
      <c r="X45" s="484"/>
      <c r="Y45" s="484"/>
      <c r="Z45" s="484"/>
      <c r="AA45" s="484"/>
      <c r="AB45" s="485"/>
    </row>
    <row r="46" spans="1:28" ht="15" customHeight="1" x14ac:dyDescent="0.3">
      <c r="A46" s="18"/>
      <c r="B46" s="21"/>
      <c r="C46" s="21"/>
      <c r="D46" s="21"/>
      <c r="E46" s="21"/>
      <c r="F46" s="21"/>
      <c r="G46" s="21"/>
      <c r="H46" s="21"/>
      <c r="I46" s="21"/>
      <c r="J46" s="21"/>
      <c r="K46" s="21"/>
      <c r="L46" s="21"/>
      <c r="M46" s="21"/>
      <c r="N46" s="21"/>
      <c r="O46" s="21"/>
      <c r="P46" s="21"/>
      <c r="Q46" s="20"/>
      <c r="S46" s="496" t="s">
        <v>2299</v>
      </c>
      <c r="T46" s="497"/>
      <c r="U46" s="496" t="s">
        <v>3088</v>
      </c>
      <c r="V46" s="502"/>
      <c r="W46" s="502"/>
      <c r="X46" s="502"/>
      <c r="Y46" s="502"/>
      <c r="Z46" s="502"/>
      <c r="AA46" s="497"/>
      <c r="AB46" s="505" t="s">
        <v>326</v>
      </c>
    </row>
    <row r="47" spans="1:28" x14ac:dyDescent="0.3">
      <c r="A47" s="18"/>
      <c r="B47" s="21"/>
      <c r="C47" s="21"/>
      <c r="D47" s="21"/>
      <c r="E47" s="21"/>
      <c r="F47" s="21"/>
      <c r="G47" s="21"/>
      <c r="H47" s="21"/>
      <c r="I47" s="21"/>
      <c r="J47" s="21"/>
      <c r="K47" s="21"/>
      <c r="L47" s="21"/>
      <c r="M47" s="21"/>
      <c r="N47" s="21"/>
      <c r="O47" s="21"/>
      <c r="P47" s="21"/>
      <c r="Q47" s="20"/>
      <c r="S47" s="498"/>
      <c r="T47" s="499"/>
      <c r="U47" s="498"/>
      <c r="V47" s="503"/>
      <c r="W47" s="503"/>
      <c r="X47" s="503"/>
      <c r="Y47" s="503"/>
      <c r="Z47" s="503"/>
      <c r="AA47" s="499"/>
      <c r="AB47" s="506"/>
    </row>
    <row r="48" spans="1:28" x14ac:dyDescent="0.3">
      <c r="A48" s="18"/>
      <c r="B48" s="21"/>
      <c r="C48" s="21"/>
      <c r="D48" s="21"/>
      <c r="E48" s="21"/>
      <c r="F48" s="21"/>
      <c r="G48" s="21"/>
      <c r="H48" s="21"/>
      <c r="I48" s="21"/>
      <c r="J48" s="21"/>
      <c r="K48" s="21"/>
      <c r="L48" s="21"/>
      <c r="M48" s="21"/>
      <c r="N48" s="21"/>
      <c r="O48" s="21"/>
      <c r="P48" s="21"/>
      <c r="Q48" s="20"/>
      <c r="S48" s="500"/>
      <c r="T48" s="501"/>
      <c r="U48" s="500"/>
      <c r="V48" s="504"/>
      <c r="W48" s="504"/>
      <c r="X48" s="504"/>
      <c r="Y48" s="504"/>
      <c r="Z48" s="504"/>
      <c r="AA48" s="501"/>
      <c r="AB48" s="507"/>
    </row>
    <row r="49" spans="1:28" x14ac:dyDescent="0.3">
      <c r="A49" s="18"/>
      <c r="B49" s="21"/>
      <c r="C49" s="21"/>
      <c r="D49" s="21"/>
      <c r="E49" s="21"/>
      <c r="F49" s="21"/>
      <c r="G49" s="21"/>
      <c r="H49" s="21"/>
      <c r="I49" s="21"/>
      <c r="J49" s="21"/>
      <c r="K49" s="21"/>
      <c r="L49" s="21"/>
      <c r="M49" s="21"/>
      <c r="N49" s="21"/>
      <c r="O49" s="21"/>
      <c r="P49" s="21"/>
      <c r="Q49" s="20"/>
      <c r="S49" s="126" t="s">
        <v>328</v>
      </c>
    </row>
    <row r="50" spans="1:28" x14ac:dyDescent="0.3">
      <c r="A50" s="18"/>
      <c r="B50" s="21"/>
      <c r="C50" s="21"/>
      <c r="D50" s="21"/>
      <c r="E50" s="21"/>
      <c r="F50" s="21"/>
      <c r="G50" s="21"/>
      <c r="H50" s="21"/>
      <c r="I50" s="21"/>
      <c r="J50" s="21"/>
      <c r="K50" s="21"/>
      <c r="L50" s="21"/>
      <c r="M50" s="21"/>
      <c r="N50" s="21"/>
      <c r="O50" s="21"/>
      <c r="P50" s="21"/>
      <c r="Q50" s="20"/>
    </row>
    <row r="51" spans="1:28" x14ac:dyDescent="0.3">
      <c r="A51" s="18"/>
      <c r="B51" s="21"/>
      <c r="C51" s="21"/>
      <c r="D51" s="21"/>
      <c r="E51" s="21"/>
      <c r="F51" s="21"/>
      <c r="G51" s="21"/>
      <c r="H51" s="21"/>
      <c r="I51" s="21"/>
      <c r="J51" s="21"/>
      <c r="K51" s="21"/>
      <c r="L51" s="21"/>
      <c r="M51" s="21"/>
      <c r="N51" s="21"/>
      <c r="O51" s="21"/>
      <c r="P51" s="21"/>
      <c r="Q51" s="20"/>
    </row>
    <row r="52" spans="1:28" x14ac:dyDescent="0.3">
      <c r="A52" s="18"/>
      <c r="B52" s="21"/>
      <c r="C52" s="21"/>
      <c r="D52" s="21"/>
      <c r="E52" s="21"/>
      <c r="F52" s="21"/>
      <c r="G52" s="21"/>
      <c r="H52" s="21"/>
      <c r="I52" s="21"/>
      <c r="J52" s="21"/>
      <c r="K52" s="21"/>
      <c r="L52" s="21"/>
      <c r="M52" s="21"/>
      <c r="N52" s="21"/>
      <c r="O52" s="21"/>
      <c r="P52" s="21"/>
      <c r="Q52" s="20"/>
      <c r="S52" s="486" t="s">
        <v>3491</v>
      </c>
      <c r="T52" s="486"/>
      <c r="U52" s="486"/>
      <c r="V52" s="486"/>
      <c r="W52" s="486"/>
      <c r="X52" s="486"/>
      <c r="Y52" s="486"/>
      <c r="Z52" s="486"/>
      <c r="AA52" s="486"/>
      <c r="AB52" s="486"/>
    </row>
    <row r="53" spans="1:28" x14ac:dyDescent="0.3">
      <c r="A53" s="18"/>
      <c r="B53" s="21"/>
      <c r="C53" s="21"/>
      <c r="D53" s="21"/>
      <c r="E53" s="21"/>
      <c r="F53" s="21"/>
      <c r="G53" s="21"/>
      <c r="H53" s="21"/>
      <c r="I53" s="21"/>
      <c r="J53" s="21"/>
      <c r="K53" s="21"/>
      <c r="L53" s="21"/>
      <c r="M53" s="21"/>
      <c r="N53" s="21"/>
      <c r="O53" s="21"/>
      <c r="P53" s="21"/>
      <c r="Q53" s="20"/>
      <c r="S53" s="487" t="s">
        <v>333</v>
      </c>
      <c r="T53" s="487"/>
      <c r="U53" s="487" t="s">
        <v>505</v>
      </c>
      <c r="V53" s="487"/>
      <c r="W53" s="487"/>
      <c r="X53" s="487"/>
      <c r="Y53" s="487"/>
      <c r="Z53" s="487"/>
      <c r="AA53" s="487"/>
      <c r="AB53" s="487"/>
    </row>
    <row r="54" spans="1:28" x14ac:dyDescent="0.3">
      <c r="A54" s="18"/>
      <c r="B54" s="21"/>
      <c r="C54" s="21"/>
      <c r="D54" s="21"/>
      <c r="E54" s="21"/>
      <c r="F54" s="21"/>
      <c r="G54" s="21"/>
      <c r="H54" s="21"/>
      <c r="I54" s="21"/>
      <c r="J54" s="21"/>
      <c r="K54" s="21"/>
      <c r="L54" s="21"/>
      <c r="M54" s="21"/>
      <c r="N54" s="21"/>
      <c r="O54" s="21"/>
      <c r="P54" s="21"/>
      <c r="Q54" s="20"/>
      <c r="S54" s="487"/>
      <c r="T54" s="487"/>
      <c r="U54" s="487"/>
      <c r="V54" s="487"/>
      <c r="W54" s="487"/>
      <c r="X54" s="487"/>
      <c r="Y54" s="487"/>
      <c r="Z54" s="487"/>
      <c r="AA54" s="487"/>
      <c r="AB54" s="487"/>
    </row>
    <row r="55" spans="1:28" x14ac:dyDescent="0.3">
      <c r="A55" s="18"/>
      <c r="B55" s="21"/>
      <c r="C55" s="21"/>
      <c r="D55" s="21"/>
      <c r="E55" s="21"/>
      <c r="F55" s="21"/>
      <c r="G55" s="21"/>
      <c r="H55" s="21"/>
      <c r="I55" s="21"/>
      <c r="J55" s="21"/>
      <c r="K55" s="21"/>
      <c r="L55" s="21"/>
      <c r="M55" s="21"/>
      <c r="N55" s="21"/>
      <c r="O55" s="21"/>
      <c r="P55" s="21"/>
      <c r="Q55" s="20"/>
      <c r="S55" s="487"/>
      <c r="T55" s="487"/>
      <c r="U55" s="487"/>
      <c r="V55" s="487"/>
      <c r="W55" s="487"/>
      <c r="X55" s="487"/>
      <c r="Y55" s="487"/>
      <c r="Z55" s="487"/>
      <c r="AA55" s="487"/>
      <c r="AB55" s="487"/>
    </row>
    <row r="56" spans="1:28" x14ac:dyDescent="0.3">
      <c r="A56" s="18"/>
      <c r="B56" s="85" t="s">
        <v>344</v>
      </c>
      <c r="C56" s="85" t="s">
        <v>17</v>
      </c>
      <c r="D56" s="21"/>
      <c r="E56" s="101" t="s">
        <v>3491</v>
      </c>
      <c r="F56" s="21"/>
      <c r="G56" s="21"/>
      <c r="H56" s="21"/>
      <c r="I56" s="21"/>
      <c r="J56" s="21"/>
      <c r="K56" s="21"/>
      <c r="L56" s="21"/>
      <c r="M56" s="21"/>
      <c r="N56" s="21"/>
      <c r="O56" s="21"/>
      <c r="P56" s="21"/>
      <c r="Q56" s="20"/>
      <c r="S56" s="483" t="s">
        <v>323</v>
      </c>
      <c r="T56" s="483"/>
      <c r="U56" s="483" t="s">
        <v>1</v>
      </c>
      <c r="V56" s="483"/>
      <c r="W56" s="483"/>
      <c r="X56" s="483"/>
      <c r="Y56" s="483"/>
      <c r="Z56" s="483"/>
      <c r="AA56" s="483"/>
      <c r="AB56" s="85" t="s">
        <v>324</v>
      </c>
    </row>
    <row r="57" spans="1:28" x14ac:dyDescent="0.3">
      <c r="A57" s="18"/>
      <c r="B57" s="42" t="s">
        <v>383</v>
      </c>
      <c r="C57" s="42" t="s">
        <v>384</v>
      </c>
      <c r="D57" s="21"/>
      <c r="E57" s="94" cm="1">
        <f t="array" ref="E57">_xll.U.CONTROL_EXCEL(B57:C59)</f>
        <v>46072.453056770835</v>
      </c>
      <c r="F57" s="21"/>
      <c r="G57" s="21"/>
      <c r="H57" s="21"/>
      <c r="I57" s="21"/>
      <c r="J57" s="21"/>
      <c r="K57" s="21"/>
      <c r="L57" s="21"/>
      <c r="M57" s="21"/>
      <c r="N57" s="21"/>
      <c r="O57" s="21"/>
      <c r="P57" s="21"/>
      <c r="Q57" s="20"/>
      <c r="S57" s="487" t="s">
        <v>504</v>
      </c>
      <c r="T57" s="487"/>
      <c r="U57" s="487" t="s">
        <v>506</v>
      </c>
      <c r="V57" s="487"/>
      <c r="W57" s="487"/>
      <c r="X57" s="487"/>
      <c r="Y57" s="487"/>
      <c r="Z57" s="487"/>
      <c r="AA57" s="487"/>
      <c r="AB57" s="509" t="s">
        <v>325</v>
      </c>
    </row>
    <row r="58" spans="1:28" x14ac:dyDescent="0.3">
      <c r="A58" s="18"/>
      <c r="B58" s="42" t="s">
        <v>388</v>
      </c>
      <c r="C58" s="42" t="b">
        <v>0</v>
      </c>
      <c r="D58" s="21"/>
      <c r="E58" s="99"/>
      <c r="F58" s="21"/>
      <c r="G58" s="21"/>
      <c r="H58" s="21"/>
      <c r="I58" s="21"/>
      <c r="J58" s="21"/>
      <c r="K58" s="21"/>
      <c r="L58" s="21"/>
      <c r="M58" s="21"/>
      <c r="N58" s="21"/>
      <c r="O58" s="21"/>
      <c r="P58" s="21"/>
      <c r="Q58" s="20"/>
      <c r="S58" s="487"/>
      <c r="T58" s="487"/>
      <c r="U58" s="487"/>
      <c r="V58" s="487"/>
      <c r="W58" s="487"/>
      <c r="X58" s="487"/>
      <c r="Y58" s="487"/>
      <c r="Z58" s="487"/>
      <c r="AA58" s="487"/>
      <c r="AB58" s="509"/>
    </row>
    <row r="59" spans="1:28" x14ac:dyDescent="0.3">
      <c r="A59" s="18"/>
      <c r="B59" s="42" t="s">
        <v>389</v>
      </c>
      <c r="C59" s="42" t="b">
        <v>1</v>
      </c>
      <c r="D59" s="21"/>
      <c r="E59" s="21"/>
      <c r="F59" s="21"/>
      <c r="G59" s="21"/>
      <c r="H59" s="21"/>
      <c r="I59" s="21"/>
      <c r="J59" s="21"/>
      <c r="K59" s="21"/>
      <c r="L59" s="21"/>
      <c r="M59" s="21"/>
      <c r="N59" s="21"/>
      <c r="O59" s="21"/>
      <c r="P59" s="21"/>
      <c r="Q59" s="20"/>
      <c r="S59" s="487"/>
      <c r="T59" s="487"/>
      <c r="U59" s="487"/>
      <c r="V59" s="487"/>
      <c r="W59" s="487"/>
      <c r="X59" s="487"/>
      <c r="Y59" s="487"/>
      <c r="Z59" s="487"/>
      <c r="AA59" s="487"/>
      <c r="AB59" s="509"/>
    </row>
    <row r="60" spans="1:28" ht="15" customHeight="1" x14ac:dyDescent="0.3">
      <c r="A60" s="18"/>
      <c r="B60" s="21"/>
      <c r="C60" s="21"/>
      <c r="D60" s="21"/>
      <c r="E60" s="21"/>
      <c r="F60" s="21"/>
      <c r="G60" s="21"/>
      <c r="H60" s="21"/>
      <c r="I60" s="21"/>
      <c r="J60" s="21"/>
      <c r="K60" s="21"/>
      <c r="L60" s="21"/>
      <c r="M60" s="21"/>
      <c r="N60" s="21"/>
      <c r="O60" s="21"/>
      <c r="P60" s="21"/>
      <c r="Q60" s="20"/>
      <c r="S60" s="496" t="s">
        <v>2299</v>
      </c>
      <c r="T60" s="497"/>
      <c r="U60" s="496" t="s">
        <v>3088</v>
      </c>
      <c r="V60" s="502"/>
      <c r="W60" s="502"/>
      <c r="X60" s="502"/>
      <c r="Y60" s="502"/>
      <c r="Z60" s="502"/>
      <c r="AA60" s="497"/>
      <c r="AB60" s="505" t="s">
        <v>326</v>
      </c>
    </row>
    <row r="61" spans="1:28" x14ac:dyDescent="0.3">
      <c r="A61" s="18"/>
      <c r="B61" s="21"/>
      <c r="C61" s="21"/>
      <c r="D61" s="21"/>
      <c r="E61" s="21"/>
      <c r="F61" s="21"/>
      <c r="G61" s="21"/>
      <c r="H61" s="21"/>
      <c r="I61" s="21"/>
      <c r="J61" s="21"/>
      <c r="K61" s="21"/>
      <c r="L61" s="21"/>
      <c r="M61" s="21"/>
      <c r="N61" s="21"/>
      <c r="O61" s="21"/>
      <c r="P61" s="21"/>
      <c r="Q61" s="20"/>
      <c r="S61" s="498"/>
      <c r="T61" s="499"/>
      <c r="U61" s="498"/>
      <c r="V61" s="503"/>
      <c r="W61" s="503"/>
      <c r="X61" s="503"/>
      <c r="Y61" s="503"/>
      <c r="Z61" s="503"/>
      <c r="AA61" s="499"/>
      <c r="AB61" s="506"/>
    </row>
    <row r="62" spans="1:28" x14ac:dyDescent="0.3">
      <c r="A62" s="18"/>
      <c r="B62" s="21"/>
      <c r="C62" s="21"/>
      <c r="D62" s="21"/>
      <c r="E62" s="21"/>
      <c r="F62" s="21"/>
      <c r="G62" s="21"/>
      <c r="H62" s="21"/>
      <c r="I62" s="21"/>
      <c r="J62" s="21"/>
      <c r="K62" s="21"/>
      <c r="L62" s="21"/>
      <c r="M62" s="21"/>
      <c r="N62" s="21"/>
      <c r="O62" s="21"/>
      <c r="P62" s="21"/>
      <c r="Q62" s="20"/>
      <c r="S62" s="500"/>
      <c r="T62" s="501"/>
      <c r="U62" s="500"/>
      <c r="V62" s="504"/>
      <c r="W62" s="504"/>
      <c r="X62" s="504"/>
      <c r="Y62" s="504"/>
      <c r="Z62" s="504"/>
      <c r="AA62" s="501"/>
      <c r="AB62" s="507"/>
    </row>
    <row r="63" spans="1:28" x14ac:dyDescent="0.3">
      <c r="A63" s="18"/>
      <c r="B63" s="85" t="s">
        <v>344</v>
      </c>
      <c r="C63" s="85" t="s">
        <v>17</v>
      </c>
      <c r="D63" s="21"/>
      <c r="E63" s="101" t="s">
        <v>3491</v>
      </c>
      <c r="F63" s="21"/>
      <c r="G63" s="21"/>
      <c r="H63" s="21"/>
      <c r="I63" s="21"/>
      <c r="J63" s="21"/>
      <c r="K63" s="21"/>
      <c r="L63" s="21"/>
      <c r="M63" s="21"/>
      <c r="N63" s="21"/>
      <c r="O63" s="21"/>
      <c r="P63" s="21"/>
      <c r="Q63" s="20"/>
      <c r="S63" s="126" t="s">
        <v>328</v>
      </c>
    </row>
    <row r="64" spans="1:28" x14ac:dyDescent="0.3">
      <c r="A64" s="18"/>
      <c r="B64" s="42" t="s">
        <v>383</v>
      </c>
      <c r="C64" s="42" t="s">
        <v>384</v>
      </c>
      <c r="D64" s="21"/>
      <c r="E64" s="94" cm="1">
        <f t="array" ref="E64">_xll.U.CONTROL_EXCEL(B64:C66)</f>
        <v>46072.453056701386</v>
      </c>
      <c r="F64" s="21"/>
      <c r="G64" s="21"/>
      <c r="H64" s="21"/>
      <c r="I64" s="21"/>
      <c r="J64" s="21"/>
      <c r="K64" s="21"/>
      <c r="L64" s="21"/>
      <c r="M64" s="21"/>
      <c r="N64" s="21"/>
      <c r="O64" s="21"/>
      <c r="P64" s="21"/>
      <c r="Q64" s="20"/>
    </row>
    <row r="65" spans="1:28" x14ac:dyDescent="0.3">
      <c r="A65" s="18"/>
      <c r="B65" s="42" t="s">
        <v>390</v>
      </c>
      <c r="C65" s="42" t="b">
        <v>1</v>
      </c>
      <c r="D65" s="21"/>
      <c r="E65" s="99"/>
      <c r="F65" s="21"/>
      <c r="G65" s="21"/>
      <c r="H65" s="21"/>
      <c r="I65" s="21"/>
      <c r="J65" s="21"/>
      <c r="K65" s="21"/>
      <c r="L65" s="21"/>
      <c r="M65" s="21"/>
      <c r="N65" s="21"/>
      <c r="O65" s="21"/>
      <c r="P65" s="21"/>
      <c r="Q65" s="20"/>
    </row>
    <row r="66" spans="1:28" x14ac:dyDescent="0.3">
      <c r="A66" s="18"/>
      <c r="B66" s="42" t="s">
        <v>391</v>
      </c>
      <c r="C66" s="42" t="b">
        <v>1</v>
      </c>
      <c r="D66" s="21"/>
      <c r="E66" s="21"/>
      <c r="F66" s="21"/>
      <c r="G66" s="21"/>
      <c r="H66" s="21"/>
      <c r="I66" s="21"/>
      <c r="J66" s="21"/>
      <c r="K66" s="21"/>
      <c r="L66" s="21"/>
      <c r="M66" s="21"/>
      <c r="N66" s="21"/>
      <c r="O66" s="21"/>
      <c r="P66" s="21"/>
      <c r="Q66" s="20"/>
      <c r="S66" s="486" t="s">
        <v>3492</v>
      </c>
      <c r="T66" s="486"/>
      <c r="U66" s="486"/>
      <c r="V66" s="486"/>
      <c r="W66" s="486"/>
      <c r="X66" s="486"/>
      <c r="Y66" s="486"/>
      <c r="Z66" s="486"/>
      <c r="AA66" s="486"/>
      <c r="AB66" s="486"/>
    </row>
    <row r="67" spans="1:28" x14ac:dyDescent="0.3">
      <c r="A67" s="18"/>
      <c r="B67" s="21"/>
      <c r="C67" s="21"/>
      <c r="D67" s="21"/>
      <c r="E67" s="21"/>
      <c r="F67" s="21"/>
      <c r="G67" s="21"/>
      <c r="H67" s="21"/>
      <c r="I67" s="21"/>
      <c r="J67" s="21"/>
      <c r="K67" s="21"/>
      <c r="L67" s="21"/>
      <c r="M67" s="21"/>
      <c r="N67" s="21"/>
      <c r="O67" s="21"/>
      <c r="P67" s="21"/>
      <c r="Q67" s="20"/>
      <c r="S67" s="487" t="s">
        <v>333</v>
      </c>
      <c r="T67" s="487"/>
      <c r="U67" s="487" t="s">
        <v>508</v>
      </c>
      <c r="V67" s="487"/>
      <c r="W67" s="487"/>
      <c r="X67" s="487"/>
      <c r="Y67" s="487"/>
      <c r="Z67" s="487"/>
      <c r="AA67" s="487"/>
      <c r="AB67" s="487"/>
    </row>
    <row r="68" spans="1:28" x14ac:dyDescent="0.3">
      <c r="A68" s="18"/>
      <c r="B68" s="21"/>
      <c r="C68" s="21"/>
      <c r="D68" s="21"/>
      <c r="E68" s="21"/>
      <c r="F68" s="21"/>
      <c r="G68" s="21"/>
      <c r="H68" s="21"/>
      <c r="I68" s="21"/>
      <c r="J68" s="21"/>
      <c r="K68" s="21"/>
      <c r="L68" s="21"/>
      <c r="M68" s="21"/>
      <c r="N68" s="21"/>
      <c r="O68" s="21"/>
      <c r="P68" s="21"/>
      <c r="Q68" s="20"/>
      <c r="S68" s="487"/>
      <c r="T68" s="487"/>
      <c r="U68" s="487"/>
      <c r="V68" s="487"/>
      <c r="W68" s="487"/>
      <c r="X68" s="487"/>
      <c r="Y68" s="487"/>
      <c r="Z68" s="487"/>
      <c r="AA68" s="487"/>
      <c r="AB68" s="487"/>
    </row>
    <row r="69" spans="1:28" x14ac:dyDescent="0.3">
      <c r="A69" s="18"/>
      <c r="B69" s="21"/>
      <c r="C69" s="21"/>
      <c r="D69" s="21"/>
      <c r="E69" s="21"/>
      <c r="F69" s="21"/>
      <c r="G69" s="21"/>
      <c r="H69" s="21"/>
      <c r="I69" s="21"/>
      <c r="J69" s="21"/>
      <c r="K69" s="21"/>
      <c r="L69" s="21"/>
      <c r="M69" s="21"/>
      <c r="N69" s="21"/>
      <c r="O69" s="21"/>
      <c r="P69" s="21"/>
      <c r="Q69" s="20"/>
      <c r="S69" s="487"/>
      <c r="T69" s="487"/>
      <c r="U69" s="487"/>
      <c r="V69" s="487"/>
      <c r="W69" s="487"/>
      <c r="X69" s="487"/>
      <c r="Y69" s="487"/>
      <c r="Z69" s="487"/>
      <c r="AA69" s="487"/>
      <c r="AB69" s="487"/>
    </row>
    <row r="70" spans="1:28" x14ac:dyDescent="0.3">
      <c r="A70" s="18"/>
      <c r="B70" s="85" t="s">
        <v>344</v>
      </c>
      <c r="C70" s="578" t="s">
        <v>1</v>
      </c>
      <c r="D70" s="579"/>
      <c r="E70" s="579"/>
      <c r="F70" s="579"/>
      <c r="G70" s="579"/>
      <c r="H70" s="579"/>
      <c r="I70" s="579"/>
      <c r="J70" s="579"/>
      <c r="K70" s="579"/>
      <c r="L70" s="580"/>
      <c r="M70" s="21"/>
      <c r="N70" s="21"/>
      <c r="O70" s="21"/>
      <c r="P70" s="21"/>
      <c r="Q70" s="20"/>
      <c r="S70" s="483" t="s">
        <v>323</v>
      </c>
      <c r="T70" s="483"/>
      <c r="U70" s="483" t="s">
        <v>1</v>
      </c>
      <c r="V70" s="483"/>
      <c r="W70" s="483"/>
      <c r="X70" s="483"/>
      <c r="Y70" s="483"/>
      <c r="Z70" s="483"/>
      <c r="AA70" s="483"/>
      <c r="AB70" s="85" t="s">
        <v>324</v>
      </c>
    </row>
    <row r="71" spans="1:28" x14ac:dyDescent="0.3">
      <c r="A71" s="18"/>
      <c r="B71" s="30" t="str">
        <f t="array" ref="B71:B128">_xll.U.GET_CONTROL_SETTINGS()</f>
        <v>WorkbookName</v>
      </c>
      <c r="C71" s="112" t="s">
        <v>345</v>
      </c>
      <c r="D71" s="112"/>
      <c r="E71" s="112"/>
      <c r="F71" s="112"/>
      <c r="G71" s="112"/>
      <c r="H71" s="112"/>
      <c r="I71" s="112"/>
      <c r="J71" s="112"/>
      <c r="K71" s="112"/>
      <c r="L71" s="113"/>
      <c r="M71" s="21"/>
      <c r="N71" s="21"/>
      <c r="O71" s="21"/>
      <c r="P71" s="21"/>
      <c r="Q71" s="20"/>
      <c r="S71" s="484" t="s">
        <v>507</v>
      </c>
      <c r="T71" s="484"/>
      <c r="U71" s="484" t="s">
        <v>3780</v>
      </c>
      <c r="V71" s="484"/>
      <c r="W71" s="484"/>
      <c r="X71" s="484"/>
      <c r="Y71" s="484"/>
      <c r="Z71" s="484"/>
      <c r="AA71" s="484"/>
      <c r="AB71" s="485" t="s">
        <v>326</v>
      </c>
    </row>
    <row r="72" spans="1:28" x14ac:dyDescent="0.3">
      <c r="A72" s="18"/>
      <c r="B72" s="30" t="str">
        <v>ActiveSheet</v>
      </c>
      <c r="C72" s="112" t="s">
        <v>346</v>
      </c>
      <c r="D72" s="112"/>
      <c r="E72" s="112"/>
      <c r="F72" s="112"/>
      <c r="G72" s="112"/>
      <c r="H72" s="112"/>
      <c r="I72" s="112"/>
      <c r="J72" s="112"/>
      <c r="K72" s="112"/>
      <c r="L72" s="113"/>
      <c r="M72" s="21"/>
      <c r="N72" s="21"/>
      <c r="O72" s="21"/>
      <c r="P72" s="21"/>
      <c r="Q72" s="20"/>
      <c r="S72" s="484"/>
      <c r="T72" s="484"/>
      <c r="U72" s="484"/>
      <c r="V72" s="484"/>
      <c r="W72" s="484"/>
      <c r="X72" s="484"/>
      <c r="Y72" s="484"/>
      <c r="Z72" s="484"/>
      <c r="AA72" s="484"/>
      <c r="AB72" s="485"/>
    </row>
    <row r="73" spans="1:28" x14ac:dyDescent="0.3">
      <c r="A73" s="18"/>
      <c r="B73" s="30" t="str">
        <v>HiddenSheets</v>
      </c>
      <c r="C73" s="112" t="s">
        <v>1440</v>
      </c>
      <c r="D73" s="112"/>
      <c r="E73" s="112"/>
      <c r="F73" s="112"/>
      <c r="G73" s="112"/>
      <c r="H73" s="112"/>
      <c r="I73" s="112"/>
      <c r="J73" s="112"/>
      <c r="K73" s="112"/>
      <c r="L73" s="113"/>
      <c r="M73" s="21"/>
      <c r="N73" s="21"/>
      <c r="O73" s="21"/>
      <c r="P73" s="21"/>
      <c r="Q73" s="20"/>
      <c r="S73" s="484"/>
      <c r="T73" s="484"/>
      <c r="U73" s="484"/>
      <c r="V73" s="484"/>
      <c r="W73" s="484"/>
      <c r="X73" s="484"/>
      <c r="Y73" s="484"/>
      <c r="Z73" s="484"/>
      <c r="AA73" s="484"/>
      <c r="AB73" s="485"/>
    </row>
    <row r="74" spans="1:28" x14ac:dyDescent="0.3">
      <c r="A74" s="18"/>
      <c r="B74" s="30" t="str">
        <v>AutoRecover</v>
      </c>
      <c r="C74" s="112" t="s">
        <v>2560</v>
      </c>
      <c r="D74" s="112"/>
      <c r="E74" s="112"/>
      <c r="F74" s="112"/>
      <c r="G74" s="112"/>
      <c r="H74" s="112"/>
      <c r="I74" s="112"/>
      <c r="J74" s="112"/>
      <c r="K74" s="112"/>
      <c r="L74" s="113"/>
      <c r="M74" s="21"/>
      <c r="N74" s="21"/>
      <c r="O74" s="21"/>
      <c r="P74" s="21"/>
      <c r="Q74" s="20"/>
      <c r="S74" s="126" t="s">
        <v>328</v>
      </c>
    </row>
    <row r="75" spans="1:28" x14ac:dyDescent="0.3">
      <c r="A75" s="18"/>
      <c r="B75" s="30" t="str">
        <v/>
      </c>
      <c r="C75" s="112"/>
      <c r="D75" s="112"/>
      <c r="E75" s="112"/>
      <c r="F75" s="112"/>
      <c r="G75" s="112"/>
      <c r="H75" s="112"/>
      <c r="I75" s="112"/>
      <c r="J75" s="112"/>
      <c r="K75" s="112"/>
      <c r="L75" s="113"/>
      <c r="M75" s="21"/>
      <c r="N75" s="21"/>
      <c r="O75" s="21"/>
      <c r="P75" s="21"/>
      <c r="Q75" s="20"/>
    </row>
    <row r="76" spans="1:28" x14ac:dyDescent="0.3">
      <c r="A76" s="18"/>
      <c r="B76" s="30" t="str">
        <v>FromTop</v>
      </c>
      <c r="C76" s="112" t="s">
        <v>347</v>
      </c>
      <c r="D76" s="112"/>
      <c r="E76" s="112"/>
      <c r="F76" s="112"/>
      <c r="G76" s="112"/>
      <c r="H76" s="112"/>
      <c r="I76" s="112"/>
      <c r="J76" s="112"/>
      <c r="K76" s="112"/>
      <c r="L76" s="113"/>
      <c r="M76" s="21"/>
      <c r="N76" s="21"/>
      <c r="O76" s="21"/>
      <c r="P76" s="21"/>
      <c r="Q76" s="20"/>
    </row>
    <row r="77" spans="1:28" x14ac:dyDescent="0.3">
      <c r="A77" s="18"/>
      <c r="B77" s="30" t="str">
        <v>FromLeft</v>
      </c>
      <c r="C77" s="112" t="s">
        <v>348</v>
      </c>
      <c r="D77" s="112"/>
      <c r="E77" s="112"/>
      <c r="F77" s="112"/>
      <c r="G77" s="112"/>
      <c r="H77" s="112"/>
      <c r="I77" s="112"/>
      <c r="J77" s="112"/>
      <c r="K77" s="112"/>
      <c r="L77" s="113"/>
      <c r="M77" s="21"/>
      <c r="N77" s="21"/>
      <c r="O77" s="21"/>
      <c r="P77" s="21"/>
      <c r="Q77" s="20"/>
      <c r="S77" s="486" t="s">
        <v>3493</v>
      </c>
      <c r="T77" s="486"/>
      <c r="U77" s="486"/>
      <c r="V77" s="486"/>
      <c r="W77" s="486"/>
      <c r="X77" s="486"/>
      <c r="Y77" s="486"/>
      <c r="Z77" s="486"/>
      <c r="AA77" s="486"/>
      <c r="AB77" s="486"/>
    </row>
    <row r="78" spans="1:28" x14ac:dyDescent="0.3">
      <c r="A78" s="18"/>
      <c r="B78" s="30" t="str">
        <v>Height</v>
      </c>
      <c r="C78" s="112" t="s">
        <v>349</v>
      </c>
      <c r="D78" s="112"/>
      <c r="E78" s="112"/>
      <c r="F78" s="112"/>
      <c r="G78" s="112"/>
      <c r="H78" s="112"/>
      <c r="I78" s="112"/>
      <c r="J78" s="112"/>
      <c r="K78" s="112"/>
      <c r="L78" s="113"/>
      <c r="M78" s="21"/>
      <c r="N78" s="21"/>
      <c r="O78" s="21"/>
      <c r="P78" s="21"/>
      <c r="Q78" s="20"/>
      <c r="S78" s="487" t="s">
        <v>333</v>
      </c>
      <c r="T78" s="487"/>
      <c r="U78" s="487" t="s">
        <v>511</v>
      </c>
      <c r="V78" s="487"/>
      <c r="W78" s="487"/>
      <c r="X78" s="487"/>
      <c r="Y78" s="487"/>
      <c r="Z78" s="487"/>
      <c r="AA78" s="487"/>
      <c r="AB78" s="487"/>
    </row>
    <row r="79" spans="1:28" x14ac:dyDescent="0.3">
      <c r="A79" s="18"/>
      <c r="B79" s="30" t="str">
        <v>Width</v>
      </c>
      <c r="C79" s="112" t="s">
        <v>350</v>
      </c>
      <c r="D79" s="112"/>
      <c r="E79" s="112"/>
      <c r="F79" s="112"/>
      <c r="G79" s="112"/>
      <c r="H79" s="112"/>
      <c r="I79" s="112"/>
      <c r="J79" s="112"/>
      <c r="K79" s="112"/>
      <c r="L79" s="113"/>
      <c r="M79" s="21"/>
      <c r="N79" s="21"/>
      <c r="O79" s="21"/>
      <c r="P79" s="21"/>
      <c r="Q79" s="20"/>
      <c r="S79" s="487"/>
      <c r="T79" s="487"/>
      <c r="U79" s="487"/>
      <c r="V79" s="487"/>
      <c r="W79" s="487"/>
      <c r="X79" s="487"/>
      <c r="Y79" s="487"/>
      <c r="Z79" s="487"/>
      <c r="AA79" s="487"/>
      <c r="AB79" s="487"/>
    </row>
    <row r="80" spans="1:28" x14ac:dyDescent="0.3">
      <c r="A80" s="18"/>
      <c r="B80" s="30" t="str">
        <v>Maximized</v>
      </c>
      <c r="C80" s="112" t="s">
        <v>351</v>
      </c>
      <c r="D80" s="112"/>
      <c r="E80" s="112"/>
      <c r="F80" s="112"/>
      <c r="G80" s="112"/>
      <c r="H80" s="112"/>
      <c r="I80" s="112"/>
      <c r="J80" s="112"/>
      <c r="K80" s="112"/>
      <c r="L80" s="113"/>
      <c r="M80" s="21"/>
      <c r="N80" s="21"/>
      <c r="O80" s="21"/>
      <c r="P80" s="21"/>
      <c r="Q80" s="20"/>
      <c r="S80" s="487"/>
      <c r="T80" s="487"/>
      <c r="U80" s="487"/>
      <c r="V80" s="487"/>
      <c r="W80" s="487"/>
      <c r="X80" s="487"/>
      <c r="Y80" s="487"/>
      <c r="Z80" s="487"/>
      <c r="AA80" s="487"/>
      <c r="AB80" s="487"/>
    </row>
    <row r="81" spans="1:28" x14ac:dyDescent="0.3">
      <c r="A81" s="18"/>
      <c r="B81" s="30" t="str">
        <v>Minimized</v>
      </c>
      <c r="C81" s="112" t="s">
        <v>352</v>
      </c>
      <c r="D81" s="112"/>
      <c r="E81" s="112"/>
      <c r="F81" s="112"/>
      <c r="G81" s="112"/>
      <c r="H81" s="112"/>
      <c r="I81" s="112"/>
      <c r="J81" s="112"/>
      <c r="K81" s="112"/>
      <c r="L81" s="113"/>
      <c r="M81" s="21"/>
      <c r="N81" s="21"/>
      <c r="O81" s="21"/>
      <c r="P81" s="21"/>
      <c r="Q81" s="20"/>
      <c r="S81" s="483" t="s">
        <v>323</v>
      </c>
      <c r="T81" s="483"/>
      <c r="U81" s="483" t="s">
        <v>1</v>
      </c>
      <c r="V81" s="483"/>
      <c r="W81" s="483"/>
      <c r="X81" s="483"/>
      <c r="Y81" s="483"/>
      <c r="Z81" s="483"/>
      <c r="AA81" s="483"/>
      <c r="AB81" s="85" t="s">
        <v>324</v>
      </c>
    </row>
    <row r="82" spans="1:28" ht="15" customHeight="1" x14ac:dyDescent="0.3">
      <c r="A82" s="18"/>
      <c r="B82" s="30" t="str">
        <v>ScrollRow</v>
      </c>
      <c r="C82" s="112" t="s">
        <v>353</v>
      </c>
      <c r="D82" s="112"/>
      <c r="E82" s="112"/>
      <c r="F82" s="112"/>
      <c r="G82" s="112"/>
      <c r="H82" s="112"/>
      <c r="I82" s="112"/>
      <c r="J82" s="112"/>
      <c r="K82" s="112"/>
      <c r="L82" s="113"/>
      <c r="M82" s="21"/>
      <c r="N82" s="21"/>
      <c r="O82" s="21"/>
      <c r="P82" s="21"/>
      <c r="Q82" s="20"/>
      <c r="S82" s="484" t="s">
        <v>509</v>
      </c>
      <c r="T82" s="484"/>
      <c r="U82" s="484" t="s">
        <v>510</v>
      </c>
      <c r="V82" s="484"/>
      <c r="W82" s="484"/>
      <c r="X82" s="484"/>
      <c r="Y82" s="484"/>
      <c r="Z82" s="484"/>
      <c r="AA82" s="484"/>
      <c r="AB82" s="485" t="s">
        <v>326</v>
      </c>
    </row>
    <row r="83" spans="1:28" x14ac:dyDescent="0.3">
      <c r="A83" s="18"/>
      <c r="B83" s="30" t="str">
        <v>ScrollColumn</v>
      </c>
      <c r="C83" s="112" t="s">
        <v>354</v>
      </c>
      <c r="D83" s="112"/>
      <c r="E83" s="112"/>
      <c r="F83" s="112"/>
      <c r="G83" s="112"/>
      <c r="H83" s="112"/>
      <c r="I83" s="112"/>
      <c r="J83" s="112"/>
      <c r="K83" s="112"/>
      <c r="L83" s="113"/>
      <c r="M83" s="21"/>
      <c r="N83" s="21"/>
      <c r="O83" s="21"/>
      <c r="P83" s="21"/>
      <c r="Q83" s="20"/>
      <c r="S83" s="484"/>
      <c r="T83" s="484"/>
      <c r="U83" s="484"/>
      <c r="V83" s="484"/>
      <c r="W83" s="484"/>
      <c r="X83" s="484"/>
      <c r="Y83" s="484"/>
      <c r="Z83" s="484"/>
      <c r="AA83" s="484"/>
      <c r="AB83" s="485"/>
    </row>
    <row r="84" spans="1:28" x14ac:dyDescent="0.3">
      <c r="A84" s="18"/>
      <c r="B84" s="30" t="str">
        <v>Zoom</v>
      </c>
      <c r="C84" s="112" t="s">
        <v>355</v>
      </c>
      <c r="D84" s="112"/>
      <c r="E84" s="112"/>
      <c r="F84" s="112"/>
      <c r="G84" s="112"/>
      <c r="H84" s="112"/>
      <c r="I84" s="112"/>
      <c r="J84" s="112"/>
      <c r="K84" s="112"/>
      <c r="L84" s="113"/>
      <c r="M84" s="21"/>
      <c r="N84" s="21"/>
      <c r="O84" s="21"/>
      <c r="P84" s="21"/>
      <c r="Q84" s="20"/>
      <c r="S84" s="484"/>
      <c r="T84" s="484"/>
      <c r="U84" s="484"/>
      <c r="V84" s="484"/>
      <c r="W84" s="484"/>
      <c r="X84" s="484"/>
      <c r="Y84" s="484"/>
      <c r="Z84" s="484"/>
      <c r="AA84" s="484"/>
      <c r="AB84" s="485"/>
    </row>
    <row r="85" spans="1:28" x14ac:dyDescent="0.3">
      <c r="A85" s="18"/>
      <c r="B85" s="30" t="str">
        <v/>
      </c>
      <c r="C85" s="112"/>
      <c r="D85" s="112"/>
      <c r="E85" s="112"/>
      <c r="F85" s="112"/>
      <c r="G85" s="112"/>
      <c r="H85" s="112"/>
      <c r="I85" s="112"/>
      <c r="J85" s="112"/>
      <c r="K85" s="112"/>
      <c r="L85" s="113"/>
      <c r="M85" s="21"/>
      <c r="N85" s="21"/>
      <c r="O85" s="21"/>
      <c r="P85" s="21"/>
      <c r="Q85" s="20"/>
      <c r="S85" s="126" t="s">
        <v>328</v>
      </c>
    </row>
    <row r="86" spans="1:28" ht="15" customHeight="1" x14ac:dyDescent="0.3">
      <c r="A86" s="18"/>
      <c r="B86" s="30" t="str">
        <v>Alerts</v>
      </c>
      <c r="C86" s="112" t="s">
        <v>392</v>
      </c>
      <c r="D86" s="112"/>
      <c r="E86" s="112"/>
      <c r="F86" s="112"/>
      <c r="G86" s="112"/>
      <c r="H86" s="112"/>
      <c r="I86" s="112"/>
      <c r="J86" s="112"/>
      <c r="K86" s="112"/>
      <c r="L86" s="113"/>
      <c r="M86" s="21"/>
      <c r="N86" s="21"/>
      <c r="O86" s="21"/>
      <c r="P86" s="21"/>
      <c r="Q86" s="20"/>
    </row>
    <row r="87" spans="1:28" x14ac:dyDescent="0.3">
      <c r="A87" s="18"/>
      <c r="B87" s="30" t="str">
        <v>Interactive</v>
      </c>
      <c r="C87" s="112" t="s">
        <v>356</v>
      </c>
      <c r="D87" s="112"/>
      <c r="E87" s="112"/>
      <c r="F87" s="112"/>
      <c r="G87" s="112"/>
      <c r="H87" s="112"/>
      <c r="I87" s="112"/>
      <c r="J87" s="112"/>
      <c r="K87" s="112"/>
      <c r="L87" s="113"/>
      <c r="M87" s="21"/>
      <c r="N87" s="21"/>
      <c r="O87" s="21"/>
      <c r="P87" s="21"/>
      <c r="Q87" s="20"/>
    </row>
    <row r="88" spans="1:28" x14ac:dyDescent="0.3">
      <c r="A88" s="18"/>
      <c r="B88" s="30" t="str">
        <v>Visible</v>
      </c>
      <c r="C88" s="112" t="s">
        <v>357</v>
      </c>
      <c r="D88" s="112"/>
      <c r="E88" s="112"/>
      <c r="F88" s="112"/>
      <c r="G88" s="112"/>
      <c r="H88" s="112"/>
      <c r="I88" s="112"/>
      <c r="J88" s="112"/>
      <c r="K88" s="112"/>
      <c r="L88" s="113"/>
      <c r="M88" s="21"/>
      <c r="N88" s="21"/>
      <c r="O88" s="21"/>
      <c r="P88" s="21"/>
      <c r="Q88" s="20"/>
      <c r="S88" s="486" t="s">
        <v>3494</v>
      </c>
      <c r="T88" s="486"/>
      <c r="U88" s="486"/>
      <c r="V88" s="486"/>
      <c r="W88" s="486"/>
      <c r="X88" s="486"/>
      <c r="Y88" s="486"/>
      <c r="Z88" s="486"/>
      <c r="AA88" s="486"/>
      <c r="AB88" s="486"/>
    </row>
    <row r="89" spans="1:28" x14ac:dyDescent="0.3">
      <c r="A89" s="18"/>
      <c r="B89" s="30" t="str">
        <v/>
      </c>
      <c r="C89" s="112"/>
      <c r="D89" s="112"/>
      <c r="E89" s="112"/>
      <c r="F89" s="112"/>
      <c r="G89" s="112"/>
      <c r="H89" s="112"/>
      <c r="I89" s="112"/>
      <c r="J89" s="112"/>
      <c r="K89" s="112"/>
      <c r="L89" s="113"/>
      <c r="M89" s="21"/>
      <c r="N89" s="21"/>
      <c r="O89" s="21"/>
      <c r="P89" s="21"/>
      <c r="Q89" s="20"/>
      <c r="S89" s="487" t="s">
        <v>333</v>
      </c>
      <c r="T89" s="487"/>
      <c r="U89" s="487" t="s">
        <v>1254</v>
      </c>
      <c r="V89" s="487"/>
      <c r="W89" s="487"/>
      <c r="X89" s="487"/>
      <c r="Y89" s="487"/>
      <c r="Z89" s="487"/>
      <c r="AA89" s="487"/>
      <c r="AB89" s="487"/>
    </row>
    <row r="90" spans="1:28" x14ac:dyDescent="0.3">
      <c r="A90" s="18"/>
      <c r="B90" s="30" t="str">
        <v>Clean</v>
      </c>
      <c r="C90" s="112" t="s">
        <v>358</v>
      </c>
      <c r="D90" s="112"/>
      <c r="E90" s="112"/>
      <c r="F90" s="112"/>
      <c r="G90" s="112"/>
      <c r="H90" s="112"/>
      <c r="I90" s="112"/>
      <c r="J90" s="112"/>
      <c r="K90" s="112"/>
      <c r="L90" s="113"/>
      <c r="M90" s="21"/>
      <c r="N90" s="21"/>
      <c r="O90" s="21"/>
      <c r="P90" s="21"/>
      <c r="Q90" s="20"/>
      <c r="S90" s="487"/>
      <c r="T90" s="487"/>
      <c r="U90" s="487"/>
      <c r="V90" s="487"/>
      <c r="W90" s="487"/>
      <c r="X90" s="487"/>
      <c r="Y90" s="487"/>
      <c r="Z90" s="487"/>
      <c r="AA90" s="487"/>
      <c r="AB90" s="487"/>
    </row>
    <row r="91" spans="1:28" x14ac:dyDescent="0.3">
      <c r="A91" s="18"/>
      <c r="B91" s="30" t="str">
        <v>GridLines</v>
      </c>
      <c r="C91" s="112" t="s">
        <v>360</v>
      </c>
      <c r="D91" s="112"/>
      <c r="E91" s="112"/>
      <c r="F91" s="112"/>
      <c r="G91" s="112"/>
      <c r="H91" s="112"/>
      <c r="I91" s="112"/>
      <c r="J91" s="112"/>
      <c r="K91" s="112"/>
      <c r="L91" s="113"/>
      <c r="M91" s="21"/>
      <c r="N91" s="21"/>
      <c r="O91" s="21"/>
      <c r="P91" s="21"/>
      <c r="Q91" s="20"/>
      <c r="S91" s="487"/>
      <c r="T91" s="487"/>
      <c r="U91" s="487"/>
      <c r="V91" s="487"/>
      <c r="W91" s="487"/>
      <c r="X91" s="487"/>
      <c r="Y91" s="487"/>
      <c r="Z91" s="487"/>
      <c r="AA91" s="487"/>
      <c r="AB91" s="487"/>
    </row>
    <row r="92" spans="1:28" x14ac:dyDescent="0.3">
      <c r="A92" s="18"/>
      <c r="B92" s="30" t="str">
        <v>Headings</v>
      </c>
      <c r="C92" s="112" t="s">
        <v>359</v>
      </c>
      <c r="D92" s="112"/>
      <c r="E92" s="112"/>
      <c r="F92" s="112"/>
      <c r="G92" s="112"/>
      <c r="H92" s="112"/>
      <c r="I92" s="112"/>
      <c r="J92" s="112"/>
      <c r="K92" s="112"/>
      <c r="L92" s="113"/>
      <c r="M92" s="21"/>
      <c r="N92" s="21"/>
      <c r="O92" s="21"/>
      <c r="P92" s="21"/>
      <c r="Q92" s="20"/>
      <c r="S92" s="483" t="s">
        <v>323</v>
      </c>
      <c r="T92" s="483"/>
      <c r="U92" s="483" t="s">
        <v>1</v>
      </c>
      <c r="V92" s="483"/>
      <c r="W92" s="483"/>
      <c r="X92" s="483"/>
      <c r="Y92" s="483"/>
      <c r="Z92" s="483"/>
      <c r="AA92" s="483"/>
      <c r="AB92" s="85" t="s">
        <v>324</v>
      </c>
    </row>
    <row r="93" spans="1:28" x14ac:dyDescent="0.3">
      <c r="A93" s="18"/>
      <c r="B93" s="30" t="str">
        <v>Menu</v>
      </c>
      <c r="C93" s="112" t="s">
        <v>361</v>
      </c>
      <c r="D93" s="112"/>
      <c r="E93" s="112"/>
      <c r="F93" s="112"/>
      <c r="G93" s="112"/>
      <c r="H93" s="112"/>
      <c r="I93" s="112"/>
      <c r="J93" s="112"/>
      <c r="K93" s="112"/>
      <c r="L93" s="113"/>
      <c r="M93" s="21"/>
      <c r="N93" s="21"/>
      <c r="O93" s="21"/>
      <c r="P93" s="21"/>
      <c r="Q93" s="20"/>
      <c r="S93" s="516" t="s">
        <v>431</v>
      </c>
      <c r="T93" s="517"/>
      <c r="U93" s="517"/>
      <c r="V93" s="517"/>
      <c r="W93" s="517"/>
      <c r="X93" s="517"/>
      <c r="Y93" s="517"/>
      <c r="Z93" s="517"/>
      <c r="AA93" s="517"/>
      <c r="AB93" s="518"/>
    </row>
    <row r="94" spans="1:28" x14ac:dyDescent="0.3">
      <c r="A94" s="18"/>
      <c r="B94" s="30" t="str">
        <v>FormulaBar</v>
      </c>
      <c r="C94" s="112" t="s">
        <v>363</v>
      </c>
      <c r="D94" s="112"/>
      <c r="E94" s="112"/>
      <c r="F94" s="112"/>
      <c r="G94" s="112"/>
      <c r="H94" s="112"/>
      <c r="I94" s="112"/>
      <c r="J94" s="112"/>
      <c r="K94" s="112"/>
      <c r="L94" s="113"/>
      <c r="M94" s="21"/>
      <c r="N94" s="21"/>
      <c r="O94" s="21"/>
      <c r="P94" s="21"/>
      <c r="Q94" s="20"/>
    </row>
    <row r="95" spans="1:28" x14ac:dyDescent="0.3">
      <c r="A95" s="18"/>
      <c r="B95" s="30" t="str">
        <v>StatusBar</v>
      </c>
      <c r="C95" s="112" t="s">
        <v>362</v>
      </c>
      <c r="D95" s="112"/>
      <c r="E95" s="112"/>
      <c r="F95" s="112"/>
      <c r="G95" s="112"/>
      <c r="H95" s="112"/>
      <c r="I95" s="112"/>
      <c r="J95" s="112"/>
      <c r="K95" s="112"/>
      <c r="L95" s="113"/>
      <c r="M95" s="21"/>
      <c r="N95" s="21"/>
      <c r="O95" s="21"/>
      <c r="P95" s="21"/>
      <c r="Q95" s="20"/>
    </row>
    <row r="96" spans="1:28" x14ac:dyDescent="0.3">
      <c r="A96" s="18"/>
      <c r="B96" s="30" t="str">
        <v>Tabs</v>
      </c>
      <c r="C96" s="112" t="s">
        <v>364</v>
      </c>
      <c r="D96" s="112"/>
      <c r="E96" s="112"/>
      <c r="F96" s="112"/>
      <c r="G96" s="112"/>
      <c r="H96" s="112"/>
      <c r="I96" s="112"/>
      <c r="J96" s="112"/>
      <c r="K96" s="112"/>
      <c r="L96" s="113"/>
      <c r="M96" s="21"/>
      <c r="N96" s="21"/>
      <c r="O96" s="21"/>
      <c r="P96" s="21"/>
      <c r="Q96" s="20"/>
      <c r="S96" s="486" t="s">
        <v>3495</v>
      </c>
      <c r="T96" s="486"/>
      <c r="U96" s="486"/>
      <c r="V96" s="486"/>
      <c r="W96" s="486"/>
      <c r="X96" s="486"/>
      <c r="Y96" s="486"/>
      <c r="Z96" s="486"/>
      <c r="AA96" s="486"/>
      <c r="AB96" s="486"/>
    </row>
    <row r="97" spans="1:28" x14ac:dyDescent="0.3">
      <c r="A97" s="18"/>
      <c r="B97" s="30" t="str">
        <v>VerticalScrollbar</v>
      </c>
      <c r="C97" s="112" t="s">
        <v>365</v>
      </c>
      <c r="D97" s="112"/>
      <c r="E97" s="112"/>
      <c r="F97" s="112"/>
      <c r="G97" s="112"/>
      <c r="H97" s="112"/>
      <c r="I97" s="112"/>
      <c r="J97" s="112"/>
      <c r="K97" s="112"/>
      <c r="L97" s="113"/>
      <c r="M97" s="21"/>
      <c r="N97" s="21"/>
      <c r="O97" s="21"/>
      <c r="P97" s="21"/>
      <c r="Q97" s="20"/>
      <c r="S97" s="487" t="s">
        <v>333</v>
      </c>
      <c r="T97" s="487"/>
      <c r="U97" s="487" t="s">
        <v>613</v>
      </c>
      <c r="V97" s="487"/>
      <c r="W97" s="487"/>
      <c r="X97" s="487"/>
      <c r="Y97" s="487"/>
      <c r="Z97" s="487"/>
      <c r="AA97" s="487"/>
      <c r="AB97" s="487"/>
    </row>
    <row r="98" spans="1:28" x14ac:dyDescent="0.3">
      <c r="A98" s="18"/>
      <c r="B98" s="30" t="str">
        <v>HorizontalScrollbar</v>
      </c>
      <c r="C98" s="112" t="s">
        <v>366</v>
      </c>
      <c r="D98" s="112"/>
      <c r="E98" s="112"/>
      <c r="F98" s="112"/>
      <c r="G98" s="112"/>
      <c r="H98" s="112"/>
      <c r="I98" s="112"/>
      <c r="J98" s="112"/>
      <c r="K98" s="112"/>
      <c r="L98" s="113"/>
      <c r="M98" s="21"/>
      <c r="N98" s="21"/>
      <c r="O98" s="21"/>
      <c r="P98" s="21"/>
      <c r="Q98" s="20"/>
      <c r="S98" s="487"/>
      <c r="T98" s="487"/>
      <c r="U98" s="487"/>
      <c r="V98" s="487"/>
      <c r="W98" s="487"/>
      <c r="X98" s="487"/>
      <c r="Y98" s="487"/>
      <c r="Z98" s="487"/>
      <c r="AA98" s="487"/>
      <c r="AB98" s="487"/>
    </row>
    <row r="99" spans="1:28" x14ac:dyDescent="0.3">
      <c r="A99" s="18"/>
      <c r="B99" s="30" t="str">
        <v>Ruler</v>
      </c>
      <c r="C99" s="112" t="s">
        <v>367</v>
      </c>
      <c r="D99" s="112"/>
      <c r="E99" s="112"/>
      <c r="F99" s="112"/>
      <c r="G99" s="112"/>
      <c r="H99" s="112"/>
      <c r="I99" s="112"/>
      <c r="J99" s="112"/>
      <c r="K99" s="112"/>
      <c r="L99" s="113"/>
      <c r="M99" s="21"/>
      <c r="N99" s="21"/>
      <c r="O99" s="21"/>
      <c r="P99" s="21"/>
      <c r="Q99" s="20"/>
      <c r="S99" s="487"/>
      <c r="T99" s="487"/>
      <c r="U99" s="487"/>
      <c r="V99" s="487"/>
      <c r="W99" s="487"/>
      <c r="X99" s="487"/>
      <c r="Y99" s="487"/>
      <c r="Z99" s="487"/>
      <c r="AA99" s="487"/>
      <c r="AB99" s="487"/>
    </row>
    <row r="100" spans="1:28" x14ac:dyDescent="0.3">
      <c r="A100" s="18"/>
      <c r="B100" s="30" t="str">
        <v>Outline</v>
      </c>
      <c r="C100" s="112" t="s">
        <v>368</v>
      </c>
      <c r="D100" s="112"/>
      <c r="E100" s="112"/>
      <c r="F100" s="112"/>
      <c r="G100" s="112"/>
      <c r="H100" s="112"/>
      <c r="I100" s="112"/>
      <c r="J100" s="112"/>
      <c r="K100" s="112"/>
      <c r="L100" s="113"/>
      <c r="M100" s="21"/>
      <c r="N100" s="21"/>
      <c r="O100" s="21"/>
      <c r="P100" s="21"/>
      <c r="Q100" s="20"/>
      <c r="S100" s="483" t="s">
        <v>323</v>
      </c>
      <c r="T100" s="483"/>
      <c r="U100" s="483" t="s">
        <v>1</v>
      </c>
      <c r="V100" s="483"/>
      <c r="W100" s="483"/>
      <c r="X100" s="483"/>
      <c r="Y100" s="483"/>
      <c r="Z100" s="483"/>
      <c r="AA100" s="483"/>
      <c r="AB100" s="85" t="s">
        <v>324</v>
      </c>
    </row>
    <row r="101" spans="1:28" ht="15" customHeight="1" x14ac:dyDescent="0.3">
      <c r="A101" s="18"/>
      <c r="B101" s="30" t="str">
        <v>CommentIndicators</v>
      </c>
      <c r="C101" s="112" t="s">
        <v>369</v>
      </c>
      <c r="D101" s="112"/>
      <c r="E101" s="112"/>
      <c r="F101" s="112"/>
      <c r="G101" s="112"/>
      <c r="H101" s="112"/>
      <c r="I101" s="112"/>
      <c r="J101" s="112"/>
      <c r="K101" s="112"/>
      <c r="L101" s="113"/>
      <c r="M101" s="21"/>
      <c r="N101" s="21"/>
      <c r="O101" s="21"/>
      <c r="P101" s="21"/>
      <c r="Q101" s="20"/>
      <c r="S101" s="516" t="s">
        <v>431</v>
      </c>
      <c r="T101" s="517"/>
      <c r="U101" s="517"/>
      <c r="V101" s="517"/>
      <c r="W101" s="517"/>
      <c r="X101" s="517"/>
      <c r="Y101" s="517"/>
      <c r="Z101" s="517"/>
      <c r="AA101" s="517"/>
      <c r="AB101" s="518"/>
    </row>
    <row r="102" spans="1:28" x14ac:dyDescent="0.3">
      <c r="A102" s="18"/>
      <c r="B102" s="30" t="str">
        <v>Comments</v>
      </c>
      <c r="C102" s="112" t="s">
        <v>1806</v>
      </c>
      <c r="D102" s="112"/>
      <c r="E102" s="112"/>
      <c r="F102" s="112"/>
      <c r="G102" s="112"/>
      <c r="H102" s="112"/>
      <c r="I102" s="112"/>
      <c r="J102" s="112"/>
      <c r="K102" s="112"/>
      <c r="L102" s="113"/>
      <c r="M102" s="21"/>
      <c r="N102" s="21"/>
      <c r="O102" s="21"/>
      <c r="P102" s="21"/>
      <c r="Q102" s="20"/>
    </row>
    <row r="103" spans="1:28" x14ac:dyDescent="0.3">
      <c r="A103" s="18"/>
      <c r="B103" s="30" t="str">
        <v>Zeros</v>
      </c>
      <c r="C103" s="112" t="s">
        <v>370</v>
      </c>
      <c r="D103" s="112"/>
      <c r="E103" s="112"/>
      <c r="F103" s="112"/>
      <c r="G103" s="112"/>
      <c r="H103" s="112"/>
      <c r="I103" s="112"/>
      <c r="J103" s="112"/>
      <c r="K103" s="112"/>
      <c r="L103" s="113"/>
      <c r="M103" s="21"/>
      <c r="N103" s="21"/>
      <c r="O103" s="21"/>
      <c r="P103" s="21"/>
      <c r="Q103" s="20"/>
    </row>
    <row r="104" spans="1:28" x14ac:dyDescent="0.3">
      <c r="A104" s="18"/>
      <c r="B104" s="30" t="str">
        <v>Whitespace</v>
      </c>
      <c r="C104" s="112" t="s">
        <v>371</v>
      </c>
      <c r="D104" s="112"/>
      <c r="E104" s="112"/>
      <c r="F104" s="112"/>
      <c r="G104" s="112"/>
      <c r="H104" s="112"/>
      <c r="I104" s="112"/>
      <c r="J104" s="112"/>
      <c r="K104" s="112"/>
      <c r="L104" s="113"/>
      <c r="M104" s="21"/>
      <c r="N104" s="21"/>
      <c r="O104" s="21"/>
      <c r="P104" s="21"/>
      <c r="Q104" s="20"/>
      <c r="S104" s="486" t="s">
        <v>3496</v>
      </c>
      <c r="T104" s="486"/>
      <c r="U104" s="486"/>
      <c r="V104" s="486"/>
      <c r="W104" s="486"/>
      <c r="X104" s="486"/>
      <c r="Y104" s="486"/>
      <c r="Z104" s="486"/>
      <c r="AA104" s="486"/>
      <c r="AB104" s="486"/>
    </row>
    <row r="105" spans="1:28" ht="15" customHeight="1" x14ac:dyDescent="0.3">
      <c r="A105" s="18"/>
      <c r="B105" s="30" t="str">
        <v/>
      </c>
      <c r="C105" s="112"/>
      <c r="D105" s="112"/>
      <c r="E105" s="112"/>
      <c r="F105" s="112"/>
      <c r="G105" s="112"/>
      <c r="H105" s="112"/>
      <c r="I105" s="112"/>
      <c r="J105" s="112"/>
      <c r="K105" s="112"/>
      <c r="L105" s="113"/>
      <c r="M105" s="21"/>
      <c r="N105" s="21"/>
      <c r="O105" s="21"/>
      <c r="P105" s="21"/>
      <c r="Q105" s="20"/>
      <c r="S105" s="487" t="s">
        <v>333</v>
      </c>
      <c r="T105" s="487"/>
      <c r="U105" s="487" t="s">
        <v>609</v>
      </c>
      <c r="V105" s="487"/>
      <c r="W105" s="487"/>
      <c r="X105" s="487"/>
      <c r="Y105" s="487"/>
      <c r="Z105" s="487"/>
      <c r="AA105" s="487"/>
      <c r="AB105" s="487"/>
    </row>
    <row r="106" spans="1:28" x14ac:dyDescent="0.3">
      <c r="A106" s="18"/>
      <c r="B106" s="30" t="str">
        <v>ManualCalcMode</v>
      </c>
      <c r="C106" s="112" t="s">
        <v>372</v>
      </c>
      <c r="D106" s="112"/>
      <c r="E106" s="112"/>
      <c r="F106" s="112"/>
      <c r="G106" s="112"/>
      <c r="H106" s="112"/>
      <c r="I106" s="112"/>
      <c r="J106" s="112"/>
      <c r="K106" s="112"/>
      <c r="L106" s="113"/>
      <c r="M106" s="21"/>
      <c r="N106" s="21"/>
      <c r="O106" s="21"/>
      <c r="P106" s="21"/>
      <c r="Q106" s="20"/>
      <c r="S106" s="487"/>
      <c r="T106" s="487"/>
      <c r="U106" s="487"/>
      <c r="V106" s="487"/>
      <c r="W106" s="487"/>
      <c r="X106" s="487"/>
      <c r="Y106" s="487"/>
      <c r="Z106" s="487"/>
      <c r="AA106" s="487"/>
      <c r="AB106" s="487"/>
    </row>
    <row r="107" spans="1:28" x14ac:dyDescent="0.3">
      <c r="A107" s="18"/>
      <c r="B107" s="30" t="str">
        <v>DoNotCalcDataTables</v>
      </c>
      <c r="C107" s="112" t="s">
        <v>373</v>
      </c>
      <c r="D107" s="112"/>
      <c r="E107" s="112"/>
      <c r="F107" s="112"/>
      <c r="G107" s="112"/>
      <c r="H107" s="112"/>
      <c r="I107" s="112"/>
      <c r="J107" s="112"/>
      <c r="K107" s="112"/>
      <c r="L107" s="113"/>
      <c r="M107" s="21"/>
      <c r="N107" s="21"/>
      <c r="O107" s="21"/>
      <c r="P107" s="21"/>
      <c r="Q107" s="20"/>
      <c r="S107" s="487"/>
      <c r="T107" s="487"/>
      <c r="U107" s="487"/>
      <c r="V107" s="487"/>
      <c r="W107" s="487"/>
      <c r="X107" s="487"/>
      <c r="Y107" s="487"/>
      <c r="Z107" s="487"/>
      <c r="AA107" s="487"/>
      <c r="AB107" s="487"/>
    </row>
    <row r="108" spans="1:28" x14ac:dyDescent="0.3">
      <c r="A108" s="18"/>
      <c r="B108" s="30" t="str">
        <v>Formulas</v>
      </c>
      <c r="C108" s="112" t="s">
        <v>393</v>
      </c>
      <c r="D108" s="112"/>
      <c r="E108" s="112"/>
      <c r="F108" s="112"/>
      <c r="G108" s="112"/>
      <c r="H108" s="112"/>
      <c r="I108" s="112"/>
      <c r="J108" s="112"/>
      <c r="K108" s="112"/>
      <c r="L108" s="113"/>
      <c r="M108" s="21"/>
      <c r="N108" s="21"/>
      <c r="O108" s="21"/>
      <c r="P108" s="21"/>
      <c r="Q108" s="20"/>
      <c r="S108" s="483" t="s">
        <v>323</v>
      </c>
      <c r="T108" s="483"/>
      <c r="U108" s="483" t="s">
        <v>1</v>
      </c>
      <c r="V108" s="483"/>
      <c r="W108" s="483"/>
      <c r="X108" s="483"/>
      <c r="Y108" s="483"/>
      <c r="Z108" s="483"/>
      <c r="AA108" s="483"/>
      <c r="AB108" s="85" t="s">
        <v>324</v>
      </c>
    </row>
    <row r="109" spans="1:28" x14ac:dyDescent="0.3">
      <c r="A109" s="18"/>
      <c r="B109" s="242" t="str">
        <v>DisableControl</v>
      </c>
      <c r="C109" s="112" t="s">
        <v>374</v>
      </c>
      <c r="D109" s="112"/>
      <c r="E109" s="112"/>
      <c r="F109" s="112"/>
      <c r="G109" s="112"/>
      <c r="H109" s="112"/>
      <c r="I109" s="112"/>
      <c r="J109" s="112"/>
      <c r="K109" s="112"/>
      <c r="L109" s="113"/>
      <c r="M109" s="21"/>
      <c r="N109" s="21"/>
      <c r="O109" s="21"/>
      <c r="P109" s="21"/>
      <c r="Q109" s="20"/>
      <c r="S109" s="487" t="s">
        <v>610</v>
      </c>
      <c r="T109" s="487"/>
      <c r="U109" s="487" t="s">
        <v>611</v>
      </c>
      <c r="V109" s="487"/>
      <c r="W109" s="487"/>
      <c r="X109" s="487"/>
      <c r="Y109" s="487"/>
      <c r="Z109" s="487"/>
      <c r="AA109" s="487"/>
      <c r="AB109" s="509" t="s">
        <v>325</v>
      </c>
    </row>
    <row r="110" spans="1:28" x14ac:dyDescent="0.3">
      <c r="A110" s="18"/>
      <c r="B110" s="310" t="str">
        <v>InitSeconds</v>
      </c>
      <c r="C110" s="311" t="s">
        <v>1804</v>
      </c>
      <c r="D110" s="311"/>
      <c r="E110" s="311"/>
      <c r="F110" s="311"/>
      <c r="G110" s="311"/>
      <c r="H110" s="311"/>
      <c r="I110" s="311"/>
      <c r="J110" s="311"/>
      <c r="K110" s="311"/>
      <c r="L110" s="312"/>
      <c r="M110" s="21"/>
      <c r="N110" s="21"/>
      <c r="O110" s="21"/>
      <c r="P110" s="21"/>
      <c r="Q110" s="20"/>
      <c r="S110" s="487"/>
      <c r="T110" s="487"/>
      <c r="U110" s="487"/>
      <c r="V110" s="487"/>
      <c r="W110" s="487"/>
      <c r="X110" s="487"/>
      <c r="Y110" s="487"/>
      <c r="Z110" s="487"/>
      <c r="AA110" s="487"/>
      <c r="AB110" s="509"/>
    </row>
    <row r="111" spans="1:28" x14ac:dyDescent="0.3">
      <c r="A111" s="18"/>
      <c r="B111" s="310" t="str">
        <v>OpenCalcMode</v>
      </c>
      <c r="C111" s="311" t="s">
        <v>1803</v>
      </c>
      <c r="D111" s="311"/>
      <c r="E111" s="311"/>
      <c r="F111" s="311"/>
      <c r="G111" s="311"/>
      <c r="H111" s="311"/>
      <c r="I111" s="311"/>
      <c r="J111" s="311"/>
      <c r="K111" s="311"/>
      <c r="L111" s="312"/>
      <c r="M111" s="21"/>
      <c r="N111" s="21"/>
      <c r="O111" s="21"/>
      <c r="P111" s="21"/>
      <c r="Q111" s="20"/>
      <c r="S111" s="487"/>
      <c r="T111" s="487"/>
      <c r="U111" s="487"/>
      <c r="V111" s="487"/>
      <c r="W111" s="487"/>
      <c r="X111" s="487"/>
      <c r="Y111" s="487"/>
      <c r="Z111" s="487"/>
      <c r="AA111" s="487"/>
      <c r="AB111" s="509"/>
    </row>
    <row r="112" spans="1:28" ht="15" customHeight="1" x14ac:dyDescent="0.3">
      <c r="A112" s="18"/>
      <c r="B112" s="387" t="str">
        <v/>
      </c>
      <c r="C112" s="112"/>
      <c r="D112" s="112"/>
      <c r="E112" s="112"/>
      <c r="F112" s="112"/>
      <c r="G112" s="112"/>
      <c r="H112" s="112"/>
      <c r="I112" s="112"/>
      <c r="J112" s="112"/>
      <c r="K112" s="112"/>
      <c r="L112" s="113"/>
      <c r="M112" s="21"/>
      <c r="N112" s="21"/>
      <c r="O112" s="21"/>
      <c r="P112" s="21"/>
      <c r="Q112" s="20"/>
      <c r="S112" s="496" t="s">
        <v>2299</v>
      </c>
      <c r="T112" s="497"/>
      <c r="U112" s="496" t="s">
        <v>3088</v>
      </c>
      <c r="V112" s="502"/>
      <c r="W112" s="502"/>
      <c r="X112" s="502"/>
      <c r="Y112" s="502"/>
      <c r="Z112" s="502"/>
      <c r="AA112" s="497"/>
      <c r="AB112" s="505" t="s">
        <v>326</v>
      </c>
    </row>
    <row r="113" spans="1:28" x14ac:dyDescent="0.3">
      <c r="A113" s="18"/>
      <c r="B113" s="387" t="str">
        <v>IgnoreRemoteRequests</v>
      </c>
      <c r="C113" s="388" t="s">
        <v>2682</v>
      </c>
      <c r="D113" s="388"/>
      <c r="E113" s="388"/>
      <c r="F113" s="388"/>
      <c r="G113" s="388"/>
      <c r="H113" s="388"/>
      <c r="I113" s="388"/>
      <c r="J113" s="388"/>
      <c r="K113" s="388"/>
      <c r="L113" s="389"/>
      <c r="M113" s="21"/>
      <c r="N113" s="21"/>
      <c r="O113" s="21"/>
      <c r="P113" s="21"/>
      <c r="Q113" s="20"/>
      <c r="S113" s="498"/>
      <c r="T113" s="499"/>
      <c r="U113" s="498"/>
      <c r="V113" s="503"/>
      <c r="W113" s="503"/>
      <c r="X113" s="503"/>
      <c r="Y113" s="503"/>
      <c r="Z113" s="503"/>
      <c r="AA113" s="499"/>
      <c r="AB113" s="506"/>
    </row>
    <row r="114" spans="1:28" x14ac:dyDescent="0.3">
      <c r="A114" s="18"/>
      <c r="B114" s="142" t="str">
        <v/>
      </c>
      <c r="C114" s="311"/>
      <c r="D114" s="311"/>
      <c r="E114" s="311"/>
      <c r="F114" s="311"/>
      <c r="G114" s="311"/>
      <c r="H114" s="311"/>
      <c r="I114" s="311"/>
      <c r="J114" s="311"/>
      <c r="K114" s="311"/>
      <c r="L114" s="312"/>
      <c r="M114" s="21"/>
      <c r="N114" s="21"/>
      <c r="O114" s="21"/>
      <c r="P114" s="21"/>
      <c r="Q114" s="20"/>
      <c r="S114" s="500"/>
      <c r="T114" s="501"/>
      <c r="U114" s="500"/>
      <c r="V114" s="504"/>
      <c r="W114" s="504"/>
      <c r="X114" s="504"/>
      <c r="Y114" s="504"/>
      <c r="Z114" s="504"/>
      <c r="AA114" s="501"/>
      <c r="AB114" s="507"/>
    </row>
    <row r="115" spans="1:28" x14ac:dyDescent="0.3">
      <c r="A115" s="18"/>
      <c r="B115" s="142" t="str">
        <v>BringToFront</v>
      </c>
      <c r="C115" s="143" t="s">
        <v>376</v>
      </c>
      <c r="D115" s="143"/>
      <c r="E115" s="143"/>
      <c r="F115" s="143"/>
      <c r="G115" s="143"/>
      <c r="H115" s="143"/>
      <c r="I115" s="143"/>
      <c r="J115" s="143"/>
      <c r="K115" s="143"/>
      <c r="L115" s="144"/>
      <c r="M115" s="21"/>
      <c r="N115" s="21"/>
      <c r="O115" s="21"/>
      <c r="P115" s="21"/>
      <c r="Q115" s="20"/>
      <c r="S115" s="126" t="s">
        <v>328</v>
      </c>
    </row>
    <row r="116" spans="1:28" x14ac:dyDescent="0.3">
      <c r="A116" s="18"/>
      <c r="B116" s="142" t="str">
        <v>Calc</v>
      </c>
      <c r="C116" s="143" t="s">
        <v>375</v>
      </c>
      <c r="D116" s="143"/>
      <c r="E116" s="143"/>
      <c r="F116" s="143"/>
      <c r="G116" s="143"/>
      <c r="H116" s="143"/>
      <c r="I116" s="143"/>
      <c r="J116" s="143"/>
      <c r="K116" s="143"/>
      <c r="L116" s="144"/>
      <c r="M116" s="21"/>
      <c r="N116" s="21"/>
      <c r="O116" s="21"/>
      <c r="P116" s="21"/>
      <c r="Q116" s="20"/>
    </row>
    <row r="117" spans="1:28" x14ac:dyDescent="0.3">
      <c r="A117" s="18"/>
      <c r="B117" s="142" t="str">
        <v>CalcFull</v>
      </c>
      <c r="C117" s="143" t="s">
        <v>377</v>
      </c>
      <c r="D117" s="143"/>
      <c r="E117" s="143"/>
      <c r="F117" s="143"/>
      <c r="G117" s="143"/>
      <c r="H117" s="143"/>
      <c r="I117" s="143"/>
      <c r="J117" s="143"/>
      <c r="K117" s="143"/>
      <c r="L117" s="144"/>
      <c r="M117" s="21"/>
      <c r="N117" s="21"/>
      <c r="O117" s="21"/>
      <c r="P117" s="21"/>
      <c r="Q117" s="20"/>
    </row>
    <row r="118" spans="1:28" x14ac:dyDescent="0.3">
      <c r="A118" s="18"/>
      <c r="B118" s="142" t="str">
        <v>RefreshAll</v>
      </c>
      <c r="C118" s="143" t="s">
        <v>605</v>
      </c>
      <c r="D118" s="143"/>
      <c r="E118" s="143"/>
      <c r="F118" s="143"/>
      <c r="G118" s="143"/>
      <c r="H118" s="143"/>
      <c r="I118" s="143"/>
      <c r="J118" s="143"/>
      <c r="K118" s="143"/>
      <c r="L118" s="144"/>
      <c r="M118" s="21"/>
      <c r="N118" s="21"/>
      <c r="O118" s="21"/>
      <c r="P118" s="21"/>
      <c r="Q118" s="20"/>
      <c r="S118" s="486" t="s">
        <v>3497</v>
      </c>
      <c r="T118" s="486"/>
      <c r="U118" s="486"/>
      <c r="V118" s="486"/>
      <c r="W118" s="486"/>
      <c r="X118" s="486"/>
      <c r="Y118" s="486"/>
      <c r="Z118" s="486"/>
      <c r="AA118" s="486"/>
      <c r="AB118" s="486"/>
    </row>
    <row r="119" spans="1:28" x14ac:dyDescent="0.3">
      <c r="A119" s="18"/>
      <c r="B119" s="142" t="str">
        <v>Run</v>
      </c>
      <c r="C119" s="143" t="s">
        <v>3715</v>
      </c>
      <c r="D119" s="143"/>
      <c r="E119" s="143"/>
      <c r="F119" s="143"/>
      <c r="G119" s="143"/>
      <c r="H119" s="143"/>
      <c r="I119" s="143"/>
      <c r="J119" s="143"/>
      <c r="K119" s="143"/>
      <c r="L119" s="144"/>
      <c r="M119" s="21"/>
      <c r="N119" s="21"/>
      <c r="O119" s="21"/>
      <c r="P119" s="21"/>
      <c r="Q119" s="20"/>
      <c r="S119" s="487" t="s">
        <v>333</v>
      </c>
      <c r="T119" s="487"/>
      <c r="U119" s="487" t="s">
        <v>2264</v>
      </c>
      <c r="V119" s="487"/>
      <c r="W119" s="487"/>
      <c r="X119" s="487"/>
      <c r="Y119" s="487"/>
      <c r="Z119" s="487"/>
      <c r="AA119" s="487"/>
      <c r="AB119" s="487"/>
    </row>
    <row r="120" spans="1:28" x14ac:dyDescent="0.3">
      <c r="A120" s="18"/>
      <c r="B120" s="142" t="str">
        <v>Save</v>
      </c>
      <c r="C120" s="143" t="s">
        <v>378</v>
      </c>
      <c r="D120" s="143"/>
      <c r="E120" s="143"/>
      <c r="F120" s="143"/>
      <c r="G120" s="143"/>
      <c r="H120" s="143"/>
      <c r="I120" s="143"/>
      <c r="J120" s="143"/>
      <c r="K120" s="143"/>
      <c r="L120" s="144"/>
      <c r="M120" s="21"/>
      <c r="N120" s="21"/>
      <c r="O120" s="21"/>
      <c r="P120" s="21"/>
      <c r="Q120" s="20"/>
      <c r="S120" s="487"/>
      <c r="T120" s="487"/>
      <c r="U120" s="487"/>
      <c r="V120" s="487"/>
      <c r="W120" s="487"/>
      <c r="X120" s="487"/>
      <c r="Y120" s="487"/>
      <c r="Z120" s="487"/>
      <c r="AA120" s="487"/>
      <c r="AB120" s="487"/>
    </row>
    <row r="121" spans="1:28" x14ac:dyDescent="0.3">
      <c r="A121" s="18"/>
      <c r="B121" s="142" t="str">
        <v>SaveAs</v>
      </c>
      <c r="C121" s="143" t="s">
        <v>1818</v>
      </c>
      <c r="D121" s="143"/>
      <c r="E121" s="143"/>
      <c r="F121" s="143"/>
      <c r="G121" s="143"/>
      <c r="H121" s="143"/>
      <c r="I121" s="143"/>
      <c r="J121" s="143"/>
      <c r="K121" s="143"/>
      <c r="L121" s="144"/>
      <c r="M121" s="21"/>
      <c r="N121" s="21"/>
      <c r="O121" s="21"/>
      <c r="P121" s="21"/>
      <c r="Q121" s="20"/>
      <c r="S121" s="487"/>
      <c r="T121" s="487"/>
      <c r="U121" s="487"/>
      <c r="V121" s="487"/>
      <c r="W121" s="487"/>
      <c r="X121" s="487"/>
      <c r="Y121" s="487"/>
      <c r="Z121" s="487"/>
      <c r="AA121" s="487"/>
      <c r="AB121" s="487"/>
    </row>
    <row r="122" spans="1:28" x14ac:dyDescent="0.3">
      <c r="A122" s="18"/>
      <c r="B122" s="142" t="str">
        <v>Close</v>
      </c>
      <c r="C122" s="143" t="s">
        <v>379</v>
      </c>
      <c r="D122" s="143"/>
      <c r="E122" s="143"/>
      <c r="F122" s="143"/>
      <c r="G122" s="143"/>
      <c r="H122" s="143"/>
      <c r="I122" s="143"/>
      <c r="J122" s="143"/>
      <c r="K122" s="143"/>
      <c r="L122" s="144"/>
      <c r="M122" s="21"/>
      <c r="N122" s="21"/>
      <c r="O122" s="21"/>
      <c r="P122" s="21"/>
      <c r="Q122" s="20"/>
      <c r="S122" s="483" t="s">
        <v>323</v>
      </c>
      <c r="T122" s="483"/>
      <c r="U122" s="483" t="s">
        <v>1</v>
      </c>
      <c r="V122" s="483"/>
      <c r="W122" s="483"/>
      <c r="X122" s="483"/>
      <c r="Y122" s="483"/>
      <c r="Z122" s="483"/>
      <c r="AA122" s="483"/>
      <c r="AB122" s="85" t="s">
        <v>324</v>
      </c>
    </row>
    <row r="123" spans="1:28" ht="15" customHeight="1" x14ac:dyDescent="0.3">
      <c r="A123" s="18"/>
      <c r="B123" s="142" t="str">
        <v>Backup</v>
      </c>
      <c r="C123" s="143" t="s">
        <v>1458</v>
      </c>
      <c r="D123" s="143"/>
      <c r="E123" s="143"/>
      <c r="F123" s="143"/>
      <c r="G123" s="143"/>
      <c r="H123" s="143"/>
      <c r="I123" s="143"/>
      <c r="J123" s="143"/>
      <c r="K123" s="143"/>
      <c r="L123" s="144"/>
      <c r="M123" s="21"/>
      <c r="N123" s="21"/>
      <c r="O123" s="21"/>
      <c r="P123" s="21"/>
      <c r="Q123" s="20"/>
      <c r="S123" s="484" t="s">
        <v>684</v>
      </c>
      <c r="T123" s="484"/>
      <c r="U123" s="484" t="s">
        <v>2263</v>
      </c>
      <c r="V123" s="484"/>
      <c r="W123" s="484"/>
      <c r="X123" s="484"/>
      <c r="Y123" s="484"/>
      <c r="Z123" s="484"/>
      <c r="AA123" s="484"/>
      <c r="AB123" s="485" t="s">
        <v>326</v>
      </c>
    </row>
    <row r="124" spans="1:28" x14ac:dyDescent="0.3">
      <c r="A124" s="18"/>
      <c r="B124" s="142" t="str">
        <v>Quit</v>
      </c>
      <c r="C124" s="143" t="s">
        <v>380</v>
      </c>
      <c r="D124" s="143"/>
      <c r="E124" s="143"/>
      <c r="F124" s="143"/>
      <c r="G124" s="143"/>
      <c r="H124" s="143"/>
      <c r="I124" s="143"/>
      <c r="J124" s="143"/>
      <c r="K124" s="143"/>
      <c r="L124" s="144"/>
      <c r="M124" s="21"/>
      <c r="N124" s="21"/>
      <c r="O124" s="21"/>
      <c r="P124" s="21"/>
      <c r="Q124" s="20"/>
      <c r="S124" s="484"/>
      <c r="T124" s="484"/>
      <c r="U124" s="484"/>
      <c r="V124" s="484"/>
      <c r="W124" s="484"/>
      <c r="X124" s="484"/>
      <c r="Y124" s="484"/>
      <c r="Z124" s="484"/>
      <c r="AA124" s="484"/>
      <c r="AB124" s="485"/>
    </row>
    <row r="125" spans="1:28" x14ac:dyDescent="0.3">
      <c r="A125" s="18"/>
      <c r="B125" s="142" t="str">
        <v>Status</v>
      </c>
      <c r="C125" s="143" t="s">
        <v>2062</v>
      </c>
      <c r="D125" s="143"/>
      <c r="E125" s="143"/>
      <c r="F125" s="143"/>
      <c r="G125" s="143"/>
      <c r="H125" s="143"/>
      <c r="I125" s="143"/>
      <c r="J125" s="143"/>
      <c r="K125" s="143"/>
      <c r="L125" s="144"/>
      <c r="M125" s="21"/>
      <c r="N125" s="21"/>
      <c r="O125" s="21"/>
      <c r="P125" s="21"/>
      <c r="Q125" s="20"/>
      <c r="S125" s="484"/>
      <c r="T125" s="484"/>
      <c r="U125" s="484"/>
      <c r="V125" s="484"/>
      <c r="W125" s="484"/>
      <c r="X125" s="484"/>
      <c r="Y125" s="484"/>
      <c r="Z125" s="484"/>
      <c r="AA125" s="484"/>
      <c r="AB125" s="485"/>
    </row>
    <row r="126" spans="1:28" x14ac:dyDescent="0.3">
      <c r="A126" s="18"/>
      <c r="B126" s="142" t="str">
        <v/>
      </c>
      <c r="C126" s="143"/>
      <c r="D126" s="143"/>
      <c r="E126" s="143"/>
      <c r="F126" s="143"/>
      <c r="G126" s="143"/>
      <c r="H126" s="143"/>
      <c r="I126" s="143"/>
      <c r="J126" s="143"/>
      <c r="K126" s="143"/>
      <c r="L126" s="144"/>
      <c r="M126" s="21"/>
      <c r="N126" s="21"/>
      <c r="O126" s="21"/>
      <c r="P126" s="21"/>
      <c r="Q126" s="20"/>
      <c r="S126" s="484" t="s">
        <v>2262</v>
      </c>
      <c r="T126" s="484"/>
      <c r="U126" s="484" t="s">
        <v>2297</v>
      </c>
      <c r="V126" s="484"/>
      <c r="W126" s="484"/>
      <c r="X126" s="484"/>
      <c r="Y126" s="484"/>
      <c r="Z126" s="484"/>
      <c r="AA126" s="484"/>
      <c r="AB126" s="485" t="s">
        <v>326</v>
      </c>
    </row>
    <row r="127" spans="1:28" ht="15" customHeight="1" x14ac:dyDescent="0.3">
      <c r="A127" s="18"/>
      <c r="B127" s="142" t="str">
        <v>ApplyOpenSettings</v>
      </c>
      <c r="C127" s="143" t="s">
        <v>382</v>
      </c>
      <c r="D127" s="112"/>
      <c r="E127" s="112"/>
      <c r="F127" s="112"/>
      <c r="G127" s="112"/>
      <c r="H127" s="112"/>
      <c r="I127" s="112"/>
      <c r="J127" s="112"/>
      <c r="K127" s="112"/>
      <c r="L127" s="113"/>
      <c r="M127" s="21"/>
      <c r="N127" s="21"/>
      <c r="O127" s="21"/>
      <c r="P127" s="21"/>
      <c r="Q127" s="20"/>
      <c r="S127" s="484"/>
      <c r="T127" s="484"/>
      <c r="U127" s="484"/>
      <c r="V127" s="484"/>
      <c r="W127" s="484"/>
      <c r="X127" s="484"/>
      <c r="Y127" s="484"/>
      <c r="Z127" s="484"/>
      <c r="AA127" s="484"/>
      <c r="AB127" s="485"/>
    </row>
    <row r="128" spans="1:28" x14ac:dyDescent="0.3">
      <c r="A128" s="18"/>
      <c r="B128" s="142" t="str">
        <v>ApplyLastSaveSettings</v>
      </c>
      <c r="C128" s="143" t="s">
        <v>381</v>
      </c>
      <c r="D128" s="112"/>
      <c r="E128" s="112"/>
      <c r="F128" s="112"/>
      <c r="G128" s="112"/>
      <c r="H128" s="112"/>
      <c r="I128" s="112"/>
      <c r="J128" s="112"/>
      <c r="K128" s="112"/>
      <c r="L128" s="113"/>
      <c r="M128" s="21"/>
      <c r="N128" s="21"/>
      <c r="O128" s="21"/>
      <c r="P128" s="21"/>
      <c r="Q128" s="20"/>
      <c r="S128" s="484"/>
      <c r="T128" s="484"/>
      <c r="U128" s="484"/>
      <c r="V128" s="484"/>
      <c r="W128" s="484"/>
      <c r="X128" s="484"/>
      <c r="Y128" s="484"/>
      <c r="Z128" s="484"/>
      <c r="AA128" s="484"/>
      <c r="AB128" s="485"/>
    </row>
    <row r="129" spans="1:28" ht="15" customHeight="1" x14ac:dyDescent="0.3">
      <c r="A129" s="18"/>
      <c r="B129" s="386"/>
      <c r="C129" s="386"/>
      <c r="D129" s="21"/>
      <c r="E129" s="21"/>
      <c r="F129" s="21"/>
      <c r="G129" s="21"/>
      <c r="H129" s="21"/>
      <c r="I129" s="21"/>
      <c r="J129" s="21"/>
      <c r="K129" s="21"/>
      <c r="L129" s="21"/>
      <c r="M129" s="21"/>
      <c r="N129" s="21"/>
      <c r="O129" s="21"/>
      <c r="P129" s="21"/>
      <c r="Q129" s="20"/>
      <c r="S129" s="496" t="s">
        <v>2299</v>
      </c>
      <c r="T129" s="497"/>
      <c r="U129" s="496" t="s">
        <v>3088</v>
      </c>
      <c r="V129" s="502"/>
      <c r="W129" s="502"/>
      <c r="X129" s="502"/>
      <c r="Y129" s="502"/>
      <c r="Z129" s="502"/>
      <c r="AA129" s="497"/>
      <c r="AB129" s="505" t="s">
        <v>326</v>
      </c>
    </row>
    <row r="130" spans="1:28" x14ac:dyDescent="0.3">
      <c r="A130" s="18"/>
      <c r="B130" s="386"/>
      <c r="C130" s="386"/>
      <c r="D130" s="21"/>
      <c r="E130" s="21"/>
      <c r="F130" s="21"/>
      <c r="G130" s="21"/>
      <c r="H130" s="21"/>
      <c r="I130" s="21"/>
      <c r="J130" s="21"/>
      <c r="K130" s="21"/>
      <c r="L130" s="21"/>
      <c r="M130" s="21"/>
      <c r="N130" s="21"/>
      <c r="O130" s="21"/>
      <c r="P130" s="21"/>
      <c r="Q130" s="20"/>
      <c r="S130" s="498"/>
      <c r="T130" s="499"/>
      <c r="U130" s="498"/>
      <c r="V130" s="503"/>
      <c r="W130" s="503"/>
      <c r="X130" s="503"/>
      <c r="Y130" s="503"/>
      <c r="Z130" s="503"/>
      <c r="AA130" s="499"/>
      <c r="AB130" s="506"/>
    </row>
    <row r="131" spans="1:28" ht="15" customHeight="1" x14ac:dyDescent="0.3">
      <c r="A131" s="18"/>
      <c r="B131" s="21"/>
      <c r="C131" s="21"/>
      <c r="D131" s="21"/>
      <c r="E131" s="21"/>
      <c r="F131" s="21"/>
      <c r="G131" s="21"/>
      <c r="H131" s="21"/>
      <c r="I131" s="21"/>
      <c r="J131" s="21"/>
      <c r="K131" s="21"/>
      <c r="L131" s="21"/>
      <c r="M131" s="21"/>
      <c r="N131" s="21"/>
      <c r="O131" s="21"/>
      <c r="P131" s="21"/>
      <c r="Q131" s="20"/>
      <c r="S131" s="500"/>
      <c r="T131" s="501"/>
      <c r="U131" s="500"/>
      <c r="V131" s="504"/>
      <c r="W131" s="504"/>
      <c r="X131" s="504"/>
      <c r="Y131" s="504"/>
      <c r="Z131" s="504"/>
      <c r="AA131" s="501"/>
      <c r="AB131" s="507"/>
    </row>
    <row r="132" spans="1:28" x14ac:dyDescent="0.3">
      <c r="A132" s="18"/>
      <c r="B132" s="21"/>
      <c r="C132" s="21"/>
      <c r="D132" s="21"/>
      <c r="E132" s="101" t="s">
        <v>3493</v>
      </c>
      <c r="F132" s="21"/>
      <c r="G132" s="21"/>
      <c r="H132" s="21"/>
      <c r="I132" s="21"/>
      <c r="J132" s="21"/>
      <c r="K132" s="21"/>
      <c r="L132" s="21"/>
      <c r="M132" s="21"/>
      <c r="N132" s="21"/>
      <c r="O132" s="21"/>
      <c r="P132" s="21"/>
      <c r="Q132" s="20"/>
      <c r="S132" s="126" t="s">
        <v>328</v>
      </c>
    </row>
    <row r="133" spans="1:28" x14ac:dyDescent="0.3">
      <c r="A133" s="18"/>
      <c r="B133" s="21"/>
      <c r="C133" s="21"/>
      <c r="D133" s="21"/>
      <c r="E133" s="100" t="s">
        <v>3498</v>
      </c>
      <c r="F133" s="21"/>
      <c r="G133" s="21"/>
      <c r="H133" s="21"/>
      <c r="I133" s="21"/>
      <c r="J133" s="21"/>
      <c r="K133" s="21"/>
      <c r="L133" s="21"/>
      <c r="M133" s="21"/>
      <c r="N133" s="21"/>
      <c r="O133" s="21"/>
      <c r="P133" s="21"/>
      <c r="Q133" s="20"/>
    </row>
    <row r="134" spans="1:28" ht="15" customHeight="1" x14ac:dyDescent="0.3">
      <c r="A134" s="18"/>
      <c r="B134" s="21"/>
      <c r="C134" s="21"/>
      <c r="D134" s="21"/>
      <c r="E134" s="21"/>
      <c r="F134" s="21"/>
      <c r="G134" s="21"/>
      <c r="H134" s="21"/>
      <c r="I134" s="21"/>
      <c r="J134" s="21"/>
      <c r="K134" s="21"/>
      <c r="L134" s="21"/>
      <c r="M134" s="21"/>
      <c r="N134" s="21"/>
      <c r="O134" s="21"/>
      <c r="P134" s="21"/>
      <c r="Q134" s="20"/>
    </row>
    <row r="135" spans="1:28" x14ac:dyDescent="0.3">
      <c r="A135" s="18"/>
      <c r="B135" s="21"/>
      <c r="C135" s="21"/>
      <c r="D135" s="21"/>
      <c r="E135" s="21"/>
      <c r="F135" s="21"/>
      <c r="G135" s="21"/>
      <c r="H135" s="21"/>
      <c r="I135" s="21"/>
      <c r="J135" s="21"/>
      <c r="K135" s="21"/>
      <c r="L135" s="21"/>
      <c r="M135" s="21"/>
      <c r="N135" s="21"/>
      <c r="O135" s="21"/>
      <c r="P135" s="21"/>
      <c r="Q135" s="20"/>
      <c r="S135" s="486" t="s">
        <v>3499</v>
      </c>
      <c r="T135" s="486"/>
      <c r="U135" s="486"/>
      <c r="V135" s="486"/>
      <c r="W135" s="486"/>
      <c r="X135" s="486"/>
      <c r="Y135" s="486"/>
      <c r="Z135" s="486"/>
      <c r="AA135" s="486"/>
      <c r="AB135" s="486"/>
    </row>
    <row r="136" spans="1:28" x14ac:dyDescent="0.3">
      <c r="A136" s="18"/>
      <c r="B136" s="21"/>
      <c r="C136" s="21"/>
      <c r="D136" s="21"/>
      <c r="E136" s="21"/>
      <c r="F136" s="21"/>
      <c r="G136" s="21"/>
      <c r="H136" s="21"/>
      <c r="I136" s="21"/>
      <c r="J136" s="21"/>
      <c r="K136" s="21"/>
      <c r="L136" s="21"/>
      <c r="M136" s="21"/>
      <c r="N136" s="21"/>
      <c r="O136" s="21"/>
      <c r="P136" s="21"/>
      <c r="Q136" s="20"/>
      <c r="S136" s="487" t="s">
        <v>333</v>
      </c>
      <c r="T136" s="487"/>
      <c r="U136" s="487" t="s">
        <v>859</v>
      </c>
      <c r="V136" s="487"/>
      <c r="W136" s="487"/>
      <c r="X136" s="487"/>
      <c r="Y136" s="487"/>
      <c r="Z136" s="487"/>
      <c r="AA136" s="487"/>
      <c r="AB136" s="487"/>
    </row>
    <row r="137" spans="1:28" x14ac:dyDescent="0.3">
      <c r="A137" s="18"/>
      <c r="B137" s="21"/>
      <c r="C137" s="21"/>
      <c r="D137" s="21"/>
      <c r="E137" s="21"/>
      <c r="F137" s="21"/>
      <c r="G137" s="21"/>
      <c r="H137" s="21"/>
      <c r="I137" s="21"/>
      <c r="J137" s="21"/>
      <c r="K137" s="21"/>
      <c r="L137" s="21"/>
      <c r="M137" s="21"/>
      <c r="N137" s="21"/>
      <c r="O137" s="21"/>
      <c r="P137" s="21"/>
      <c r="Q137" s="20"/>
      <c r="S137" s="487"/>
      <c r="T137" s="487"/>
      <c r="U137" s="487"/>
      <c r="V137" s="487"/>
      <c r="W137" s="487"/>
      <c r="X137" s="487"/>
      <c r="Y137" s="487"/>
      <c r="Z137" s="487"/>
      <c r="AA137" s="487"/>
      <c r="AB137" s="487"/>
    </row>
    <row r="138" spans="1:28" x14ac:dyDescent="0.3">
      <c r="A138" s="18"/>
      <c r="B138" s="21"/>
      <c r="C138" s="21"/>
      <c r="D138" s="21"/>
      <c r="E138" s="21"/>
      <c r="F138" s="21"/>
      <c r="G138" s="21"/>
      <c r="H138" s="21"/>
      <c r="I138" s="21"/>
      <c r="J138" s="21"/>
      <c r="K138" s="21"/>
      <c r="L138" s="21"/>
      <c r="M138" s="21"/>
      <c r="N138" s="21"/>
      <c r="O138" s="21"/>
      <c r="P138" s="21"/>
      <c r="Q138" s="20"/>
      <c r="S138" s="487"/>
      <c r="T138" s="487"/>
      <c r="U138" s="487"/>
      <c r="V138" s="487"/>
      <c r="W138" s="487"/>
      <c r="X138" s="487"/>
      <c r="Y138" s="487"/>
      <c r="Z138" s="487"/>
      <c r="AA138" s="487"/>
      <c r="AB138" s="487"/>
    </row>
    <row r="139" spans="1:28" x14ac:dyDescent="0.3">
      <c r="A139" s="18"/>
      <c r="B139" s="21"/>
      <c r="C139" s="21"/>
      <c r="D139" s="21"/>
      <c r="E139" s="21"/>
      <c r="F139" s="21"/>
      <c r="G139" s="21"/>
      <c r="H139" s="21"/>
      <c r="I139" s="21"/>
      <c r="J139" s="21"/>
      <c r="K139" s="21"/>
      <c r="L139" s="21"/>
      <c r="M139" s="21"/>
      <c r="N139" s="21"/>
      <c r="O139" s="21"/>
      <c r="P139" s="21"/>
      <c r="Q139" s="20"/>
      <c r="S139" s="483" t="s">
        <v>323</v>
      </c>
      <c r="T139" s="483"/>
      <c r="U139" s="483" t="s">
        <v>1</v>
      </c>
      <c r="V139" s="483"/>
      <c r="W139" s="483"/>
      <c r="X139" s="483"/>
      <c r="Y139" s="483"/>
      <c r="Z139" s="483"/>
      <c r="AA139" s="483"/>
      <c r="AB139" s="85" t="s">
        <v>324</v>
      </c>
    </row>
    <row r="140" spans="1:28" x14ac:dyDescent="0.3">
      <c r="A140" s="18"/>
      <c r="B140" s="21"/>
      <c r="C140" s="21"/>
      <c r="D140" s="21"/>
      <c r="E140" s="21"/>
      <c r="F140" s="21"/>
      <c r="G140" s="21"/>
      <c r="H140" s="21"/>
      <c r="I140" s="21"/>
      <c r="J140" s="21"/>
      <c r="K140" s="21"/>
      <c r="L140" s="21"/>
      <c r="M140" s="21"/>
      <c r="N140" s="21"/>
      <c r="O140" s="21"/>
      <c r="P140" s="21"/>
      <c r="Q140" s="20"/>
      <c r="S140" s="484" t="s">
        <v>858</v>
      </c>
      <c r="T140" s="484"/>
      <c r="U140" s="484" t="s">
        <v>860</v>
      </c>
      <c r="V140" s="484"/>
      <c r="W140" s="484"/>
      <c r="X140" s="484"/>
      <c r="Y140" s="484"/>
      <c r="Z140" s="484"/>
      <c r="AA140" s="484"/>
      <c r="AB140" s="485" t="s">
        <v>326</v>
      </c>
    </row>
    <row r="141" spans="1:28" ht="15" customHeight="1" x14ac:dyDescent="0.3">
      <c r="A141" s="18"/>
      <c r="B141" s="21"/>
      <c r="C141" s="21"/>
      <c r="D141" s="21"/>
      <c r="E141" s="21"/>
      <c r="F141" s="21"/>
      <c r="G141" s="21"/>
      <c r="H141" s="21"/>
      <c r="I141" s="21"/>
      <c r="J141" s="21"/>
      <c r="K141" s="21"/>
      <c r="L141" s="21"/>
      <c r="M141" s="21"/>
      <c r="N141" s="21"/>
      <c r="O141" s="21"/>
      <c r="P141" s="21"/>
      <c r="Q141" s="20"/>
      <c r="S141" s="484"/>
      <c r="T141" s="484"/>
      <c r="U141" s="484"/>
      <c r="V141" s="484"/>
      <c r="W141" s="484"/>
      <c r="X141" s="484"/>
      <c r="Y141" s="484"/>
      <c r="Z141" s="484"/>
      <c r="AA141" s="484"/>
      <c r="AB141" s="485"/>
    </row>
    <row r="142" spans="1:28" x14ac:dyDescent="0.3">
      <c r="A142" s="18"/>
      <c r="B142" s="21"/>
      <c r="C142" s="21"/>
      <c r="D142" s="21"/>
      <c r="E142" s="21"/>
      <c r="F142" s="21"/>
      <c r="G142" s="21"/>
      <c r="H142" s="21"/>
      <c r="I142" s="21"/>
      <c r="J142" s="21"/>
      <c r="K142" s="21"/>
      <c r="L142" s="21"/>
      <c r="M142" s="21"/>
      <c r="N142" s="21"/>
      <c r="O142" s="21"/>
      <c r="P142" s="21"/>
      <c r="Q142" s="20"/>
      <c r="S142" s="484"/>
      <c r="T142" s="484"/>
      <c r="U142" s="484"/>
      <c r="V142" s="484"/>
      <c r="W142" s="484"/>
      <c r="X142" s="484"/>
      <c r="Y142" s="484"/>
      <c r="Z142" s="484"/>
      <c r="AA142" s="484"/>
      <c r="AB142" s="485"/>
    </row>
    <row r="143" spans="1:28" x14ac:dyDescent="0.3">
      <c r="A143" s="18"/>
      <c r="B143" s="21"/>
      <c r="C143" s="21"/>
      <c r="D143" s="21"/>
      <c r="E143" s="21"/>
      <c r="F143" s="21"/>
      <c r="G143" s="21"/>
      <c r="H143" s="21"/>
      <c r="I143" s="21"/>
      <c r="J143" s="21"/>
      <c r="K143" s="21"/>
      <c r="L143" s="21"/>
      <c r="M143" s="21"/>
      <c r="N143" s="21"/>
      <c r="O143" s="21"/>
      <c r="P143" s="21"/>
      <c r="Q143" s="20"/>
      <c r="S143" s="126" t="s">
        <v>328</v>
      </c>
    </row>
    <row r="144" spans="1:28" x14ac:dyDescent="0.3">
      <c r="A144" s="18"/>
      <c r="B144" s="21"/>
      <c r="C144" s="21"/>
      <c r="D144" s="21"/>
      <c r="E144" s="101" t="s">
        <v>3494</v>
      </c>
      <c r="F144" s="21"/>
      <c r="G144" s="21"/>
      <c r="H144" s="21"/>
      <c r="I144" s="21"/>
      <c r="J144" s="21"/>
      <c r="K144" s="21"/>
      <c r="L144" s="21"/>
      <c r="M144" s="21"/>
      <c r="N144" s="21"/>
      <c r="O144" s="21"/>
      <c r="P144" s="21"/>
      <c r="Q144" s="20"/>
    </row>
    <row r="145" spans="1:28" ht="15" customHeight="1" x14ac:dyDescent="0.3">
      <c r="A145" s="18"/>
      <c r="B145" s="21"/>
      <c r="C145" s="21"/>
      <c r="D145" s="21"/>
      <c r="E145" s="150" t="b" cm="1">
        <f t="array" ref="E145">_xll.U.IS_CONTROL_ENABLED()</f>
        <v>0</v>
      </c>
      <c r="F145" s="21"/>
      <c r="G145" s="21"/>
      <c r="H145" s="21"/>
      <c r="I145" s="21"/>
      <c r="J145" s="21"/>
      <c r="K145" s="21"/>
      <c r="L145" s="21"/>
      <c r="M145" s="21"/>
      <c r="N145" s="21"/>
      <c r="O145" s="21"/>
      <c r="P145" s="21"/>
      <c r="Q145" s="20"/>
    </row>
    <row r="146" spans="1:28" x14ac:dyDescent="0.3">
      <c r="A146" s="18"/>
      <c r="B146" s="21"/>
      <c r="C146" s="21"/>
      <c r="D146" s="21"/>
      <c r="E146" s="21"/>
      <c r="F146" s="21"/>
      <c r="G146" s="21"/>
      <c r="H146" s="21"/>
      <c r="I146" s="21"/>
      <c r="J146" s="21"/>
      <c r="K146" s="21"/>
      <c r="L146" s="21"/>
      <c r="M146" s="21"/>
      <c r="N146" s="21"/>
      <c r="O146" s="21"/>
      <c r="P146" s="21"/>
      <c r="Q146" s="20"/>
      <c r="S146" s="486" t="s">
        <v>3500</v>
      </c>
      <c r="T146" s="486"/>
      <c r="U146" s="486"/>
      <c r="V146" s="486"/>
      <c r="W146" s="486"/>
      <c r="X146" s="486"/>
      <c r="Y146" s="486"/>
      <c r="Z146" s="486"/>
      <c r="AA146" s="486"/>
      <c r="AB146" s="486"/>
    </row>
    <row r="147" spans="1:28" x14ac:dyDescent="0.3">
      <c r="A147" s="18"/>
      <c r="B147" s="21"/>
      <c r="C147" s="21"/>
      <c r="D147" s="21"/>
      <c r="E147" s="21"/>
      <c r="F147" s="21"/>
      <c r="G147" s="21"/>
      <c r="H147" s="21"/>
      <c r="I147" s="21"/>
      <c r="J147" s="21"/>
      <c r="K147" s="21"/>
      <c r="L147" s="21"/>
      <c r="M147" s="21"/>
      <c r="N147" s="21"/>
      <c r="O147" s="21"/>
      <c r="P147" s="21"/>
      <c r="Q147" s="20"/>
      <c r="S147" s="539" t="s">
        <v>333</v>
      </c>
      <c r="T147" s="541"/>
      <c r="U147" s="539" t="s">
        <v>3719</v>
      </c>
      <c r="V147" s="540"/>
      <c r="W147" s="540"/>
      <c r="X147" s="540"/>
      <c r="Y147" s="540"/>
      <c r="Z147" s="540"/>
      <c r="AA147" s="540"/>
      <c r="AB147" s="541"/>
    </row>
    <row r="148" spans="1:28" ht="15" customHeight="1" x14ac:dyDescent="0.3">
      <c r="A148" s="18"/>
      <c r="B148" s="21"/>
      <c r="C148" s="21"/>
      <c r="D148" s="21"/>
      <c r="E148" s="21"/>
      <c r="F148" s="21"/>
      <c r="G148" s="21"/>
      <c r="H148" s="21"/>
      <c r="I148" s="21"/>
      <c r="J148" s="21"/>
      <c r="K148" s="21"/>
      <c r="L148" s="21"/>
      <c r="M148" s="21"/>
      <c r="N148" s="21"/>
      <c r="O148" s="21"/>
      <c r="P148" s="21"/>
      <c r="Q148" s="20"/>
      <c r="S148" s="542"/>
      <c r="T148" s="544"/>
      <c r="U148" s="542"/>
      <c r="V148" s="543"/>
      <c r="W148" s="543"/>
      <c r="X148" s="543"/>
      <c r="Y148" s="543"/>
      <c r="Z148" s="543"/>
      <c r="AA148" s="543"/>
      <c r="AB148" s="544"/>
    </row>
    <row r="149" spans="1:28" x14ac:dyDescent="0.3">
      <c r="A149" s="18"/>
      <c r="B149" s="85" t="s">
        <v>344</v>
      </c>
      <c r="C149" s="85" t="s">
        <v>17</v>
      </c>
      <c r="D149" s="21"/>
      <c r="E149" s="101" t="s">
        <v>1287</v>
      </c>
      <c r="F149" s="21"/>
      <c r="G149" s="21"/>
      <c r="H149" s="21"/>
      <c r="I149" s="21"/>
      <c r="J149" s="21"/>
      <c r="K149" s="21"/>
      <c r="L149" s="21"/>
      <c r="M149" s="21"/>
      <c r="N149" s="21"/>
      <c r="O149" s="21"/>
      <c r="P149" s="21"/>
      <c r="Q149" s="20"/>
      <c r="S149" s="545"/>
      <c r="T149" s="547"/>
      <c r="U149" s="545"/>
      <c r="V149" s="546"/>
      <c r="W149" s="546"/>
      <c r="X149" s="546"/>
      <c r="Y149" s="546"/>
      <c r="Z149" s="546"/>
      <c r="AA149" s="546"/>
      <c r="AB149" s="547"/>
    </row>
    <row r="150" spans="1:28" x14ac:dyDescent="0.3">
      <c r="A150" s="18"/>
      <c r="B150" s="42" t="s">
        <v>383</v>
      </c>
      <c r="C150" s="42" t="s">
        <v>384</v>
      </c>
      <c r="D150" s="21"/>
      <c r="E150" s="150" cm="1">
        <f t="array" ref="E150">_xll.U.CONTROL_EXCEL(B150:C151)</f>
        <v>46072.453056747683</v>
      </c>
      <c r="F150" s="21"/>
      <c r="G150" s="21"/>
      <c r="H150" s="21"/>
      <c r="I150" s="21"/>
      <c r="J150" s="21"/>
      <c r="K150" s="21"/>
      <c r="L150" s="21"/>
      <c r="M150" s="21"/>
      <c r="N150" s="21"/>
      <c r="O150" s="21"/>
      <c r="P150" s="21"/>
      <c r="Q150" s="20"/>
      <c r="S150" s="513" t="s">
        <v>323</v>
      </c>
      <c r="T150" s="515"/>
      <c r="U150" s="513" t="s">
        <v>1</v>
      </c>
      <c r="V150" s="514"/>
      <c r="W150" s="514"/>
      <c r="X150" s="514"/>
      <c r="Y150" s="514"/>
      <c r="Z150" s="514"/>
      <c r="AA150" s="515"/>
      <c r="AB150" s="85" t="s">
        <v>324</v>
      </c>
    </row>
    <row r="151" spans="1:28" ht="15" customHeight="1" x14ac:dyDescent="0.3">
      <c r="A151" s="18"/>
      <c r="B151" s="42" t="s">
        <v>1286</v>
      </c>
      <c r="C151" s="42" t="b">
        <v>1</v>
      </c>
      <c r="D151" s="21"/>
      <c r="E151" s="21"/>
      <c r="F151" s="21"/>
      <c r="G151" s="21"/>
      <c r="H151" s="21"/>
      <c r="I151" s="21"/>
      <c r="J151" s="21"/>
      <c r="K151" s="21"/>
      <c r="L151" s="21"/>
      <c r="M151" s="21"/>
      <c r="N151" s="21"/>
      <c r="O151" s="21"/>
      <c r="P151" s="21"/>
      <c r="Q151" s="20"/>
      <c r="S151" s="496" t="s">
        <v>1350</v>
      </c>
      <c r="T151" s="497"/>
      <c r="U151" s="496" t="s">
        <v>3718</v>
      </c>
      <c r="V151" s="502"/>
      <c r="W151" s="502"/>
      <c r="X151" s="502"/>
      <c r="Y151" s="502"/>
      <c r="Z151" s="502"/>
      <c r="AA151" s="497"/>
      <c r="AB151" s="505" t="s">
        <v>326</v>
      </c>
    </row>
    <row r="152" spans="1:28" x14ac:dyDescent="0.3">
      <c r="A152" s="18"/>
      <c r="B152" s="21"/>
      <c r="C152" s="21"/>
      <c r="D152" s="21"/>
      <c r="E152" s="21"/>
      <c r="F152" s="21"/>
      <c r="G152" s="21"/>
      <c r="H152" s="21"/>
      <c r="I152" s="21"/>
      <c r="J152" s="21"/>
      <c r="K152" s="21"/>
      <c r="L152" s="21"/>
      <c r="M152" s="21"/>
      <c r="N152" s="21"/>
      <c r="O152" s="21"/>
      <c r="P152" s="21"/>
      <c r="Q152" s="20"/>
      <c r="S152" s="498"/>
      <c r="T152" s="499"/>
      <c r="U152" s="498"/>
      <c r="V152" s="503"/>
      <c r="W152" s="503"/>
      <c r="X152" s="503"/>
      <c r="Y152" s="503"/>
      <c r="Z152" s="503"/>
      <c r="AA152" s="499"/>
      <c r="AB152" s="506"/>
    </row>
    <row r="153" spans="1:28" x14ac:dyDescent="0.3">
      <c r="A153" s="18"/>
      <c r="B153" s="21"/>
      <c r="C153" s="21"/>
      <c r="D153" s="21"/>
      <c r="E153" s="21"/>
      <c r="F153" s="21"/>
      <c r="G153" s="21"/>
      <c r="H153" s="21"/>
      <c r="I153" s="21"/>
      <c r="J153" s="21"/>
      <c r="K153" s="21"/>
      <c r="L153" s="21"/>
      <c r="M153" s="21"/>
      <c r="N153" s="21"/>
      <c r="O153" s="21"/>
      <c r="P153" s="21"/>
      <c r="Q153" s="20"/>
      <c r="S153" s="500"/>
      <c r="T153" s="501"/>
      <c r="U153" s="500"/>
      <c r="V153" s="504"/>
      <c r="W153" s="504"/>
      <c r="X153" s="504"/>
      <c r="Y153" s="504"/>
      <c r="Z153" s="504"/>
      <c r="AA153" s="501"/>
      <c r="AB153" s="507"/>
    </row>
    <row r="154" spans="1:28" ht="15" customHeight="1" x14ac:dyDescent="0.3">
      <c r="A154" s="18"/>
      <c r="B154" s="21"/>
      <c r="C154" s="21"/>
      <c r="D154" s="21"/>
      <c r="E154" s="21"/>
      <c r="F154" s="21"/>
      <c r="G154" s="21"/>
      <c r="H154" s="21"/>
      <c r="I154" s="21"/>
      <c r="J154" s="21"/>
      <c r="K154" s="21"/>
      <c r="L154" s="21"/>
      <c r="M154" s="21"/>
      <c r="N154" s="21"/>
      <c r="O154" s="21"/>
      <c r="P154" s="21"/>
      <c r="Q154" s="20"/>
      <c r="S154" s="496" t="s">
        <v>861</v>
      </c>
      <c r="T154" s="497"/>
      <c r="U154" s="496" t="s">
        <v>3731</v>
      </c>
      <c r="V154" s="502"/>
      <c r="W154" s="502"/>
      <c r="X154" s="502"/>
      <c r="Y154" s="502"/>
      <c r="Z154" s="502"/>
      <c r="AA154" s="497"/>
      <c r="AB154" s="505" t="s">
        <v>326</v>
      </c>
    </row>
    <row r="155" spans="1:28" x14ac:dyDescent="0.3">
      <c r="A155" s="18"/>
      <c r="B155" s="21"/>
      <c r="C155" s="21"/>
      <c r="D155" s="21"/>
      <c r="E155" s="21"/>
      <c r="F155" s="21"/>
      <c r="G155" s="21"/>
      <c r="H155" s="21"/>
      <c r="I155" s="21"/>
      <c r="J155" s="21"/>
      <c r="K155" s="21"/>
      <c r="L155" s="21"/>
      <c r="M155" s="21"/>
      <c r="N155" s="21"/>
      <c r="O155" s="21"/>
      <c r="P155" s="21"/>
      <c r="Q155" s="20"/>
      <c r="S155" s="498"/>
      <c r="T155" s="499"/>
      <c r="U155" s="498"/>
      <c r="V155" s="503"/>
      <c r="W155" s="503"/>
      <c r="X155" s="503"/>
      <c r="Y155" s="503"/>
      <c r="Z155" s="503"/>
      <c r="AA155" s="499"/>
      <c r="AB155" s="506"/>
    </row>
    <row r="156" spans="1:28" x14ac:dyDescent="0.3">
      <c r="A156" s="18"/>
      <c r="B156" s="21"/>
      <c r="C156" s="21"/>
      <c r="D156" s="21"/>
      <c r="E156" s="21"/>
      <c r="F156" s="21"/>
      <c r="G156" s="21"/>
      <c r="H156" s="21"/>
      <c r="I156" s="21"/>
      <c r="J156" s="21"/>
      <c r="K156" s="21"/>
      <c r="L156" s="21"/>
      <c r="M156" s="21"/>
      <c r="N156" s="21"/>
      <c r="O156" s="21"/>
      <c r="P156" s="21"/>
      <c r="Q156" s="20"/>
      <c r="S156" s="500"/>
      <c r="T156" s="501"/>
      <c r="U156" s="500"/>
      <c r="V156" s="504"/>
      <c r="W156" s="504"/>
      <c r="X156" s="504"/>
      <c r="Y156" s="504"/>
      <c r="Z156" s="504"/>
      <c r="AA156" s="501"/>
      <c r="AB156" s="507"/>
    </row>
    <row r="157" spans="1:28" ht="15" customHeight="1" x14ac:dyDescent="0.3">
      <c r="A157" s="18"/>
      <c r="B157" s="492" t="s">
        <v>3495</v>
      </c>
      <c r="C157" s="529"/>
      <c r="D157" s="529"/>
      <c r="E157" s="529"/>
      <c r="F157" s="529"/>
      <c r="G157" s="529"/>
      <c r="H157" s="493"/>
      <c r="I157" s="21"/>
      <c r="J157" s="21"/>
      <c r="K157" s="21"/>
      <c r="L157" s="21"/>
      <c r="M157" s="21"/>
      <c r="N157" s="21"/>
      <c r="O157" s="21"/>
      <c r="P157" s="21"/>
      <c r="Q157" s="20"/>
      <c r="S157" s="496" t="s">
        <v>2299</v>
      </c>
      <c r="T157" s="497"/>
      <c r="U157" s="496" t="s">
        <v>3088</v>
      </c>
      <c r="V157" s="502"/>
      <c r="W157" s="502"/>
      <c r="X157" s="502"/>
      <c r="Y157" s="502"/>
      <c r="Z157" s="502"/>
      <c r="AA157" s="497"/>
      <c r="AB157" s="505" t="s">
        <v>326</v>
      </c>
    </row>
    <row r="158" spans="1:28" x14ac:dyDescent="0.3">
      <c r="A158" s="18"/>
      <c r="B158" s="3" t="str">
        <f t="array" ref="B158:H161">_xll.U.PAD(_xll.U.GET_EXCEL_PROCESSES())</f>
        <v>ProcessID</v>
      </c>
      <c r="C158" s="3" t="str">
        <v>StartTime</v>
      </c>
      <c r="D158" s="3" t="str">
        <v>WorkingSet (MB)</v>
      </c>
      <c r="E158" s="3" t="str">
        <v>Responding</v>
      </c>
      <c r="F158" s="3" t="str">
        <v>Visible</v>
      </c>
      <c r="G158" s="3" t="str">
        <v>SavedWorkbooks</v>
      </c>
      <c r="H158" s="3" t="str">
        <v>IsThisProc</v>
      </c>
      <c r="I158" s="21"/>
      <c r="J158" s="21"/>
      <c r="K158" s="21"/>
      <c r="L158" s="21"/>
      <c r="M158" s="21"/>
      <c r="N158" s="21"/>
      <c r="O158" s="21"/>
      <c r="P158" s="21"/>
      <c r="Q158" s="20"/>
      <c r="S158" s="498"/>
      <c r="T158" s="499"/>
      <c r="U158" s="498"/>
      <c r="V158" s="503"/>
      <c r="W158" s="503"/>
      <c r="X158" s="503"/>
      <c r="Y158" s="503"/>
      <c r="Z158" s="503"/>
      <c r="AA158" s="499"/>
      <c r="AB158" s="506"/>
    </row>
    <row r="159" spans="1:28" x14ac:dyDescent="0.3">
      <c r="A159" s="18"/>
      <c r="B159" s="30">
        <v>36292</v>
      </c>
      <c r="C159" s="122">
        <v>46072.452858680554</v>
      </c>
      <c r="D159" s="36">
        <v>751.52300000000002</v>
      </c>
      <c r="E159" s="30" t="b">
        <v>1</v>
      </c>
      <c r="F159" s="30" t="b">
        <v>1</v>
      </c>
      <c r="G159" s="30" t="str">
        <v>U_UsageExamples.xlsx</v>
      </c>
      <c r="H159" s="30" t="str">
        <v>*</v>
      </c>
      <c r="I159" s="21"/>
      <c r="J159" s="21"/>
      <c r="K159" s="21"/>
      <c r="L159" s="21"/>
      <c r="M159" s="21"/>
      <c r="N159" s="21"/>
      <c r="O159" s="21"/>
      <c r="P159" s="21"/>
      <c r="Q159" s="20"/>
      <c r="S159" s="500"/>
      <c r="T159" s="501"/>
      <c r="U159" s="500"/>
      <c r="V159" s="504"/>
      <c r="W159" s="504"/>
      <c r="X159" s="504"/>
      <c r="Y159" s="504"/>
      <c r="Z159" s="504"/>
      <c r="AA159" s="501"/>
      <c r="AB159" s="507"/>
    </row>
    <row r="160" spans="1:28" ht="15" customHeight="1" x14ac:dyDescent="0.3">
      <c r="A160" s="18"/>
      <c r="B160" s="30" t="str">
        <v/>
      </c>
      <c r="C160" s="122" t="str">
        <v/>
      </c>
      <c r="D160" s="36" t="str">
        <v/>
      </c>
      <c r="E160" s="30" t="str">
        <v/>
      </c>
      <c r="F160" s="30" t="str">
        <v/>
      </c>
      <c r="G160" s="30" t="str">
        <v/>
      </c>
      <c r="H160" s="30" t="str">
        <v/>
      </c>
      <c r="I160" s="21"/>
      <c r="J160" s="21"/>
      <c r="K160" s="21"/>
      <c r="L160" s="21"/>
      <c r="M160" s="21"/>
      <c r="N160" s="21"/>
      <c r="O160" s="21"/>
      <c r="P160" s="21"/>
      <c r="Q160" s="20"/>
      <c r="S160" s="126" t="s">
        <v>328</v>
      </c>
    </row>
    <row r="161" spans="1:28" x14ac:dyDescent="0.3">
      <c r="A161" s="18"/>
      <c r="B161" s="30" t="str">
        <v/>
      </c>
      <c r="C161" s="122" t="str">
        <v/>
      </c>
      <c r="D161" s="36" t="str">
        <v/>
      </c>
      <c r="E161" s="30" t="str">
        <v/>
      </c>
      <c r="F161" s="30" t="str">
        <v/>
      </c>
      <c r="G161" s="30" t="str">
        <v/>
      </c>
      <c r="H161" s="30" t="str">
        <v/>
      </c>
      <c r="I161" s="21"/>
      <c r="J161" s="21"/>
      <c r="K161" s="21"/>
      <c r="L161" s="21"/>
      <c r="M161" s="21"/>
      <c r="N161" s="21"/>
      <c r="O161" s="21"/>
      <c r="P161" s="21"/>
      <c r="Q161" s="20"/>
    </row>
    <row r="162" spans="1:28" x14ac:dyDescent="0.3">
      <c r="A162" s="18"/>
      <c r="B162" s="21"/>
      <c r="C162" s="21"/>
      <c r="D162" s="21"/>
      <c r="E162" s="21"/>
      <c r="F162" s="21"/>
      <c r="G162" s="21"/>
      <c r="H162" s="21"/>
      <c r="I162" s="21"/>
      <c r="J162" s="21"/>
      <c r="K162" s="21"/>
      <c r="L162" s="21"/>
      <c r="M162" s="21"/>
      <c r="N162" s="21"/>
      <c r="O162" s="21"/>
      <c r="P162" s="21"/>
      <c r="Q162" s="20"/>
    </row>
    <row r="163" spans="1:28" x14ac:dyDescent="0.3">
      <c r="A163" s="18"/>
      <c r="B163" s="21"/>
      <c r="C163" s="21"/>
      <c r="D163" s="21"/>
      <c r="E163" s="21"/>
      <c r="F163" s="21"/>
      <c r="G163" s="21"/>
      <c r="H163" s="21"/>
      <c r="I163" s="21"/>
      <c r="J163" s="21"/>
      <c r="K163" s="21"/>
      <c r="L163" s="21"/>
      <c r="M163" s="21"/>
      <c r="N163" s="21"/>
      <c r="O163" s="21"/>
      <c r="P163" s="21"/>
      <c r="Q163" s="20"/>
      <c r="S163" s="486" t="s">
        <v>3501</v>
      </c>
      <c r="T163" s="486"/>
      <c r="U163" s="486"/>
      <c r="V163" s="486"/>
      <c r="W163" s="486"/>
      <c r="X163" s="486"/>
      <c r="Y163" s="486"/>
      <c r="Z163" s="486"/>
      <c r="AA163" s="486"/>
      <c r="AB163" s="486"/>
    </row>
    <row r="164" spans="1:28" ht="15" customHeight="1" x14ac:dyDescent="0.3">
      <c r="A164" s="18"/>
      <c r="B164" s="21"/>
      <c r="C164" s="21"/>
      <c r="D164" s="21"/>
      <c r="E164" s="21"/>
      <c r="F164" s="21"/>
      <c r="G164" s="21"/>
      <c r="H164" s="21"/>
      <c r="I164" s="21"/>
      <c r="J164" s="21"/>
      <c r="K164" s="21"/>
      <c r="L164" s="21"/>
      <c r="M164" s="21"/>
      <c r="N164" s="21"/>
      <c r="O164" s="21"/>
      <c r="P164" s="21"/>
      <c r="Q164" s="20"/>
      <c r="S164" s="487" t="s">
        <v>333</v>
      </c>
      <c r="T164" s="487"/>
      <c r="U164" s="487" t="s">
        <v>3101</v>
      </c>
      <c r="V164" s="487"/>
      <c r="W164" s="487"/>
      <c r="X164" s="487"/>
      <c r="Y164" s="487"/>
      <c r="Z164" s="487"/>
      <c r="AA164" s="487"/>
      <c r="AB164" s="487"/>
    </row>
    <row r="165" spans="1:28" x14ac:dyDescent="0.3">
      <c r="A165" s="18"/>
      <c r="B165" s="21"/>
      <c r="C165" s="21"/>
      <c r="D165" s="21"/>
      <c r="E165" s="21"/>
      <c r="F165" s="21"/>
      <c r="G165" s="21"/>
      <c r="H165" s="21"/>
      <c r="I165" s="21"/>
      <c r="J165" s="21"/>
      <c r="K165" s="21"/>
      <c r="L165" s="21"/>
      <c r="M165" s="21"/>
      <c r="N165" s="21"/>
      <c r="O165" s="21"/>
      <c r="P165" s="21"/>
      <c r="Q165" s="20"/>
      <c r="S165" s="487"/>
      <c r="T165" s="487"/>
      <c r="U165" s="487"/>
      <c r="V165" s="487"/>
      <c r="W165" s="487"/>
      <c r="X165" s="487"/>
      <c r="Y165" s="487"/>
      <c r="Z165" s="487"/>
      <c r="AA165" s="487"/>
      <c r="AB165" s="487"/>
    </row>
    <row r="166" spans="1:28" x14ac:dyDescent="0.3">
      <c r="A166" s="18"/>
      <c r="B166" s="21"/>
      <c r="C166" s="21"/>
      <c r="D166" s="21"/>
      <c r="E166" s="21"/>
      <c r="F166" s="21"/>
      <c r="G166" s="21"/>
      <c r="H166" s="21"/>
      <c r="I166" s="21"/>
      <c r="J166" s="21"/>
      <c r="K166" s="21"/>
      <c r="L166" s="21"/>
      <c r="M166" s="21"/>
      <c r="N166" s="21"/>
      <c r="O166" s="21"/>
      <c r="P166" s="21"/>
      <c r="Q166" s="20"/>
      <c r="S166" s="487"/>
      <c r="T166" s="487"/>
      <c r="U166" s="487"/>
      <c r="V166" s="487"/>
      <c r="W166" s="487"/>
      <c r="X166" s="487"/>
      <c r="Y166" s="487"/>
      <c r="Z166" s="487"/>
      <c r="AA166" s="487"/>
      <c r="AB166" s="487"/>
    </row>
    <row r="167" spans="1:28" ht="15" customHeight="1" x14ac:dyDescent="0.3">
      <c r="A167" s="18"/>
      <c r="B167" s="2" t="s">
        <v>623</v>
      </c>
      <c r="C167" s="21"/>
      <c r="D167" s="21"/>
      <c r="E167" s="101" t="s">
        <v>1288</v>
      </c>
      <c r="F167" s="21"/>
      <c r="G167" s="21"/>
      <c r="H167" s="21"/>
      <c r="I167" s="21"/>
      <c r="J167" s="21"/>
      <c r="K167" s="21"/>
      <c r="L167" s="21"/>
      <c r="M167" s="21"/>
      <c r="N167" s="21"/>
      <c r="O167" s="21"/>
      <c r="P167" s="21"/>
      <c r="Q167" s="20"/>
      <c r="S167" s="483" t="s">
        <v>323</v>
      </c>
      <c r="T167" s="483"/>
      <c r="U167" s="483" t="s">
        <v>1</v>
      </c>
      <c r="V167" s="483"/>
      <c r="W167" s="483"/>
      <c r="X167" s="483"/>
      <c r="Y167" s="483"/>
      <c r="Z167" s="483"/>
      <c r="AA167" s="483"/>
      <c r="AB167" s="85" t="s">
        <v>324</v>
      </c>
    </row>
    <row r="168" spans="1:28" ht="15" customHeight="1" x14ac:dyDescent="0.3">
      <c r="A168" s="18"/>
      <c r="B168" s="42" t="s">
        <v>624</v>
      </c>
      <c r="C168" s="21"/>
      <c r="D168" s="21"/>
      <c r="E168" s="151" t="s">
        <v>3502</v>
      </c>
      <c r="F168" s="21"/>
      <c r="G168" s="21"/>
      <c r="H168" s="21"/>
      <c r="I168" s="21"/>
      <c r="J168" s="21"/>
      <c r="K168" s="21"/>
      <c r="L168" s="21"/>
      <c r="M168" s="21"/>
      <c r="N168" s="21"/>
      <c r="O168" s="21"/>
      <c r="P168" s="21"/>
      <c r="Q168" s="20"/>
      <c r="S168" s="539" t="s">
        <v>458</v>
      </c>
      <c r="T168" s="541"/>
      <c r="U168" s="539" t="s">
        <v>3729</v>
      </c>
      <c r="V168" s="540"/>
      <c r="W168" s="540"/>
      <c r="X168" s="540"/>
      <c r="Y168" s="540"/>
      <c r="Z168" s="540"/>
      <c r="AA168" s="541"/>
      <c r="AB168" s="548" t="s">
        <v>325</v>
      </c>
    </row>
    <row r="169" spans="1:28" x14ac:dyDescent="0.3">
      <c r="A169" s="18"/>
      <c r="B169" s="42" t="s">
        <v>625</v>
      </c>
      <c r="C169" s="21"/>
      <c r="D169" s="21"/>
      <c r="E169" s="21"/>
      <c r="F169" s="21"/>
      <c r="G169" s="21"/>
      <c r="H169" s="21"/>
      <c r="I169" s="21"/>
      <c r="J169" s="21"/>
      <c r="K169" s="21"/>
      <c r="L169" s="21"/>
      <c r="M169" s="21"/>
      <c r="N169" s="21"/>
      <c r="O169" s="21"/>
      <c r="P169" s="21"/>
      <c r="Q169" s="20"/>
      <c r="S169" s="542"/>
      <c r="T169" s="544"/>
      <c r="U169" s="542"/>
      <c r="V169" s="543"/>
      <c r="W169" s="543"/>
      <c r="X169" s="543"/>
      <c r="Y169" s="543"/>
      <c r="Z169" s="543"/>
      <c r="AA169" s="544"/>
      <c r="AB169" s="549"/>
    </row>
    <row r="170" spans="1:28" x14ac:dyDescent="0.3">
      <c r="A170" s="18"/>
      <c r="B170" s="21"/>
      <c r="C170" s="21"/>
      <c r="D170" s="21"/>
      <c r="E170" s="21"/>
      <c r="F170" s="21"/>
      <c r="G170" s="21"/>
      <c r="H170" s="21"/>
      <c r="I170" s="21"/>
      <c r="J170" s="21"/>
      <c r="K170" s="21"/>
      <c r="L170" s="21"/>
      <c r="M170" s="21"/>
      <c r="N170" s="21"/>
      <c r="O170" s="21"/>
      <c r="P170" s="21"/>
      <c r="Q170" s="20"/>
      <c r="S170" s="545"/>
      <c r="T170" s="547"/>
      <c r="U170" s="545"/>
      <c r="V170" s="546"/>
      <c r="W170" s="546"/>
      <c r="X170" s="546"/>
      <c r="Y170" s="546"/>
      <c r="Z170" s="546"/>
      <c r="AA170" s="547"/>
      <c r="AB170" s="550"/>
    </row>
    <row r="171" spans="1:28" ht="15" customHeight="1" x14ac:dyDescent="0.3">
      <c r="A171" s="18"/>
      <c r="B171" s="21"/>
      <c r="C171" s="21"/>
      <c r="D171" s="21"/>
      <c r="E171" s="21"/>
      <c r="F171" s="21"/>
      <c r="G171" s="21"/>
      <c r="H171" s="21"/>
      <c r="I171" s="21"/>
      <c r="J171" s="21"/>
      <c r="K171" s="21"/>
      <c r="L171" s="21"/>
      <c r="M171" s="21"/>
      <c r="N171" s="21"/>
      <c r="O171" s="21"/>
      <c r="P171" s="21"/>
      <c r="Q171" s="20"/>
      <c r="S171" s="496" t="s">
        <v>3103</v>
      </c>
      <c r="T171" s="497"/>
      <c r="U171" s="496" t="s">
        <v>3104</v>
      </c>
      <c r="V171" s="502"/>
      <c r="W171" s="502"/>
      <c r="X171" s="502"/>
      <c r="Y171" s="502"/>
      <c r="Z171" s="502"/>
      <c r="AA171" s="497"/>
      <c r="AB171" s="505" t="s">
        <v>326</v>
      </c>
    </row>
    <row r="172" spans="1:28" x14ac:dyDescent="0.3">
      <c r="A172" s="18"/>
      <c r="B172" s="21"/>
      <c r="C172" s="21"/>
      <c r="D172" s="21"/>
      <c r="E172" s="21"/>
      <c r="F172" s="21"/>
      <c r="G172" s="21"/>
      <c r="H172" s="21"/>
      <c r="I172" s="21"/>
      <c r="J172" s="21"/>
      <c r="K172" s="21"/>
      <c r="L172" s="21"/>
      <c r="M172" s="21"/>
      <c r="N172" s="21"/>
      <c r="O172" s="21"/>
      <c r="P172" s="21"/>
      <c r="Q172" s="20"/>
      <c r="S172" s="498"/>
      <c r="T172" s="499"/>
      <c r="U172" s="498"/>
      <c r="V172" s="503"/>
      <c r="W172" s="503"/>
      <c r="X172" s="503"/>
      <c r="Y172" s="503"/>
      <c r="Z172" s="503"/>
      <c r="AA172" s="499"/>
      <c r="AB172" s="506"/>
    </row>
    <row r="173" spans="1:28" x14ac:dyDescent="0.3">
      <c r="A173" s="18"/>
      <c r="B173" s="21"/>
      <c r="C173" s="21"/>
      <c r="D173" s="21"/>
      <c r="E173" s="21"/>
      <c r="F173" s="21"/>
      <c r="G173" s="21"/>
      <c r="H173" s="21"/>
      <c r="I173" s="21"/>
      <c r="J173" s="21"/>
      <c r="K173" s="21"/>
      <c r="L173" s="21"/>
      <c r="M173" s="21"/>
      <c r="N173" s="21"/>
      <c r="O173" s="21"/>
      <c r="P173" s="21"/>
      <c r="Q173" s="20"/>
      <c r="S173" s="500"/>
      <c r="T173" s="501"/>
      <c r="U173" s="500"/>
      <c r="V173" s="504"/>
      <c r="W173" s="504"/>
      <c r="X173" s="504"/>
      <c r="Y173" s="504"/>
      <c r="Z173" s="504"/>
      <c r="AA173" s="501"/>
      <c r="AB173" s="507"/>
    </row>
    <row r="174" spans="1:28" ht="15" customHeight="1" x14ac:dyDescent="0.3">
      <c r="A174" s="18"/>
      <c r="B174" s="21"/>
      <c r="C174" s="21"/>
      <c r="D174" s="21"/>
      <c r="E174" s="21"/>
      <c r="F174" s="21"/>
      <c r="G174" s="21"/>
      <c r="H174" s="21"/>
      <c r="I174" s="21"/>
      <c r="J174" s="21"/>
      <c r="K174" s="21"/>
      <c r="L174" s="21"/>
      <c r="M174" s="21"/>
      <c r="N174" s="21"/>
      <c r="O174" s="21"/>
      <c r="P174" s="21"/>
      <c r="Q174" s="20"/>
      <c r="S174" s="126" t="s">
        <v>328</v>
      </c>
    </row>
    <row r="175" spans="1:28" x14ac:dyDescent="0.3">
      <c r="A175" s="18"/>
      <c r="B175" s="21"/>
      <c r="C175" s="21"/>
      <c r="D175" s="21"/>
      <c r="E175" s="21"/>
      <c r="F175" s="21"/>
      <c r="G175" s="21"/>
      <c r="H175" s="21"/>
      <c r="I175" s="21"/>
      <c r="J175" s="21"/>
      <c r="K175" s="21"/>
      <c r="L175" s="21"/>
      <c r="M175" s="21"/>
      <c r="N175" s="21"/>
      <c r="O175" s="21"/>
      <c r="P175" s="21"/>
      <c r="Q175" s="20"/>
    </row>
    <row r="176" spans="1:28" x14ac:dyDescent="0.3">
      <c r="A176" s="18"/>
      <c r="B176" s="21"/>
      <c r="C176" s="21"/>
      <c r="D176" s="21"/>
      <c r="E176" s="21"/>
      <c r="F176" s="21"/>
      <c r="G176" s="21"/>
      <c r="H176" s="21"/>
      <c r="I176" s="21"/>
      <c r="J176" s="21"/>
      <c r="K176" s="21"/>
      <c r="L176" s="21"/>
      <c r="M176" s="21"/>
      <c r="N176" s="21"/>
      <c r="O176" s="21"/>
      <c r="P176" s="21"/>
      <c r="Q176" s="20"/>
    </row>
    <row r="177" spans="1:28" ht="15" customHeight="1" x14ac:dyDescent="0.3">
      <c r="A177" s="18"/>
      <c r="B177" s="2" t="s">
        <v>608</v>
      </c>
      <c r="C177" s="21"/>
      <c r="D177" s="21"/>
      <c r="E177" s="101" t="s">
        <v>3496</v>
      </c>
      <c r="F177" s="21"/>
      <c r="G177" s="21"/>
      <c r="H177" s="21"/>
      <c r="I177" s="21"/>
      <c r="J177" s="21"/>
      <c r="K177" s="21"/>
      <c r="L177" s="21"/>
      <c r="M177" s="21"/>
      <c r="N177" s="21"/>
      <c r="O177" s="21"/>
      <c r="P177" s="21"/>
      <c r="Q177" s="20"/>
      <c r="S177" s="574" t="s">
        <v>3503</v>
      </c>
      <c r="T177" s="575"/>
      <c r="U177" s="575"/>
      <c r="V177" s="575"/>
      <c r="W177" s="575"/>
      <c r="X177" s="575"/>
      <c r="Y177" s="575"/>
      <c r="Z177" s="575"/>
      <c r="AA177" s="575"/>
      <c r="AB177" s="576"/>
    </row>
    <row r="178" spans="1:28" x14ac:dyDescent="0.3">
      <c r="A178" s="18"/>
      <c r="B178" s="42">
        <v>12078</v>
      </c>
      <c r="C178" s="21"/>
      <c r="D178" s="21"/>
      <c r="E178" s="151" t="s">
        <v>3504</v>
      </c>
      <c r="F178" s="21"/>
      <c r="G178" s="21"/>
      <c r="H178" s="21"/>
      <c r="I178" s="21"/>
      <c r="J178" s="21"/>
      <c r="K178" s="21"/>
      <c r="L178" s="21"/>
      <c r="M178" s="21"/>
      <c r="N178" s="21"/>
      <c r="O178" s="21"/>
      <c r="P178" s="21"/>
      <c r="Q178" s="20"/>
      <c r="S178" s="539" t="s">
        <v>333</v>
      </c>
      <c r="T178" s="541"/>
      <c r="U178" s="539" t="s">
        <v>1181</v>
      </c>
      <c r="V178" s="540"/>
      <c r="W178" s="540"/>
      <c r="X178" s="540"/>
      <c r="Y178" s="540"/>
      <c r="Z178" s="540"/>
      <c r="AA178" s="540"/>
      <c r="AB178" s="541"/>
    </row>
    <row r="179" spans="1:28" x14ac:dyDescent="0.3">
      <c r="A179" s="18"/>
      <c r="B179" s="42">
        <v>4792</v>
      </c>
      <c r="C179" s="21"/>
      <c r="D179" s="21"/>
      <c r="E179" s="21"/>
      <c r="F179" s="21"/>
      <c r="G179" s="21"/>
      <c r="H179" s="21"/>
      <c r="I179" s="21"/>
      <c r="J179" s="21"/>
      <c r="K179" s="21"/>
      <c r="L179" s="21"/>
      <c r="M179" s="21"/>
      <c r="N179" s="21"/>
      <c r="O179" s="21"/>
      <c r="P179" s="21"/>
      <c r="Q179" s="20"/>
      <c r="S179" s="542"/>
      <c r="T179" s="544"/>
      <c r="U179" s="542"/>
      <c r="V179" s="543"/>
      <c r="W179" s="543"/>
      <c r="X179" s="543"/>
      <c r="Y179" s="543"/>
      <c r="Z179" s="543"/>
      <c r="AA179" s="543"/>
      <c r="AB179" s="544"/>
    </row>
    <row r="180" spans="1:28" x14ac:dyDescent="0.3">
      <c r="A180" s="18"/>
      <c r="B180" s="21"/>
      <c r="C180" s="21"/>
      <c r="D180" s="21"/>
      <c r="E180" s="21"/>
      <c r="F180" s="21"/>
      <c r="G180" s="21"/>
      <c r="H180" s="21"/>
      <c r="I180" s="21"/>
      <c r="J180" s="21"/>
      <c r="K180" s="21"/>
      <c r="L180" s="21"/>
      <c r="M180" s="21"/>
      <c r="N180" s="21"/>
      <c r="O180" s="21"/>
      <c r="P180" s="21"/>
      <c r="Q180" s="20"/>
      <c r="S180" s="545"/>
      <c r="T180" s="547"/>
      <c r="U180" s="545"/>
      <c r="V180" s="546"/>
      <c r="W180" s="546"/>
      <c r="X180" s="546"/>
      <c r="Y180" s="546"/>
      <c r="Z180" s="546"/>
      <c r="AA180" s="546"/>
      <c r="AB180" s="547"/>
    </row>
    <row r="181" spans="1:28" x14ac:dyDescent="0.3">
      <c r="A181" s="18"/>
      <c r="B181" s="21"/>
      <c r="C181" s="21"/>
      <c r="D181" s="21"/>
      <c r="E181" s="21"/>
      <c r="F181" s="21"/>
      <c r="G181" s="21"/>
      <c r="H181" s="21"/>
      <c r="I181" s="21"/>
      <c r="J181" s="21"/>
      <c r="K181" s="21"/>
      <c r="L181" s="21"/>
      <c r="M181" s="21"/>
      <c r="N181" s="21"/>
      <c r="O181" s="21"/>
      <c r="P181" s="21"/>
      <c r="Q181" s="20"/>
      <c r="S181" s="513" t="s">
        <v>323</v>
      </c>
      <c r="T181" s="515"/>
      <c r="U181" s="513" t="s">
        <v>1</v>
      </c>
      <c r="V181" s="514"/>
      <c r="W181" s="514"/>
      <c r="X181" s="514"/>
      <c r="Y181" s="514"/>
      <c r="Z181" s="514"/>
      <c r="AA181" s="515"/>
      <c r="AB181" s="85" t="s">
        <v>324</v>
      </c>
    </row>
    <row r="182" spans="1:28" x14ac:dyDescent="0.3">
      <c r="A182" s="18"/>
      <c r="B182" s="21"/>
      <c r="C182" s="21"/>
      <c r="D182" s="21"/>
      <c r="E182" s="21"/>
      <c r="F182" s="21"/>
      <c r="G182" s="21"/>
      <c r="H182" s="21"/>
      <c r="I182" s="21"/>
      <c r="J182" s="21"/>
      <c r="K182" s="21"/>
      <c r="L182" s="21"/>
      <c r="M182" s="21"/>
      <c r="N182" s="21"/>
      <c r="O182" s="21"/>
      <c r="P182" s="21"/>
      <c r="Q182" s="20"/>
      <c r="S182" s="539" t="s">
        <v>538</v>
      </c>
      <c r="T182" s="541"/>
      <c r="U182" s="539" t="s">
        <v>1182</v>
      </c>
      <c r="V182" s="540"/>
      <c r="W182" s="540"/>
      <c r="X182" s="540"/>
      <c r="Y182" s="540"/>
      <c r="Z182" s="540"/>
      <c r="AA182" s="541"/>
      <c r="AB182" s="548" t="s">
        <v>325</v>
      </c>
    </row>
    <row r="183" spans="1:28" x14ac:dyDescent="0.3">
      <c r="A183" s="18"/>
      <c r="B183" s="21"/>
      <c r="C183" s="21"/>
      <c r="D183" s="21"/>
      <c r="E183" s="21"/>
      <c r="F183" s="21"/>
      <c r="G183" s="21"/>
      <c r="H183" s="21"/>
      <c r="I183" s="21"/>
      <c r="J183" s="21"/>
      <c r="K183" s="21"/>
      <c r="L183" s="21"/>
      <c r="M183" s="21"/>
      <c r="N183" s="21"/>
      <c r="O183" s="21"/>
      <c r="P183" s="21"/>
      <c r="Q183" s="20"/>
      <c r="S183" s="542"/>
      <c r="T183" s="544"/>
      <c r="U183" s="542"/>
      <c r="V183" s="543"/>
      <c r="W183" s="543"/>
      <c r="X183" s="543"/>
      <c r="Y183" s="543"/>
      <c r="Z183" s="543"/>
      <c r="AA183" s="544"/>
      <c r="AB183" s="549"/>
    </row>
    <row r="184" spans="1:28" x14ac:dyDescent="0.3">
      <c r="A184" s="18"/>
      <c r="B184" s="21"/>
      <c r="C184" s="21"/>
      <c r="D184" s="21"/>
      <c r="E184" s="21"/>
      <c r="F184" s="21"/>
      <c r="G184" s="21"/>
      <c r="H184" s="21"/>
      <c r="I184" s="21"/>
      <c r="J184" s="21"/>
      <c r="K184" s="21"/>
      <c r="L184" s="21"/>
      <c r="M184" s="21"/>
      <c r="N184" s="21"/>
      <c r="O184" s="21"/>
      <c r="P184" s="21"/>
      <c r="Q184" s="20"/>
      <c r="S184" s="545"/>
      <c r="T184" s="547"/>
      <c r="U184" s="545"/>
      <c r="V184" s="546"/>
      <c r="W184" s="546"/>
      <c r="X184" s="546"/>
      <c r="Y184" s="546"/>
      <c r="Z184" s="546"/>
      <c r="AA184" s="547"/>
      <c r="AB184" s="550"/>
    </row>
    <row r="185" spans="1:28" x14ac:dyDescent="0.3">
      <c r="A185" s="18"/>
      <c r="B185" s="21"/>
      <c r="C185" s="21"/>
      <c r="D185" s="21"/>
      <c r="E185" s="21"/>
      <c r="F185" s="21"/>
      <c r="G185" s="21"/>
      <c r="H185" s="21"/>
      <c r="I185" s="21"/>
      <c r="J185" s="21"/>
      <c r="K185" s="21"/>
      <c r="L185" s="21"/>
      <c r="M185" s="21"/>
      <c r="N185" s="21"/>
      <c r="O185" s="21"/>
      <c r="P185" s="21"/>
      <c r="Q185" s="20"/>
      <c r="S185" s="496" t="s">
        <v>1180</v>
      </c>
      <c r="T185" s="497"/>
      <c r="U185" s="496" t="s">
        <v>3795</v>
      </c>
      <c r="V185" s="502"/>
      <c r="W185" s="502"/>
      <c r="X185" s="502"/>
      <c r="Y185" s="502"/>
      <c r="Z185" s="502"/>
      <c r="AA185" s="497"/>
      <c r="AB185" s="505" t="s">
        <v>326</v>
      </c>
    </row>
    <row r="186" spans="1:28" x14ac:dyDescent="0.3">
      <c r="A186" s="18"/>
      <c r="B186" s="21"/>
      <c r="C186" s="21"/>
      <c r="D186" s="21"/>
      <c r="E186" s="21"/>
      <c r="F186" s="21"/>
      <c r="G186" s="21"/>
      <c r="H186" s="21"/>
      <c r="I186" s="21"/>
      <c r="J186" s="21"/>
      <c r="K186" s="21"/>
      <c r="L186" s="21"/>
      <c r="M186" s="21"/>
      <c r="N186" s="21"/>
      <c r="O186" s="21"/>
      <c r="P186" s="21"/>
      <c r="Q186" s="20"/>
      <c r="S186" s="498"/>
      <c r="T186" s="499"/>
      <c r="U186" s="498"/>
      <c r="V186" s="503"/>
      <c r="W186" s="503"/>
      <c r="X186" s="503"/>
      <c r="Y186" s="503"/>
      <c r="Z186" s="503"/>
      <c r="AA186" s="499"/>
      <c r="AB186" s="506"/>
    </row>
    <row r="187" spans="1:28" x14ac:dyDescent="0.3">
      <c r="A187" s="18"/>
      <c r="B187" s="21"/>
      <c r="C187" s="21"/>
      <c r="D187" s="21"/>
      <c r="E187" s="101" t="s">
        <v>3497</v>
      </c>
      <c r="F187" s="21"/>
      <c r="G187" s="21"/>
      <c r="H187" s="21"/>
      <c r="I187" s="21"/>
      <c r="J187" s="21"/>
      <c r="K187" s="21"/>
      <c r="L187" s="21"/>
      <c r="M187" s="21"/>
      <c r="N187" s="21"/>
      <c r="O187" s="21"/>
      <c r="P187" s="21"/>
      <c r="Q187" s="20"/>
      <c r="S187" s="500"/>
      <c r="T187" s="501"/>
      <c r="U187" s="500"/>
      <c r="V187" s="504"/>
      <c r="W187" s="504"/>
      <c r="X187" s="504"/>
      <c r="Y187" s="504"/>
      <c r="Z187" s="504"/>
      <c r="AA187" s="501"/>
      <c r="AB187" s="507"/>
    </row>
    <row r="188" spans="1:28" x14ac:dyDescent="0.3">
      <c r="A188" s="18"/>
      <c r="B188" s="21"/>
      <c r="C188" s="21"/>
      <c r="D188" s="21"/>
      <c r="E188" s="151" t="s">
        <v>3505</v>
      </c>
      <c r="F188" s="21"/>
      <c r="G188" s="21"/>
      <c r="H188" s="21"/>
      <c r="I188" s="21"/>
      <c r="J188" s="21"/>
      <c r="K188" s="21"/>
      <c r="L188" s="21"/>
      <c r="M188" s="21"/>
      <c r="N188" s="21"/>
      <c r="O188" s="21"/>
      <c r="P188" s="21"/>
      <c r="Q188" s="20"/>
      <c r="S188" s="496" t="s">
        <v>1184</v>
      </c>
      <c r="T188" s="497"/>
      <c r="U188" s="496" t="s">
        <v>1185</v>
      </c>
      <c r="V188" s="502"/>
      <c r="W188" s="502"/>
      <c r="X188" s="502"/>
      <c r="Y188" s="502"/>
      <c r="Z188" s="502"/>
      <c r="AA188" s="497"/>
      <c r="AB188" s="505" t="s">
        <v>326</v>
      </c>
    </row>
    <row r="189" spans="1:28" x14ac:dyDescent="0.3">
      <c r="A189" s="18"/>
      <c r="B189" s="21"/>
      <c r="C189" s="21"/>
      <c r="D189" s="21"/>
      <c r="E189" s="21"/>
      <c r="F189" s="21"/>
      <c r="G189" s="21"/>
      <c r="H189" s="21"/>
      <c r="I189" s="21"/>
      <c r="J189" s="21"/>
      <c r="K189" s="21"/>
      <c r="L189" s="21"/>
      <c r="M189" s="21"/>
      <c r="N189" s="21"/>
      <c r="O189" s="21"/>
      <c r="P189" s="21"/>
      <c r="Q189" s="20"/>
      <c r="S189" s="498"/>
      <c r="T189" s="499"/>
      <c r="U189" s="498"/>
      <c r="V189" s="503"/>
      <c r="W189" s="503"/>
      <c r="X189" s="503"/>
      <c r="Y189" s="503"/>
      <c r="Z189" s="503"/>
      <c r="AA189" s="499"/>
      <c r="AB189" s="506"/>
    </row>
    <row r="190" spans="1:28" x14ac:dyDescent="0.3">
      <c r="A190" s="18"/>
      <c r="B190" s="21"/>
      <c r="C190" s="21"/>
      <c r="D190" s="21"/>
      <c r="E190" s="21"/>
      <c r="F190" s="21"/>
      <c r="G190" s="21"/>
      <c r="H190" s="21"/>
      <c r="I190" s="21"/>
      <c r="J190" s="21"/>
      <c r="K190" s="21"/>
      <c r="L190" s="21"/>
      <c r="M190" s="21"/>
      <c r="N190" s="21"/>
      <c r="O190" s="21"/>
      <c r="P190" s="21"/>
      <c r="Q190" s="20"/>
      <c r="S190" s="500"/>
      <c r="T190" s="501"/>
      <c r="U190" s="500"/>
      <c r="V190" s="504"/>
      <c r="W190" s="504"/>
      <c r="X190" s="504"/>
      <c r="Y190" s="504"/>
      <c r="Z190" s="504"/>
      <c r="AA190" s="501"/>
      <c r="AB190" s="507"/>
    </row>
    <row r="191" spans="1:28" x14ac:dyDescent="0.3">
      <c r="A191" s="18"/>
      <c r="B191" s="21"/>
      <c r="C191" s="21"/>
      <c r="D191" s="21"/>
      <c r="E191" s="21"/>
      <c r="F191" s="21"/>
      <c r="G191" s="21"/>
      <c r="H191" s="21"/>
      <c r="I191" s="21"/>
      <c r="J191" s="21"/>
      <c r="K191" s="21"/>
      <c r="L191" s="21"/>
      <c r="M191" s="21"/>
      <c r="N191" s="21"/>
      <c r="O191" s="21"/>
      <c r="P191" s="21"/>
      <c r="Q191" s="20"/>
      <c r="S191" s="496" t="s">
        <v>1627</v>
      </c>
      <c r="T191" s="497"/>
      <c r="U191" s="496" t="s">
        <v>3796</v>
      </c>
      <c r="V191" s="502"/>
      <c r="W191" s="502"/>
      <c r="X191" s="502"/>
      <c r="Y191" s="502"/>
      <c r="Z191" s="502"/>
      <c r="AA191" s="497"/>
      <c r="AB191" s="505" t="s">
        <v>326</v>
      </c>
    </row>
    <row r="192" spans="1:28" x14ac:dyDescent="0.3">
      <c r="A192" s="18"/>
      <c r="B192" s="21"/>
      <c r="C192" s="21"/>
      <c r="D192" s="21"/>
      <c r="E192" s="21"/>
      <c r="F192" s="21"/>
      <c r="G192" s="21"/>
      <c r="H192" s="21"/>
      <c r="I192" s="21"/>
      <c r="J192" s="21"/>
      <c r="K192" s="21"/>
      <c r="L192" s="21"/>
      <c r="M192" s="21"/>
      <c r="N192" s="21"/>
      <c r="O192" s="21"/>
      <c r="P192" s="21"/>
      <c r="Q192" s="20"/>
      <c r="S192" s="498"/>
      <c r="T192" s="499"/>
      <c r="U192" s="498"/>
      <c r="V192" s="503"/>
      <c r="W192" s="503"/>
      <c r="X192" s="503"/>
      <c r="Y192" s="503"/>
      <c r="Z192" s="503"/>
      <c r="AA192" s="499"/>
      <c r="AB192" s="506"/>
    </row>
    <row r="193" spans="1:28" x14ac:dyDescent="0.3">
      <c r="A193" s="18"/>
      <c r="B193" s="21"/>
      <c r="C193" s="21"/>
      <c r="D193" s="21"/>
      <c r="E193" s="101" t="s">
        <v>3499</v>
      </c>
      <c r="F193" s="21"/>
      <c r="G193" s="21"/>
      <c r="H193" s="21"/>
      <c r="I193" s="21"/>
      <c r="J193" s="21"/>
      <c r="K193" s="21"/>
      <c r="L193" s="21"/>
      <c r="M193" s="21"/>
      <c r="N193" s="21"/>
      <c r="O193" s="21"/>
      <c r="P193" s="21"/>
      <c r="Q193" s="20"/>
      <c r="S193" s="500"/>
      <c r="T193" s="501"/>
      <c r="U193" s="500"/>
      <c r="V193" s="504"/>
      <c r="W193" s="504"/>
      <c r="X193" s="504"/>
      <c r="Y193" s="504"/>
      <c r="Z193" s="504"/>
      <c r="AA193" s="501"/>
      <c r="AB193" s="507"/>
    </row>
    <row r="194" spans="1:28" x14ac:dyDescent="0.3">
      <c r="A194" s="18"/>
      <c r="B194" s="21"/>
      <c r="C194" s="21"/>
      <c r="D194" s="21"/>
      <c r="E194" s="151" t="str" cm="1">
        <f t="array" ref="E194">_xll.U.WORKBOOK_NAME()</f>
        <v>U_UsageExamples.xlsx</v>
      </c>
      <c r="F194" s="21"/>
      <c r="G194" s="21"/>
      <c r="H194" s="21"/>
      <c r="I194" s="21"/>
      <c r="J194" s="21"/>
      <c r="K194" s="21"/>
      <c r="L194" s="21"/>
      <c r="M194" s="21"/>
      <c r="N194" s="21"/>
      <c r="O194" s="21"/>
      <c r="P194" s="21"/>
      <c r="Q194" s="20"/>
      <c r="S194" s="496" t="s">
        <v>1628</v>
      </c>
      <c r="T194" s="497"/>
      <c r="U194" s="496" t="s">
        <v>1630</v>
      </c>
      <c r="V194" s="502"/>
      <c r="W194" s="502"/>
      <c r="X194" s="502"/>
      <c r="Y194" s="502"/>
      <c r="Z194" s="502"/>
      <c r="AA194" s="497"/>
      <c r="AB194" s="505" t="s">
        <v>326</v>
      </c>
    </row>
    <row r="195" spans="1:28" x14ac:dyDescent="0.3">
      <c r="A195" s="18"/>
      <c r="B195" s="21"/>
      <c r="C195" s="21"/>
      <c r="D195" s="21"/>
      <c r="E195" s="21"/>
      <c r="F195" s="21"/>
      <c r="G195" s="21"/>
      <c r="H195" s="21"/>
      <c r="I195" s="21"/>
      <c r="J195" s="21"/>
      <c r="K195" s="21"/>
      <c r="L195" s="21"/>
      <c r="M195" s="21"/>
      <c r="N195" s="21"/>
      <c r="O195" s="21"/>
      <c r="P195" s="21"/>
      <c r="Q195" s="20"/>
      <c r="S195" s="498"/>
      <c r="T195" s="499"/>
      <c r="U195" s="498"/>
      <c r="V195" s="503"/>
      <c r="W195" s="503"/>
      <c r="X195" s="503"/>
      <c r="Y195" s="503"/>
      <c r="Z195" s="503"/>
      <c r="AA195" s="499"/>
      <c r="AB195" s="506"/>
    </row>
    <row r="196" spans="1:28" x14ac:dyDescent="0.3">
      <c r="A196" s="18"/>
      <c r="B196" s="21"/>
      <c r="C196" s="21"/>
      <c r="D196" s="21"/>
      <c r="E196" s="21"/>
      <c r="F196" s="21"/>
      <c r="G196" s="21"/>
      <c r="H196" s="21"/>
      <c r="I196" s="21"/>
      <c r="J196" s="21"/>
      <c r="K196" s="21"/>
      <c r="L196" s="21"/>
      <c r="M196" s="21"/>
      <c r="N196" s="21"/>
      <c r="O196" s="21"/>
      <c r="P196" s="21"/>
      <c r="Q196" s="20"/>
      <c r="S196" s="500"/>
      <c r="T196" s="501"/>
      <c r="U196" s="500"/>
      <c r="V196" s="504"/>
      <c r="W196" s="504"/>
      <c r="X196" s="504"/>
      <c r="Y196" s="504"/>
      <c r="Z196" s="504"/>
      <c r="AA196" s="501"/>
      <c r="AB196" s="507"/>
    </row>
    <row r="197" spans="1:28" x14ac:dyDescent="0.3">
      <c r="A197" s="18"/>
      <c r="B197" s="21"/>
      <c r="C197" s="21"/>
      <c r="D197" s="21"/>
      <c r="E197" s="21"/>
      <c r="F197" s="21"/>
      <c r="G197" s="21"/>
      <c r="H197" s="21"/>
      <c r="I197" s="21"/>
      <c r="J197" s="21"/>
      <c r="K197" s="21"/>
      <c r="L197" s="21"/>
      <c r="M197" s="21"/>
      <c r="N197" s="21"/>
      <c r="O197" s="21"/>
      <c r="P197" s="21"/>
      <c r="Q197" s="20"/>
      <c r="S197" s="496" t="s">
        <v>1629</v>
      </c>
      <c r="T197" s="497"/>
      <c r="U197" s="496" t="s">
        <v>1805</v>
      </c>
      <c r="V197" s="502"/>
      <c r="W197" s="502"/>
      <c r="X197" s="502"/>
      <c r="Y197" s="502"/>
      <c r="Z197" s="502"/>
      <c r="AA197" s="497"/>
      <c r="AB197" s="505" t="s">
        <v>326</v>
      </c>
    </row>
    <row r="198" spans="1:28" x14ac:dyDescent="0.3">
      <c r="A198" s="18"/>
      <c r="B198" s="21"/>
      <c r="C198" s="21"/>
      <c r="D198" s="21"/>
      <c r="E198" s="21"/>
      <c r="F198" s="21"/>
      <c r="G198" s="21"/>
      <c r="H198" s="21"/>
      <c r="I198" s="21"/>
      <c r="J198" s="21"/>
      <c r="K198" s="21"/>
      <c r="L198" s="21"/>
      <c r="M198" s="21"/>
      <c r="N198" s="21"/>
      <c r="O198" s="21"/>
      <c r="P198" s="21"/>
      <c r="Q198" s="20"/>
      <c r="S198" s="498"/>
      <c r="T198" s="499"/>
      <c r="U198" s="498"/>
      <c r="V198" s="503"/>
      <c r="W198" s="503"/>
      <c r="X198" s="503"/>
      <c r="Y198" s="503"/>
      <c r="Z198" s="503"/>
      <c r="AA198" s="499"/>
      <c r="AB198" s="506"/>
    </row>
    <row r="199" spans="1:28" x14ac:dyDescent="0.3">
      <c r="A199" s="18"/>
      <c r="B199" s="21"/>
      <c r="C199" s="21"/>
      <c r="D199" s="21"/>
      <c r="E199" s="101" t="s">
        <v>3500</v>
      </c>
      <c r="F199" s="21"/>
      <c r="G199" s="21"/>
      <c r="H199" s="21"/>
      <c r="I199" s="21"/>
      <c r="J199" s="21"/>
      <c r="K199" s="21"/>
      <c r="L199" s="21"/>
      <c r="M199" s="21"/>
      <c r="N199" s="21"/>
      <c r="O199" s="21"/>
      <c r="P199" s="21"/>
      <c r="Q199" s="20"/>
      <c r="S199" s="500"/>
      <c r="T199" s="501"/>
      <c r="U199" s="500"/>
      <c r="V199" s="504"/>
      <c r="W199" s="504"/>
      <c r="X199" s="504"/>
      <c r="Y199" s="504"/>
      <c r="Z199" s="504"/>
      <c r="AA199" s="501"/>
      <c r="AB199" s="507"/>
    </row>
    <row r="200" spans="1:28" x14ac:dyDescent="0.3">
      <c r="A200" s="18"/>
      <c r="B200" s="21"/>
      <c r="C200" s="21"/>
      <c r="D200" s="21"/>
      <c r="E200" s="151" t="str" cm="1">
        <f t="array" ref="E200">_xll.U.WORKSHEET_NAME()</f>
        <v>EXCEL_CONTROL</v>
      </c>
      <c r="F200" s="21"/>
      <c r="G200" s="21"/>
      <c r="H200" s="21"/>
      <c r="I200" s="21"/>
      <c r="J200" s="21"/>
      <c r="K200" s="21"/>
      <c r="L200" s="21"/>
      <c r="M200" s="21"/>
      <c r="N200" s="21"/>
      <c r="O200" s="21"/>
      <c r="P200" s="21"/>
      <c r="Q200" s="20"/>
      <c r="S200" s="126" t="s">
        <v>328</v>
      </c>
    </row>
    <row r="201" spans="1:28" x14ac:dyDescent="0.3">
      <c r="A201" s="18"/>
      <c r="B201" s="21"/>
      <c r="C201" s="21"/>
      <c r="D201" s="21"/>
      <c r="E201" s="21"/>
      <c r="F201" s="21"/>
      <c r="G201" s="21"/>
      <c r="H201" s="21"/>
      <c r="I201" s="21"/>
      <c r="J201" s="21"/>
      <c r="K201" s="21"/>
      <c r="L201" s="21"/>
      <c r="M201" s="21"/>
      <c r="N201" s="21"/>
      <c r="O201" s="21"/>
      <c r="P201" s="21"/>
      <c r="Q201" s="20"/>
    </row>
    <row r="202" spans="1:28" x14ac:dyDescent="0.3">
      <c r="A202" s="18"/>
      <c r="B202" s="21"/>
      <c r="C202" s="21"/>
      <c r="D202" s="21"/>
      <c r="E202" s="21"/>
      <c r="F202" s="21"/>
      <c r="G202" s="21"/>
      <c r="H202" s="21"/>
      <c r="I202" s="21"/>
      <c r="J202" s="21"/>
      <c r="K202" s="21"/>
      <c r="L202" s="21"/>
      <c r="M202" s="21"/>
      <c r="N202" s="21"/>
      <c r="O202" s="21"/>
      <c r="P202" s="21"/>
      <c r="Q202" s="20"/>
    </row>
    <row r="203" spans="1:28" x14ac:dyDescent="0.3">
      <c r="A203" s="18"/>
      <c r="B203" s="21"/>
      <c r="C203" s="21"/>
      <c r="D203" s="21"/>
      <c r="E203" s="21"/>
      <c r="F203" s="21"/>
      <c r="G203" s="21"/>
      <c r="H203" s="21"/>
      <c r="I203" s="21"/>
      <c r="J203" s="21"/>
      <c r="K203" s="21"/>
      <c r="L203" s="21"/>
      <c r="M203" s="21"/>
      <c r="N203" s="21"/>
      <c r="O203" s="21"/>
      <c r="P203" s="21"/>
      <c r="Q203" s="20"/>
      <c r="S203" s="574" t="s">
        <v>3506</v>
      </c>
      <c r="T203" s="575"/>
      <c r="U203" s="575"/>
      <c r="V203" s="575"/>
      <c r="W203" s="575"/>
      <c r="X203" s="575"/>
      <c r="Y203" s="575"/>
      <c r="Z203" s="575"/>
      <c r="AA203" s="575"/>
      <c r="AB203" s="576"/>
    </row>
    <row r="204" spans="1:28" x14ac:dyDescent="0.3">
      <c r="A204" s="18"/>
      <c r="B204" s="21"/>
      <c r="C204" s="21"/>
      <c r="D204" s="21"/>
      <c r="E204" s="101" t="s">
        <v>3500</v>
      </c>
      <c r="F204" s="21"/>
      <c r="G204" s="21"/>
      <c r="H204" s="21"/>
      <c r="I204" s="21"/>
      <c r="J204" s="21"/>
      <c r="K204" s="21"/>
      <c r="L204" s="21"/>
      <c r="M204" s="21"/>
      <c r="N204" s="21"/>
      <c r="O204" s="21"/>
      <c r="P204" s="21"/>
      <c r="Q204" s="20"/>
      <c r="S204" s="539" t="s">
        <v>333</v>
      </c>
      <c r="T204" s="541"/>
      <c r="U204" s="539" t="s">
        <v>1844</v>
      </c>
      <c r="V204" s="540"/>
      <c r="W204" s="540"/>
      <c r="X204" s="540"/>
      <c r="Y204" s="540"/>
      <c r="Z204" s="540"/>
      <c r="AA204" s="540"/>
      <c r="AB204" s="541"/>
    </row>
    <row r="205" spans="1:28" x14ac:dyDescent="0.3">
      <c r="A205" s="18"/>
      <c r="B205" s="21"/>
      <c r="C205" s="21"/>
      <c r="D205" s="21"/>
      <c r="E205" s="151" t="s">
        <v>3507</v>
      </c>
      <c r="F205" s="21"/>
      <c r="G205" s="21"/>
      <c r="H205" s="21"/>
      <c r="I205" s="21"/>
      <c r="J205" s="21"/>
      <c r="K205" s="21"/>
      <c r="L205" s="21"/>
      <c r="M205" s="21"/>
      <c r="N205" s="21"/>
      <c r="O205" s="21"/>
      <c r="P205" s="21"/>
      <c r="Q205" s="20"/>
      <c r="S205" s="542"/>
      <c r="T205" s="544"/>
      <c r="U205" s="542"/>
      <c r="V205" s="543"/>
      <c r="W205" s="543"/>
      <c r="X205" s="543"/>
      <c r="Y205" s="543"/>
      <c r="Z205" s="543"/>
      <c r="AA205" s="543"/>
      <c r="AB205" s="544"/>
    </row>
    <row r="206" spans="1:28" x14ac:dyDescent="0.3">
      <c r="A206" s="18"/>
      <c r="B206" s="21"/>
      <c r="C206" s="21"/>
      <c r="D206" s="21"/>
      <c r="E206" s="21"/>
      <c r="F206" s="21"/>
      <c r="G206" s="21"/>
      <c r="H206" s="21"/>
      <c r="I206" s="21"/>
      <c r="J206" s="21"/>
      <c r="K206" s="21"/>
      <c r="L206" s="21"/>
      <c r="M206" s="21"/>
      <c r="N206" s="21"/>
      <c r="O206" s="21"/>
      <c r="P206" s="21"/>
      <c r="Q206" s="20"/>
      <c r="S206" s="545"/>
      <c r="T206" s="547"/>
      <c r="U206" s="545"/>
      <c r="V206" s="546"/>
      <c r="W206" s="546"/>
      <c r="X206" s="546"/>
      <c r="Y206" s="546"/>
      <c r="Z206" s="546"/>
      <c r="AA206" s="546"/>
      <c r="AB206" s="547"/>
    </row>
    <row r="207" spans="1:28" x14ac:dyDescent="0.3">
      <c r="A207" s="18"/>
      <c r="B207" s="21"/>
      <c r="C207" s="21"/>
      <c r="D207" s="21"/>
      <c r="E207" s="21"/>
      <c r="F207" s="21"/>
      <c r="G207" s="21"/>
      <c r="H207" s="21"/>
      <c r="I207" s="21"/>
      <c r="J207" s="21"/>
      <c r="K207" s="21"/>
      <c r="L207" s="21"/>
      <c r="M207" s="21"/>
      <c r="N207" s="21"/>
      <c r="O207" s="21"/>
      <c r="P207" s="21"/>
      <c r="Q207" s="20"/>
      <c r="S207" s="513" t="s">
        <v>323</v>
      </c>
      <c r="T207" s="515"/>
      <c r="U207" s="513" t="s">
        <v>1</v>
      </c>
      <c r="V207" s="514"/>
      <c r="W207" s="514"/>
      <c r="X207" s="514"/>
      <c r="Y207" s="514"/>
      <c r="Z207" s="514"/>
      <c r="AA207" s="515"/>
      <c r="AB207" s="85" t="s">
        <v>324</v>
      </c>
    </row>
    <row r="208" spans="1:28" x14ac:dyDescent="0.3">
      <c r="A208" s="18"/>
      <c r="B208" s="21"/>
      <c r="C208" s="21"/>
      <c r="D208" s="21"/>
      <c r="E208" s="21"/>
      <c r="F208" s="21"/>
      <c r="G208" s="21"/>
      <c r="H208" s="21"/>
      <c r="I208" s="21"/>
      <c r="J208" s="21"/>
      <c r="K208" s="21"/>
      <c r="L208" s="21"/>
      <c r="M208" s="21"/>
      <c r="N208" s="21"/>
      <c r="O208" s="21"/>
      <c r="P208" s="21"/>
      <c r="Q208" s="20"/>
      <c r="S208" s="496" t="s">
        <v>1845</v>
      </c>
      <c r="T208" s="497"/>
      <c r="U208" s="496" t="s">
        <v>1848</v>
      </c>
      <c r="V208" s="502"/>
      <c r="W208" s="502"/>
      <c r="X208" s="502"/>
      <c r="Y208" s="502"/>
      <c r="Z208" s="502"/>
      <c r="AA208" s="497"/>
      <c r="AB208" s="505" t="s">
        <v>326</v>
      </c>
    </row>
    <row r="209" spans="1:28" x14ac:dyDescent="0.3">
      <c r="A209" s="18"/>
      <c r="B209" s="21"/>
      <c r="C209" s="21"/>
      <c r="D209" s="21"/>
      <c r="E209" s="101" t="s">
        <v>3500</v>
      </c>
      <c r="F209" s="21"/>
      <c r="G209" s="21"/>
      <c r="H209" s="21"/>
      <c r="I209" s="21"/>
      <c r="J209" s="21"/>
      <c r="K209" s="21"/>
      <c r="L209" s="21"/>
      <c r="M209" s="21"/>
      <c r="N209" s="21"/>
      <c r="O209" s="21"/>
      <c r="P209" s="21"/>
      <c r="Q209" s="20"/>
      <c r="S209" s="498"/>
      <c r="T209" s="499"/>
      <c r="U209" s="498"/>
      <c r="V209" s="503"/>
      <c r="W209" s="503"/>
      <c r="X209" s="503"/>
      <c r="Y209" s="503"/>
      <c r="Z209" s="503"/>
      <c r="AA209" s="499"/>
      <c r="AB209" s="506"/>
    </row>
    <row r="210" spans="1:28" x14ac:dyDescent="0.3">
      <c r="A210" s="18"/>
      <c r="B210" s="21"/>
      <c r="C210" s="21"/>
      <c r="D210" s="21"/>
      <c r="E210" s="151" t="s">
        <v>3508</v>
      </c>
      <c r="F210" s="21"/>
      <c r="G210" s="21"/>
      <c r="H210" s="21"/>
      <c r="I210" s="21"/>
      <c r="J210" s="21"/>
      <c r="K210" s="21"/>
      <c r="L210" s="21"/>
      <c r="M210" s="21"/>
      <c r="N210" s="21"/>
      <c r="O210" s="21"/>
      <c r="P210" s="21"/>
      <c r="Q210" s="20"/>
      <c r="S210" s="500"/>
      <c r="T210" s="501"/>
      <c r="U210" s="500"/>
      <c r="V210" s="504"/>
      <c r="W210" s="504"/>
      <c r="X210" s="504"/>
      <c r="Y210" s="504"/>
      <c r="Z210" s="504"/>
      <c r="AA210" s="501"/>
      <c r="AB210" s="507"/>
    </row>
    <row r="211" spans="1:28" x14ac:dyDescent="0.3">
      <c r="A211" s="18"/>
      <c r="B211" s="21"/>
      <c r="C211" s="21"/>
      <c r="D211" s="21"/>
      <c r="E211" s="21"/>
      <c r="F211" s="21"/>
      <c r="G211" s="21"/>
      <c r="H211" s="21"/>
      <c r="I211" s="21"/>
      <c r="J211" s="21"/>
      <c r="K211" s="21"/>
      <c r="L211" s="21"/>
      <c r="M211" s="21"/>
      <c r="N211" s="21"/>
      <c r="O211" s="21"/>
      <c r="P211" s="21"/>
      <c r="Q211" s="20"/>
      <c r="S211" s="496" t="s">
        <v>1846</v>
      </c>
      <c r="T211" s="497"/>
      <c r="U211" s="496" t="s">
        <v>1849</v>
      </c>
      <c r="V211" s="502"/>
      <c r="W211" s="502"/>
      <c r="X211" s="502"/>
      <c r="Y211" s="502"/>
      <c r="Z211" s="502"/>
      <c r="AA211" s="497"/>
      <c r="AB211" s="505" t="s">
        <v>326</v>
      </c>
    </row>
    <row r="212" spans="1:28" x14ac:dyDescent="0.3">
      <c r="A212" s="18"/>
      <c r="B212" s="21"/>
      <c r="C212" s="21"/>
      <c r="D212" s="21"/>
      <c r="E212" s="21"/>
      <c r="F212" s="21"/>
      <c r="G212" s="21"/>
      <c r="H212" s="21"/>
      <c r="I212" s="21"/>
      <c r="J212" s="21"/>
      <c r="K212" s="21"/>
      <c r="L212" s="21"/>
      <c r="M212" s="21"/>
      <c r="N212" s="21"/>
      <c r="O212" s="21"/>
      <c r="P212" s="21"/>
      <c r="Q212" s="20"/>
      <c r="S212" s="498"/>
      <c r="T212" s="499"/>
      <c r="U212" s="498"/>
      <c r="V212" s="503"/>
      <c r="W212" s="503"/>
      <c r="X212" s="503"/>
      <c r="Y212" s="503"/>
      <c r="Z212" s="503"/>
      <c r="AA212" s="499"/>
      <c r="AB212" s="506"/>
    </row>
    <row r="213" spans="1:28" x14ac:dyDescent="0.3">
      <c r="A213" s="18"/>
      <c r="B213" s="101" t="s">
        <v>3724</v>
      </c>
      <c r="C213" s="21"/>
      <c r="D213" s="21"/>
      <c r="E213" s="101" t="s">
        <v>3500</v>
      </c>
      <c r="F213" s="21"/>
      <c r="G213" s="21"/>
      <c r="H213" s="21"/>
      <c r="I213" s="21"/>
      <c r="J213" s="21"/>
      <c r="K213" s="21"/>
      <c r="L213" s="21"/>
      <c r="M213" s="21"/>
      <c r="N213" s="21"/>
      <c r="O213" s="21"/>
      <c r="P213" s="21"/>
      <c r="Q213" s="20"/>
      <c r="S213" s="500"/>
      <c r="T213" s="501"/>
      <c r="U213" s="500"/>
      <c r="V213" s="504"/>
      <c r="W213" s="504"/>
      <c r="X213" s="504"/>
      <c r="Y213" s="504"/>
      <c r="Z213" s="504"/>
      <c r="AA213" s="501"/>
      <c r="AB213" s="507"/>
    </row>
    <row r="214" spans="1:28" x14ac:dyDescent="0.3">
      <c r="A214" s="18"/>
      <c r="B214" s="315" t="s">
        <v>3721</v>
      </c>
      <c r="C214" s="21"/>
      <c r="D214" s="21"/>
      <c r="E214" s="151" t="s">
        <v>3723</v>
      </c>
      <c r="F214" s="21"/>
      <c r="G214" s="21"/>
      <c r="H214" s="21"/>
      <c r="I214" s="21"/>
      <c r="J214" s="21"/>
      <c r="K214" s="21"/>
      <c r="L214" s="21"/>
      <c r="M214" s="21"/>
      <c r="N214" s="21"/>
      <c r="O214" s="21"/>
      <c r="P214" s="21"/>
      <c r="Q214" s="20"/>
      <c r="S214" s="496" t="s">
        <v>1847</v>
      </c>
      <c r="T214" s="497"/>
      <c r="U214" s="496" t="s">
        <v>1850</v>
      </c>
      <c r="V214" s="502"/>
      <c r="W214" s="502"/>
      <c r="X214" s="502"/>
      <c r="Y214" s="502"/>
      <c r="Z214" s="502"/>
      <c r="AA214" s="497"/>
      <c r="AB214" s="505" t="s">
        <v>326</v>
      </c>
    </row>
    <row r="215" spans="1:28" x14ac:dyDescent="0.3">
      <c r="A215" s="18"/>
      <c r="B215" s="355"/>
      <c r="C215" s="21"/>
      <c r="D215" s="21"/>
      <c r="E215" s="21"/>
      <c r="F215" s="21"/>
      <c r="G215" s="21"/>
      <c r="H215" s="21"/>
      <c r="I215" s="21"/>
      <c r="J215" s="21"/>
      <c r="K215" s="21"/>
      <c r="L215" s="21"/>
      <c r="M215" s="21"/>
      <c r="N215" s="21"/>
      <c r="O215" s="21"/>
      <c r="P215" s="21"/>
      <c r="Q215" s="20"/>
      <c r="S215" s="498"/>
      <c r="T215" s="499"/>
      <c r="U215" s="498"/>
      <c r="V215" s="503"/>
      <c r="W215" s="503"/>
      <c r="X215" s="503"/>
      <c r="Y215" s="503"/>
      <c r="Z215" s="503"/>
      <c r="AA215" s="499"/>
      <c r="AB215" s="506"/>
    </row>
    <row r="216" spans="1:28" x14ac:dyDescent="0.3">
      <c r="A216" s="18"/>
      <c r="B216" s="101" t="s">
        <v>3720</v>
      </c>
      <c r="C216" s="21"/>
      <c r="D216" s="21"/>
      <c r="E216" s="21"/>
      <c r="F216" s="21"/>
      <c r="G216" s="21"/>
      <c r="H216" s="21"/>
      <c r="I216" s="21"/>
      <c r="J216" s="21"/>
      <c r="K216" s="21"/>
      <c r="L216" s="21"/>
      <c r="M216" s="21"/>
      <c r="N216" s="21"/>
      <c r="O216" s="21"/>
      <c r="P216" s="21"/>
      <c r="Q216" s="20"/>
      <c r="S216" s="500"/>
      <c r="T216" s="501"/>
      <c r="U216" s="500"/>
      <c r="V216" s="504"/>
      <c r="W216" s="504"/>
      <c r="X216" s="504"/>
      <c r="Y216" s="504"/>
      <c r="Z216" s="504"/>
      <c r="AA216" s="501"/>
      <c r="AB216" s="507"/>
    </row>
    <row r="217" spans="1:28" x14ac:dyDescent="0.3">
      <c r="A217" s="18"/>
      <c r="B217" s="315" t="s">
        <v>1083</v>
      </c>
      <c r="C217" s="21"/>
      <c r="D217" s="21"/>
      <c r="E217" s="21"/>
      <c r="F217" s="21"/>
      <c r="G217" s="21"/>
      <c r="H217" s="21"/>
      <c r="I217" s="21"/>
      <c r="J217" s="21"/>
      <c r="K217" s="21"/>
      <c r="L217" s="21"/>
      <c r="M217" s="21"/>
      <c r="N217" s="21"/>
      <c r="O217" s="21"/>
      <c r="P217" s="21"/>
      <c r="Q217" s="20"/>
      <c r="S217" s="126" t="s">
        <v>328</v>
      </c>
    </row>
    <row r="218" spans="1:28" x14ac:dyDescent="0.3">
      <c r="A218" s="18"/>
      <c r="B218" s="315" t="s">
        <v>179</v>
      </c>
      <c r="C218" s="21"/>
      <c r="D218" s="21"/>
      <c r="E218" s="21"/>
      <c r="F218" s="21"/>
      <c r="G218" s="21"/>
      <c r="H218" s="21"/>
      <c r="I218" s="21"/>
      <c r="J218" s="21"/>
      <c r="K218" s="21"/>
      <c r="L218" s="21"/>
      <c r="M218" s="21"/>
      <c r="N218" s="21"/>
      <c r="O218" s="21"/>
      <c r="P218" s="21"/>
      <c r="Q218" s="20"/>
    </row>
    <row r="219" spans="1:28" x14ac:dyDescent="0.3">
      <c r="A219" s="18"/>
      <c r="B219" s="315" t="s">
        <v>3722</v>
      </c>
      <c r="C219" s="21"/>
      <c r="D219" s="21"/>
      <c r="E219" s="21"/>
      <c r="F219" s="21"/>
      <c r="G219" s="21"/>
      <c r="H219" s="21"/>
      <c r="I219" s="21"/>
      <c r="J219" s="21"/>
      <c r="K219" s="21"/>
      <c r="L219" s="21"/>
      <c r="M219" s="21"/>
      <c r="N219" s="21"/>
      <c r="O219" s="21"/>
      <c r="P219" s="21"/>
      <c r="Q219" s="20"/>
    </row>
    <row r="220" spans="1:28" x14ac:dyDescent="0.3">
      <c r="A220" s="18"/>
      <c r="B220" s="21"/>
      <c r="C220" s="21"/>
      <c r="D220" s="21"/>
      <c r="E220" s="21"/>
      <c r="F220" s="21"/>
      <c r="G220" s="21"/>
      <c r="H220" s="21"/>
      <c r="I220" s="21"/>
      <c r="J220" s="21"/>
      <c r="K220" s="21"/>
      <c r="L220" s="21"/>
      <c r="M220" s="21"/>
      <c r="N220" s="21"/>
      <c r="O220" s="21"/>
      <c r="P220" s="21"/>
      <c r="Q220" s="20"/>
      <c r="S220" s="574" t="s">
        <v>3509</v>
      </c>
      <c r="T220" s="575"/>
      <c r="U220" s="575"/>
      <c r="V220" s="575"/>
      <c r="W220" s="575"/>
      <c r="X220" s="575"/>
      <c r="Y220" s="575"/>
      <c r="Z220" s="575"/>
      <c r="AA220" s="575"/>
      <c r="AB220" s="576"/>
    </row>
    <row r="221" spans="1:28" x14ac:dyDescent="0.3">
      <c r="A221" s="18"/>
      <c r="B221" s="21"/>
      <c r="C221" s="21"/>
      <c r="D221" s="21"/>
      <c r="E221" s="21"/>
      <c r="F221" s="21"/>
      <c r="G221" s="21"/>
      <c r="H221" s="21"/>
      <c r="I221" s="21"/>
      <c r="J221" s="21"/>
      <c r="K221" s="21"/>
      <c r="L221" s="21"/>
      <c r="M221" s="21"/>
      <c r="N221" s="21"/>
      <c r="O221" s="21"/>
      <c r="P221" s="21"/>
      <c r="Q221" s="20"/>
      <c r="S221" s="539" t="s">
        <v>333</v>
      </c>
      <c r="T221" s="541"/>
      <c r="U221" s="539" t="s">
        <v>3769</v>
      </c>
      <c r="V221" s="540"/>
      <c r="W221" s="540"/>
      <c r="X221" s="540"/>
      <c r="Y221" s="540"/>
      <c r="Z221" s="540"/>
      <c r="AA221" s="540"/>
      <c r="AB221" s="541"/>
    </row>
    <row r="222" spans="1:28" x14ac:dyDescent="0.3">
      <c r="A222" s="18"/>
      <c r="B222" s="21"/>
      <c r="C222" s="21"/>
      <c r="D222" s="21"/>
      <c r="E222" s="21"/>
      <c r="F222" s="21"/>
      <c r="G222" s="21"/>
      <c r="H222" s="21"/>
      <c r="I222" s="21"/>
      <c r="J222" s="21"/>
      <c r="K222" s="21"/>
      <c r="L222" s="21"/>
      <c r="M222" s="21"/>
      <c r="N222" s="21"/>
      <c r="O222" s="21"/>
      <c r="P222" s="21"/>
      <c r="Q222" s="20"/>
      <c r="S222" s="542"/>
      <c r="T222" s="544"/>
      <c r="U222" s="542"/>
      <c r="V222" s="543"/>
      <c r="W222" s="543"/>
      <c r="X222" s="543"/>
      <c r="Y222" s="543"/>
      <c r="Z222" s="543"/>
      <c r="AA222" s="543"/>
      <c r="AB222" s="544"/>
    </row>
    <row r="223" spans="1:28" x14ac:dyDescent="0.3">
      <c r="A223" s="18"/>
      <c r="B223" s="21"/>
      <c r="C223" s="21"/>
      <c r="D223" s="21"/>
      <c r="E223" s="21"/>
      <c r="F223" s="21"/>
      <c r="G223" s="21"/>
      <c r="H223" s="21"/>
      <c r="I223" s="21"/>
      <c r="J223" s="21"/>
      <c r="K223" s="21"/>
      <c r="L223" s="21"/>
      <c r="M223" s="21"/>
      <c r="N223" s="21"/>
      <c r="O223" s="21"/>
      <c r="P223" s="21"/>
      <c r="Q223" s="20"/>
      <c r="S223" s="545"/>
      <c r="T223" s="547"/>
      <c r="U223" s="545"/>
      <c r="V223" s="546"/>
      <c r="W223" s="546"/>
      <c r="X223" s="546"/>
      <c r="Y223" s="546"/>
      <c r="Z223" s="546"/>
      <c r="AA223" s="546"/>
      <c r="AB223" s="547"/>
    </row>
    <row r="224" spans="1:28" x14ac:dyDescent="0.3">
      <c r="A224" s="18"/>
      <c r="B224" s="21"/>
      <c r="C224" s="21"/>
      <c r="D224" s="21"/>
      <c r="E224" s="21"/>
      <c r="F224" s="21"/>
      <c r="G224" s="21"/>
      <c r="H224" s="21"/>
      <c r="I224" s="21"/>
      <c r="J224" s="21"/>
      <c r="K224" s="21"/>
      <c r="L224" s="21"/>
      <c r="M224" s="21"/>
      <c r="N224" s="21"/>
      <c r="O224" s="21"/>
      <c r="P224" s="21"/>
      <c r="Q224" s="20"/>
      <c r="S224" s="513" t="s">
        <v>323</v>
      </c>
      <c r="T224" s="515"/>
      <c r="U224" s="513" t="s">
        <v>1</v>
      </c>
      <c r="V224" s="514"/>
      <c r="W224" s="514"/>
      <c r="X224" s="514"/>
      <c r="Y224" s="514"/>
      <c r="Z224" s="514"/>
      <c r="AA224" s="515"/>
      <c r="AB224" s="85" t="s">
        <v>324</v>
      </c>
    </row>
    <row r="225" spans="1:28" x14ac:dyDescent="0.3">
      <c r="A225" s="18"/>
      <c r="B225" s="21"/>
      <c r="C225" s="21"/>
      <c r="D225" s="21"/>
      <c r="E225" s="21"/>
      <c r="F225" s="21"/>
      <c r="G225" s="21"/>
      <c r="H225" s="21"/>
      <c r="I225" s="21"/>
      <c r="J225" s="21"/>
      <c r="K225" s="21"/>
      <c r="L225" s="21"/>
      <c r="M225" s="21"/>
      <c r="N225" s="21"/>
      <c r="O225" s="21"/>
      <c r="P225" s="21"/>
      <c r="Q225" s="20"/>
      <c r="S225" s="496" t="s">
        <v>3767</v>
      </c>
      <c r="T225" s="497"/>
      <c r="U225" s="496" t="s">
        <v>3768</v>
      </c>
      <c r="V225" s="502"/>
      <c r="W225" s="502"/>
      <c r="X225" s="502"/>
      <c r="Y225" s="502"/>
      <c r="Z225" s="502"/>
      <c r="AA225" s="497"/>
      <c r="AB225" s="505" t="s">
        <v>326</v>
      </c>
    </row>
    <row r="226" spans="1:28" x14ac:dyDescent="0.3">
      <c r="A226" s="18"/>
      <c r="B226" s="21"/>
      <c r="C226" s="21"/>
      <c r="D226" s="21"/>
      <c r="E226" s="21"/>
      <c r="F226" s="21"/>
      <c r="G226" s="21"/>
      <c r="H226" s="21"/>
      <c r="I226" s="21"/>
      <c r="J226" s="21"/>
      <c r="K226" s="21"/>
      <c r="L226" s="21"/>
      <c r="M226" s="21"/>
      <c r="N226" s="21"/>
      <c r="O226" s="21"/>
      <c r="P226" s="21"/>
      <c r="Q226" s="20"/>
      <c r="S226" s="498"/>
      <c r="T226" s="499"/>
      <c r="U226" s="498"/>
      <c r="V226" s="503"/>
      <c r="W226" s="503"/>
      <c r="X226" s="503"/>
      <c r="Y226" s="503"/>
      <c r="Z226" s="503"/>
      <c r="AA226" s="499"/>
      <c r="AB226" s="506"/>
    </row>
    <row r="227" spans="1:28" x14ac:dyDescent="0.3">
      <c r="A227" s="18"/>
      <c r="B227" s="21"/>
      <c r="C227" s="21"/>
      <c r="D227" s="21"/>
      <c r="E227" s="101" t="s">
        <v>3501</v>
      </c>
      <c r="F227" s="21"/>
      <c r="G227" s="21"/>
      <c r="H227" s="21"/>
      <c r="I227" s="21"/>
      <c r="J227" s="21"/>
      <c r="K227" s="21"/>
      <c r="L227" s="21"/>
      <c r="M227" s="21"/>
      <c r="N227" s="21"/>
      <c r="O227" s="21"/>
      <c r="P227" s="21"/>
      <c r="Q227" s="20"/>
      <c r="S227" s="500"/>
      <c r="T227" s="501"/>
      <c r="U227" s="500"/>
      <c r="V227" s="504"/>
      <c r="W227" s="504"/>
      <c r="X227" s="504"/>
      <c r="Y227" s="504"/>
      <c r="Z227" s="504"/>
      <c r="AA227" s="501"/>
      <c r="AB227" s="507"/>
    </row>
    <row r="228" spans="1:28" x14ac:dyDescent="0.3">
      <c r="A228" s="18"/>
      <c r="B228" s="454" t="s">
        <v>3102</v>
      </c>
      <c r="C228" s="21"/>
      <c r="D228" s="21"/>
      <c r="E228" s="151" t="str" cm="1">
        <f t="array" ref="E228">_xll.U.RANGE_NAME(B228)</f>
        <v>[U_UsageExamples.xlsx]EXCEL_CONTROL!B228</v>
      </c>
      <c r="F228" s="21"/>
      <c r="G228" s="21"/>
      <c r="H228" s="21"/>
      <c r="I228" s="21"/>
      <c r="J228" s="21"/>
      <c r="K228" s="21"/>
      <c r="L228" s="21"/>
      <c r="M228" s="21"/>
      <c r="N228" s="21"/>
      <c r="O228" s="21"/>
      <c r="P228" s="21"/>
      <c r="Q228" s="20"/>
      <c r="S228" s="126" t="s">
        <v>328</v>
      </c>
    </row>
    <row r="229" spans="1:28" x14ac:dyDescent="0.3">
      <c r="A229" s="18"/>
      <c r="B229" s="21"/>
      <c r="C229" s="21"/>
      <c r="D229" s="21"/>
      <c r="E229" s="21"/>
      <c r="F229" s="21"/>
      <c r="G229" s="21"/>
      <c r="H229" s="21"/>
      <c r="I229" s="21"/>
      <c r="J229" s="21"/>
      <c r="K229" s="21"/>
      <c r="L229" s="21"/>
      <c r="M229" s="21"/>
      <c r="N229" s="21"/>
      <c r="O229" s="21"/>
      <c r="P229" s="21"/>
      <c r="Q229" s="20"/>
    </row>
    <row r="230" spans="1:28" x14ac:dyDescent="0.3">
      <c r="A230" s="18"/>
      <c r="B230" s="21"/>
      <c r="C230" s="21"/>
      <c r="D230" s="21"/>
      <c r="E230" s="21"/>
      <c r="F230" s="21"/>
      <c r="G230" s="21"/>
      <c r="H230" s="21"/>
      <c r="I230" s="21"/>
      <c r="J230" s="21"/>
      <c r="K230" s="21"/>
      <c r="L230" s="21"/>
      <c r="M230" s="21"/>
      <c r="N230" s="21"/>
      <c r="O230" s="21"/>
      <c r="P230" s="21"/>
      <c r="Q230" s="20"/>
    </row>
    <row r="231" spans="1:28" x14ac:dyDescent="0.3">
      <c r="A231" s="18"/>
      <c r="B231" s="21"/>
      <c r="C231" s="21"/>
      <c r="D231" s="21"/>
      <c r="E231" s="21"/>
      <c r="F231" s="21"/>
      <c r="G231" s="21"/>
      <c r="H231" s="21"/>
      <c r="I231" s="21"/>
      <c r="J231" s="21"/>
      <c r="K231" s="21"/>
      <c r="L231" s="21"/>
      <c r="M231" s="21"/>
      <c r="N231" s="21"/>
      <c r="O231" s="21"/>
      <c r="P231" s="21"/>
      <c r="Q231" s="20"/>
    </row>
    <row r="232" spans="1:28" x14ac:dyDescent="0.3">
      <c r="A232" s="18"/>
      <c r="B232" s="21"/>
      <c r="C232" s="21"/>
      <c r="D232" s="21"/>
      <c r="E232" s="21"/>
      <c r="F232" s="21"/>
      <c r="G232" s="21"/>
      <c r="H232" s="21"/>
      <c r="I232" s="21"/>
      <c r="J232" s="21"/>
      <c r="K232" s="21"/>
      <c r="L232" s="21"/>
      <c r="M232" s="21"/>
      <c r="N232" s="21"/>
      <c r="O232" s="21"/>
      <c r="P232" s="21"/>
      <c r="Q232" s="20"/>
    </row>
    <row r="233" spans="1:28" x14ac:dyDescent="0.3">
      <c r="A233" s="18"/>
      <c r="B233" s="21"/>
      <c r="C233" s="21"/>
      <c r="D233" s="21"/>
      <c r="E233" s="21"/>
      <c r="F233" s="21"/>
      <c r="G233" s="21"/>
      <c r="H233" s="21"/>
      <c r="I233" s="21"/>
      <c r="J233" s="21"/>
      <c r="K233" s="21"/>
      <c r="L233" s="21"/>
      <c r="M233" s="21"/>
      <c r="N233" s="21"/>
      <c r="O233" s="21"/>
      <c r="P233" s="21"/>
      <c r="Q233" s="20"/>
    </row>
    <row r="234" spans="1:28" x14ac:dyDescent="0.3">
      <c r="A234" s="18"/>
      <c r="B234" s="2" t="s">
        <v>1179</v>
      </c>
      <c r="C234" s="21"/>
      <c r="D234" s="21"/>
      <c r="E234" s="101" t="s">
        <v>3503</v>
      </c>
      <c r="F234" s="21"/>
      <c r="G234" s="21"/>
      <c r="H234" s="21"/>
      <c r="I234" s="21"/>
      <c r="J234" s="21"/>
      <c r="K234" s="21"/>
      <c r="L234" s="21"/>
      <c r="M234" s="21"/>
      <c r="N234" s="21"/>
      <c r="O234" s="21"/>
      <c r="P234" s="21"/>
      <c r="Q234" s="20"/>
    </row>
    <row r="235" spans="1:28" x14ac:dyDescent="0.3">
      <c r="A235" s="18"/>
      <c r="B235" s="42" t="b">
        <v>0</v>
      </c>
      <c r="C235" s="21"/>
      <c r="D235" s="21"/>
      <c r="E235" s="246" t="s">
        <v>3907</v>
      </c>
      <c r="F235" s="21"/>
      <c r="G235" s="21"/>
      <c r="H235" s="21"/>
      <c r="I235" s="21"/>
      <c r="J235" s="21"/>
      <c r="K235" s="21"/>
      <c r="L235" s="21"/>
      <c r="M235" s="21"/>
      <c r="N235" s="21"/>
      <c r="O235" s="21"/>
      <c r="P235" s="21"/>
      <c r="Q235" s="20"/>
    </row>
    <row r="236" spans="1:28" x14ac:dyDescent="0.3">
      <c r="A236" s="18"/>
      <c r="B236" s="21"/>
      <c r="C236" s="21"/>
      <c r="D236" s="21"/>
      <c r="E236" s="21"/>
      <c r="F236" s="21"/>
      <c r="G236" s="21"/>
      <c r="H236" s="21"/>
      <c r="I236" s="21"/>
      <c r="J236" s="21"/>
      <c r="K236" s="21"/>
      <c r="L236" s="21"/>
      <c r="M236" s="21"/>
      <c r="N236" s="21"/>
      <c r="O236" s="21"/>
      <c r="P236" s="21"/>
      <c r="Q236" s="20"/>
    </row>
    <row r="237" spans="1:28" x14ac:dyDescent="0.3">
      <c r="A237" s="18"/>
      <c r="B237" s="2" t="s">
        <v>1183</v>
      </c>
      <c r="C237" s="21"/>
      <c r="D237" s="21"/>
      <c r="E237" s="21"/>
      <c r="F237" s="21"/>
      <c r="G237" s="21"/>
      <c r="H237" s="21"/>
      <c r="I237" s="21"/>
      <c r="J237" s="21"/>
      <c r="K237" s="21"/>
      <c r="L237" s="21"/>
      <c r="M237" s="21"/>
      <c r="N237" s="21"/>
      <c r="O237" s="21"/>
      <c r="P237" s="21"/>
      <c r="Q237" s="20"/>
    </row>
    <row r="238" spans="1:28" x14ac:dyDescent="0.3">
      <c r="A238" s="18"/>
      <c r="B238" s="151" t="s">
        <v>3794</v>
      </c>
      <c r="C238" s="21"/>
      <c r="D238" s="21"/>
      <c r="E238" s="21"/>
      <c r="F238" s="21"/>
      <c r="G238" s="21"/>
      <c r="H238" s="21"/>
      <c r="I238" s="21"/>
      <c r="J238" s="21"/>
      <c r="K238" s="21"/>
      <c r="L238" s="21"/>
      <c r="M238" s="21"/>
      <c r="N238" s="21"/>
      <c r="O238" s="21"/>
      <c r="P238" s="21"/>
      <c r="Q238" s="20"/>
    </row>
    <row r="239" spans="1:28" x14ac:dyDescent="0.3">
      <c r="A239" s="18"/>
      <c r="B239" s="21"/>
      <c r="C239" s="21"/>
      <c r="D239" s="21"/>
      <c r="E239" s="21"/>
      <c r="F239" s="21"/>
      <c r="G239" s="21"/>
      <c r="H239" s="21"/>
      <c r="I239" s="21"/>
      <c r="J239" s="21"/>
      <c r="K239" s="21"/>
      <c r="L239" s="21"/>
      <c r="M239" s="21"/>
      <c r="N239" s="21"/>
      <c r="O239" s="21"/>
      <c r="P239" s="21"/>
      <c r="Q239" s="20"/>
    </row>
    <row r="240" spans="1:28" x14ac:dyDescent="0.3">
      <c r="A240" s="18"/>
      <c r="B240" s="21"/>
      <c r="C240" s="21"/>
      <c r="D240" s="21"/>
      <c r="E240" s="21"/>
      <c r="F240" s="21"/>
      <c r="G240" s="21"/>
      <c r="H240" s="21"/>
      <c r="I240" s="21"/>
      <c r="J240" s="21"/>
      <c r="K240" s="21"/>
      <c r="L240" s="21"/>
      <c r="M240" s="21"/>
      <c r="N240" s="21"/>
      <c r="O240" s="21"/>
      <c r="P240" s="21"/>
      <c r="Q240" s="20"/>
    </row>
    <row r="241" spans="1:17" x14ac:dyDescent="0.3">
      <c r="A241" s="18"/>
      <c r="B241" s="21"/>
      <c r="C241" s="21"/>
      <c r="D241" s="21"/>
      <c r="E241" s="21"/>
      <c r="F241" s="21"/>
      <c r="G241" s="21"/>
      <c r="H241" s="21"/>
      <c r="I241" s="21"/>
      <c r="J241" s="21"/>
      <c r="K241" s="21"/>
      <c r="L241" s="21"/>
      <c r="M241" s="21"/>
      <c r="N241" s="21"/>
      <c r="O241" s="21"/>
      <c r="P241" s="21"/>
      <c r="Q241" s="20"/>
    </row>
    <row r="242" spans="1:17" x14ac:dyDescent="0.3">
      <c r="A242" s="18"/>
      <c r="B242" s="21"/>
      <c r="C242" s="21"/>
      <c r="D242" s="21"/>
      <c r="E242" s="21"/>
      <c r="F242" s="21"/>
      <c r="G242" s="21"/>
      <c r="H242" s="21"/>
      <c r="I242" s="21"/>
      <c r="J242" s="21"/>
      <c r="K242" s="21"/>
      <c r="L242" s="21"/>
      <c r="M242" s="21"/>
      <c r="N242" s="21"/>
      <c r="O242" s="21"/>
      <c r="P242" s="21"/>
      <c r="Q242" s="20"/>
    </row>
    <row r="243" spans="1:17" x14ac:dyDescent="0.3">
      <c r="A243" s="18"/>
      <c r="B243" s="21"/>
      <c r="C243" s="21"/>
      <c r="D243" s="21"/>
      <c r="E243" s="21"/>
      <c r="F243" s="21"/>
      <c r="G243" s="21"/>
      <c r="H243" s="21"/>
      <c r="I243" s="21"/>
      <c r="J243" s="21"/>
      <c r="K243" s="21"/>
      <c r="L243" s="21"/>
      <c r="M243" s="21"/>
      <c r="N243" s="21"/>
      <c r="O243" s="21"/>
      <c r="P243" s="21"/>
      <c r="Q243" s="20"/>
    </row>
    <row r="244" spans="1:17" x14ac:dyDescent="0.3">
      <c r="A244" s="18"/>
      <c r="B244" s="21"/>
      <c r="C244" s="21"/>
      <c r="D244" s="21"/>
      <c r="E244" s="21"/>
      <c r="F244" s="21"/>
      <c r="G244" s="21"/>
      <c r="H244" s="21"/>
      <c r="I244" s="21"/>
      <c r="J244" s="21"/>
      <c r="K244" s="21"/>
      <c r="L244" s="21"/>
      <c r="M244" s="21"/>
      <c r="N244" s="21"/>
      <c r="O244" s="21"/>
      <c r="P244" s="21"/>
      <c r="Q244" s="20"/>
    </row>
    <row r="245" spans="1:17" x14ac:dyDescent="0.3">
      <c r="A245" s="18"/>
      <c r="B245" s="21"/>
      <c r="C245" s="21"/>
      <c r="D245" s="21"/>
      <c r="E245" s="21"/>
      <c r="F245" s="21"/>
      <c r="G245" s="21"/>
      <c r="H245" s="21"/>
      <c r="I245" s="21"/>
      <c r="J245" s="21"/>
      <c r="K245" s="21"/>
      <c r="L245" s="21"/>
      <c r="M245" s="21"/>
      <c r="N245" s="21"/>
      <c r="O245" s="21"/>
      <c r="P245" s="21"/>
      <c r="Q245" s="20"/>
    </row>
    <row r="246" spans="1:17" x14ac:dyDescent="0.3">
      <c r="A246" s="18"/>
      <c r="B246" s="21"/>
      <c r="C246" s="21"/>
      <c r="D246" s="21"/>
      <c r="E246" s="21"/>
      <c r="F246" s="21"/>
      <c r="G246" s="21"/>
      <c r="H246" s="21"/>
      <c r="I246" s="21"/>
      <c r="J246" s="21"/>
      <c r="K246" s="21"/>
      <c r="L246" s="21"/>
      <c r="M246" s="21"/>
      <c r="N246" s="21"/>
      <c r="O246" s="21"/>
      <c r="P246" s="21"/>
      <c r="Q246" s="20"/>
    </row>
    <row r="247" spans="1:17" x14ac:dyDescent="0.3">
      <c r="A247" s="18"/>
      <c r="B247" s="21"/>
      <c r="C247" s="21"/>
      <c r="D247" s="21"/>
      <c r="E247" s="21"/>
      <c r="F247" s="21"/>
      <c r="G247" s="21"/>
      <c r="H247" s="21"/>
      <c r="I247" s="21"/>
      <c r="J247" s="21"/>
      <c r="K247" s="21"/>
      <c r="L247" s="21"/>
      <c r="M247" s="21"/>
      <c r="N247" s="21"/>
      <c r="O247" s="21"/>
      <c r="P247" s="21"/>
      <c r="Q247" s="20"/>
    </row>
    <row r="248" spans="1:17" x14ac:dyDescent="0.3">
      <c r="A248" s="18"/>
      <c r="B248" s="21"/>
      <c r="C248" s="21"/>
      <c r="D248" s="21"/>
      <c r="E248" s="21"/>
      <c r="F248" s="21"/>
      <c r="G248" s="21"/>
      <c r="H248" s="21"/>
      <c r="I248" s="21"/>
      <c r="J248" s="21"/>
      <c r="K248" s="21"/>
      <c r="L248" s="21"/>
      <c r="M248" s="21"/>
      <c r="N248" s="21"/>
      <c r="O248" s="21"/>
      <c r="P248" s="21"/>
      <c r="Q248" s="20"/>
    </row>
    <row r="249" spans="1:17" x14ac:dyDescent="0.3">
      <c r="A249" s="18"/>
      <c r="B249" s="21"/>
      <c r="C249" s="21"/>
      <c r="D249" s="21"/>
      <c r="E249" s="21"/>
      <c r="F249" s="21"/>
      <c r="G249" s="21"/>
      <c r="H249" s="21"/>
      <c r="I249" s="21"/>
      <c r="J249" s="21"/>
      <c r="K249" s="21"/>
      <c r="L249" s="21"/>
      <c r="M249" s="21"/>
      <c r="N249" s="21"/>
      <c r="O249" s="21"/>
      <c r="P249" s="21"/>
      <c r="Q249" s="20"/>
    </row>
    <row r="250" spans="1:17" x14ac:dyDescent="0.3">
      <c r="A250" s="18"/>
      <c r="B250" s="21"/>
      <c r="C250" s="21"/>
      <c r="D250" s="21"/>
      <c r="E250" s="21"/>
      <c r="F250" s="21"/>
      <c r="G250" s="21"/>
      <c r="H250" s="21"/>
      <c r="I250" s="21"/>
      <c r="J250" s="21"/>
      <c r="K250" s="21"/>
      <c r="L250" s="21"/>
      <c r="M250" s="21"/>
      <c r="N250" s="21"/>
      <c r="O250" s="21"/>
      <c r="P250" s="21"/>
      <c r="Q250" s="20"/>
    </row>
    <row r="251" spans="1:17" x14ac:dyDescent="0.3">
      <c r="A251" s="18"/>
      <c r="B251" s="21"/>
      <c r="C251" s="21"/>
      <c r="D251" s="21"/>
      <c r="E251" s="21"/>
      <c r="F251" s="21"/>
      <c r="G251" s="21"/>
      <c r="H251" s="21"/>
      <c r="I251" s="21"/>
      <c r="J251" s="21"/>
      <c r="K251" s="21"/>
      <c r="L251" s="21"/>
      <c r="M251" s="21"/>
      <c r="N251" s="21"/>
      <c r="O251" s="21"/>
      <c r="P251" s="21"/>
      <c r="Q251" s="20"/>
    </row>
    <row r="252" spans="1:17" x14ac:dyDescent="0.3">
      <c r="A252" s="18"/>
      <c r="B252" s="21"/>
      <c r="C252" s="21"/>
      <c r="D252" s="21"/>
      <c r="E252" s="21"/>
      <c r="F252" s="21"/>
      <c r="G252" s="21"/>
      <c r="H252" s="21"/>
      <c r="I252" s="21"/>
      <c r="J252" s="21"/>
      <c r="K252" s="21"/>
      <c r="L252" s="21"/>
      <c r="M252" s="21"/>
      <c r="N252" s="21"/>
      <c r="O252" s="21"/>
      <c r="P252" s="21"/>
      <c r="Q252" s="20"/>
    </row>
    <row r="253" spans="1:17" x14ac:dyDescent="0.3">
      <c r="A253" s="18"/>
      <c r="B253" s="21"/>
      <c r="C253" s="21"/>
      <c r="D253" s="21"/>
      <c r="E253" s="21"/>
      <c r="F253" s="21"/>
      <c r="G253" s="21"/>
      <c r="H253" s="21"/>
      <c r="I253" s="21"/>
      <c r="J253" s="21"/>
      <c r="K253" s="21"/>
      <c r="L253" s="21"/>
      <c r="M253" s="21"/>
      <c r="N253" s="21"/>
      <c r="O253" s="21"/>
      <c r="P253" s="21"/>
      <c r="Q253" s="20"/>
    </row>
    <row r="254" spans="1:17" x14ac:dyDescent="0.3">
      <c r="A254" s="18"/>
      <c r="B254" s="190" t="s">
        <v>1851</v>
      </c>
      <c r="C254" s="21"/>
      <c r="D254" s="21"/>
      <c r="E254" s="101" t="s">
        <v>3506</v>
      </c>
      <c r="F254" s="21"/>
      <c r="G254" s="21"/>
      <c r="H254" s="21"/>
      <c r="I254" s="21"/>
      <c r="J254" s="21"/>
      <c r="K254" s="21"/>
      <c r="L254" s="21"/>
      <c r="M254" s="21"/>
      <c r="N254" s="21"/>
      <c r="O254" s="21"/>
      <c r="P254" s="21"/>
      <c r="Q254" s="20"/>
    </row>
    <row r="255" spans="1:17" x14ac:dyDescent="0.3">
      <c r="A255" s="18"/>
      <c r="B255" s="42" t="b">
        <v>1</v>
      </c>
      <c r="C255" s="21"/>
      <c r="D255" s="21"/>
      <c r="E255" s="246" t="s">
        <v>3725</v>
      </c>
      <c r="F255" s="21"/>
      <c r="G255" s="21"/>
      <c r="H255" s="21"/>
      <c r="I255" s="21"/>
      <c r="J255" s="21"/>
      <c r="K255" s="21"/>
      <c r="L255" s="21"/>
      <c r="M255" s="21"/>
      <c r="N255" s="21"/>
      <c r="O255" s="21"/>
      <c r="P255" s="21"/>
      <c r="Q255" s="20"/>
    </row>
    <row r="256" spans="1:17" x14ac:dyDescent="0.3">
      <c r="A256" s="18"/>
      <c r="B256" s="21"/>
      <c r="C256" s="21"/>
      <c r="D256" s="21"/>
      <c r="E256" s="21"/>
      <c r="F256" s="21"/>
      <c r="G256" s="21"/>
      <c r="H256" s="21"/>
      <c r="I256" s="21"/>
      <c r="J256" s="21"/>
      <c r="K256" s="21"/>
      <c r="L256" s="21"/>
      <c r="M256" s="21"/>
      <c r="N256" s="21"/>
      <c r="O256" s="21"/>
      <c r="P256" s="21"/>
      <c r="Q256" s="20"/>
    </row>
    <row r="257" spans="1:17" x14ac:dyDescent="0.3">
      <c r="A257" s="18"/>
      <c r="B257" s="190" t="s">
        <v>1852</v>
      </c>
      <c r="C257" s="21"/>
      <c r="D257" s="21"/>
      <c r="E257" s="21"/>
      <c r="F257" s="21"/>
      <c r="G257" s="21"/>
      <c r="H257" s="21"/>
      <c r="I257" s="21"/>
      <c r="J257" s="21"/>
      <c r="K257" s="21"/>
      <c r="L257" s="21"/>
      <c r="M257" s="21"/>
      <c r="N257" s="21"/>
      <c r="O257" s="21"/>
      <c r="P257" s="21"/>
      <c r="Q257" s="20"/>
    </row>
    <row r="258" spans="1:17" x14ac:dyDescent="0.3">
      <c r="A258" s="18"/>
      <c r="B258" s="42"/>
      <c r="C258" s="21"/>
      <c r="D258" s="21"/>
      <c r="E258" s="21"/>
      <c r="F258" s="21"/>
      <c r="G258" s="21"/>
      <c r="H258" s="21"/>
      <c r="I258" s="21"/>
      <c r="J258" s="21"/>
      <c r="K258" s="21"/>
      <c r="L258" s="21"/>
      <c r="M258" s="21"/>
      <c r="N258" s="21"/>
      <c r="O258" s="21"/>
      <c r="P258" s="21"/>
      <c r="Q258" s="20"/>
    </row>
    <row r="259" spans="1:17" x14ac:dyDescent="0.3">
      <c r="A259" s="18"/>
      <c r="B259" s="21"/>
      <c r="C259" s="21"/>
      <c r="D259" s="21"/>
      <c r="E259" s="21"/>
      <c r="F259" s="21"/>
      <c r="G259" s="21"/>
      <c r="H259" s="21"/>
      <c r="I259" s="21"/>
      <c r="J259" s="21"/>
      <c r="K259" s="21"/>
      <c r="L259" s="21"/>
      <c r="M259" s="21"/>
      <c r="N259" s="21"/>
      <c r="O259" s="21"/>
      <c r="P259" s="21"/>
      <c r="Q259" s="20"/>
    </row>
    <row r="260" spans="1:17" x14ac:dyDescent="0.3">
      <c r="A260" s="18"/>
      <c r="B260" s="492" t="s">
        <v>1852</v>
      </c>
      <c r="C260" s="493"/>
      <c r="D260" s="21"/>
      <c r="E260" s="21"/>
      <c r="F260" s="21"/>
      <c r="G260" s="21"/>
      <c r="H260" s="21"/>
      <c r="I260" s="21"/>
      <c r="J260" s="21"/>
      <c r="K260" s="21"/>
      <c r="L260" s="21"/>
      <c r="M260" s="21"/>
      <c r="N260" s="21"/>
      <c r="O260" s="21"/>
      <c r="P260" s="21"/>
      <c r="Q260" s="20"/>
    </row>
    <row r="261" spans="1:17" x14ac:dyDescent="0.3">
      <c r="A261" s="18"/>
      <c r="B261" s="190" t="s">
        <v>1853</v>
      </c>
      <c r="C261" s="190" t="s">
        <v>390</v>
      </c>
      <c r="D261" s="21"/>
      <c r="E261" s="21"/>
      <c r="F261" s="21"/>
      <c r="G261" s="21"/>
      <c r="H261" s="21"/>
      <c r="I261" s="21"/>
      <c r="J261" s="21"/>
      <c r="K261" s="21"/>
      <c r="L261" s="21"/>
      <c r="M261" s="21"/>
      <c r="N261" s="21"/>
      <c r="O261" s="21"/>
      <c r="P261" s="21"/>
      <c r="Q261" s="20"/>
    </row>
    <row r="262" spans="1:17" x14ac:dyDescent="0.3">
      <c r="A262" s="18"/>
      <c r="B262" s="42" t="b">
        <v>1</v>
      </c>
      <c r="C262" s="42" t="b">
        <v>0</v>
      </c>
      <c r="D262" s="21"/>
      <c r="E262" s="21"/>
      <c r="F262" s="21"/>
      <c r="G262" s="21"/>
      <c r="H262" s="21"/>
      <c r="I262" s="21"/>
      <c r="J262" s="21"/>
      <c r="K262" s="21"/>
      <c r="L262" s="21"/>
      <c r="M262" s="21"/>
      <c r="N262" s="21"/>
      <c r="O262" s="21"/>
      <c r="P262" s="21"/>
      <c r="Q262" s="20"/>
    </row>
    <row r="263" spans="1:17" x14ac:dyDescent="0.3">
      <c r="A263" s="18"/>
      <c r="B263" s="315" t="s">
        <v>1854</v>
      </c>
      <c r="C263" s="42" t="b">
        <v>1</v>
      </c>
      <c r="D263" s="21"/>
      <c r="E263" s="21"/>
      <c r="F263" s="21"/>
      <c r="G263" s="21"/>
      <c r="H263" s="21"/>
      <c r="I263" s="21"/>
      <c r="J263" s="21"/>
      <c r="K263" s="21"/>
      <c r="L263" s="21"/>
      <c r="M263" s="21"/>
      <c r="N263" s="21"/>
      <c r="O263" s="21"/>
      <c r="P263" s="21"/>
      <c r="Q263" s="20"/>
    </row>
    <row r="264" spans="1:17" x14ac:dyDescent="0.3">
      <c r="A264" s="18"/>
      <c r="B264" s="315" t="s">
        <v>1855</v>
      </c>
      <c r="C264" s="42"/>
      <c r="D264" s="21"/>
      <c r="E264" s="21"/>
      <c r="F264" s="21"/>
      <c r="G264" s="21"/>
      <c r="H264" s="21"/>
      <c r="I264" s="21"/>
      <c r="J264" s="21"/>
      <c r="K264" s="21"/>
      <c r="L264" s="21"/>
      <c r="M264" s="21"/>
      <c r="N264" s="21"/>
      <c r="O264" s="21"/>
      <c r="P264" s="21"/>
      <c r="Q264" s="20"/>
    </row>
    <row r="265" spans="1:17" x14ac:dyDescent="0.3">
      <c r="A265" s="18"/>
      <c r="B265" s="315"/>
      <c r="C265" s="42"/>
      <c r="D265" s="21"/>
      <c r="E265" s="21"/>
      <c r="F265" s="21"/>
      <c r="G265" s="21"/>
      <c r="H265" s="21"/>
      <c r="I265" s="21"/>
      <c r="J265" s="21"/>
      <c r="K265" s="21"/>
      <c r="L265" s="21"/>
      <c r="M265" s="21"/>
      <c r="N265" s="21"/>
      <c r="O265" s="21"/>
      <c r="P265" s="21"/>
      <c r="Q265" s="20"/>
    </row>
    <row r="266" spans="1:17" x14ac:dyDescent="0.3">
      <c r="A266" s="18"/>
      <c r="B266" s="315"/>
      <c r="C266" s="42"/>
      <c r="D266" s="21"/>
      <c r="E266" s="21"/>
      <c r="F266" s="21"/>
      <c r="G266" s="21"/>
      <c r="H266" s="21"/>
      <c r="I266" s="21"/>
      <c r="J266" s="21"/>
      <c r="K266" s="21"/>
      <c r="L266" s="21"/>
      <c r="M266" s="21"/>
      <c r="N266" s="21"/>
      <c r="O266" s="21"/>
      <c r="P266" s="21"/>
      <c r="Q266" s="20"/>
    </row>
    <row r="267" spans="1:17" x14ac:dyDescent="0.3">
      <c r="A267" s="18"/>
      <c r="B267" s="21"/>
      <c r="C267" s="21"/>
      <c r="D267" s="21"/>
      <c r="E267" s="21"/>
      <c r="F267" s="21"/>
      <c r="G267" s="21"/>
      <c r="H267" s="21"/>
      <c r="I267" s="21"/>
      <c r="J267" s="21"/>
      <c r="K267" s="21"/>
      <c r="L267" s="21"/>
      <c r="M267" s="21"/>
      <c r="N267" s="21"/>
      <c r="O267" s="21"/>
      <c r="P267" s="21"/>
      <c r="Q267" s="20"/>
    </row>
    <row r="268" spans="1:17" x14ac:dyDescent="0.3">
      <c r="A268" s="18"/>
      <c r="B268" s="21"/>
      <c r="C268" s="21"/>
      <c r="D268" s="21"/>
      <c r="E268" s="21"/>
      <c r="F268" s="21"/>
      <c r="G268" s="21"/>
      <c r="H268" s="21"/>
      <c r="I268" s="21"/>
      <c r="J268" s="21"/>
      <c r="K268" s="21"/>
      <c r="L268" s="21"/>
      <c r="M268" s="21"/>
      <c r="N268" s="21"/>
      <c r="O268" s="21"/>
      <c r="P268" s="21"/>
      <c r="Q268" s="20"/>
    </row>
    <row r="269" spans="1:17" x14ac:dyDescent="0.3">
      <c r="A269" s="18"/>
      <c r="B269" s="21"/>
      <c r="C269" s="21"/>
      <c r="D269" s="21"/>
      <c r="E269" s="21"/>
      <c r="F269" s="21"/>
      <c r="G269" s="21"/>
      <c r="H269" s="21"/>
      <c r="I269" s="21"/>
      <c r="J269" s="21"/>
      <c r="K269" s="21"/>
      <c r="L269" s="21"/>
      <c r="M269" s="21"/>
      <c r="N269" s="21"/>
      <c r="O269" s="21"/>
      <c r="P269" s="21"/>
      <c r="Q269" s="20"/>
    </row>
    <row r="270" spans="1:17" x14ac:dyDescent="0.3">
      <c r="A270" s="18"/>
      <c r="B270" s="21"/>
      <c r="C270" s="21"/>
      <c r="D270" s="21"/>
      <c r="E270" s="21"/>
      <c r="F270" s="21"/>
      <c r="G270" s="21"/>
      <c r="H270" s="21"/>
      <c r="I270" s="21"/>
      <c r="J270" s="21"/>
      <c r="K270" s="21"/>
      <c r="L270" s="21"/>
      <c r="M270" s="21"/>
      <c r="N270" s="21"/>
      <c r="O270" s="21"/>
      <c r="P270" s="21"/>
      <c r="Q270" s="20"/>
    </row>
    <row r="271" spans="1:17" x14ac:dyDescent="0.3">
      <c r="A271" s="18"/>
      <c r="B271" s="21"/>
      <c r="C271" s="21"/>
      <c r="D271" s="21"/>
      <c r="E271" s="21"/>
      <c r="F271" s="21"/>
      <c r="G271" s="21"/>
      <c r="H271" s="21"/>
      <c r="I271" s="21"/>
      <c r="J271" s="21"/>
      <c r="K271" s="21"/>
      <c r="L271" s="21"/>
      <c r="M271" s="21"/>
      <c r="N271" s="21"/>
      <c r="O271" s="21"/>
      <c r="P271" s="21"/>
      <c r="Q271" s="20"/>
    </row>
    <row r="272" spans="1:17" x14ac:dyDescent="0.3">
      <c r="A272" s="18"/>
      <c r="B272" s="21"/>
      <c r="C272" s="21"/>
      <c r="D272" s="21"/>
      <c r="E272" s="21"/>
      <c r="F272" s="21"/>
      <c r="G272" s="21"/>
      <c r="H272" s="21"/>
      <c r="I272" s="21"/>
      <c r="J272" s="21"/>
      <c r="K272" s="21"/>
      <c r="L272" s="21"/>
      <c r="M272" s="21"/>
      <c r="N272" s="21"/>
      <c r="O272" s="21"/>
      <c r="P272" s="21"/>
      <c r="Q272" s="20"/>
    </row>
    <row r="273" spans="1:17" x14ac:dyDescent="0.3">
      <c r="A273" s="18"/>
      <c r="B273" s="21"/>
      <c r="C273" s="21"/>
      <c r="D273" s="21"/>
      <c r="E273" s="21"/>
      <c r="F273" s="21"/>
      <c r="G273" s="21"/>
      <c r="H273" s="21"/>
      <c r="I273" s="21"/>
      <c r="J273" s="21"/>
      <c r="K273" s="21"/>
      <c r="L273" s="21"/>
      <c r="M273" s="21"/>
      <c r="N273" s="21"/>
      <c r="O273" s="21"/>
      <c r="P273" s="21"/>
      <c r="Q273" s="20"/>
    </row>
    <row r="274" spans="1:17" x14ac:dyDescent="0.3">
      <c r="A274" s="18"/>
      <c r="B274" s="21"/>
      <c r="C274" s="21"/>
      <c r="D274" s="21"/>
      <c r="E274" s="21"/>
      <c r="F274" s="21"/>
      <c r="G274" s="21"/>
      <c r="H274" s="21"/>
      <c r="I274" s="21"/>
      <c r="J274" s="21"/>
      <c r="K274" s="21"/>
      <c r="L274" s="21"/>
      <c r="M274" s="21"/>
      <c r="N274" s="21"/>
      <c r="O274" s="21"/>
      <c r="P274" s="21"/>
      <c r="Q274" s="20"/>
    </row>
    <row r="275" spans="1:17" x14ac:dyDescent="0.3">
      <c r="A275" s="18"/>
      <c r="B275" s="21"/>
      <c r="C275" s="21"/>
      <c r="D275" s="21"/>
      <c r="E275" s="21"/>
      <c r="F275" s="21"/>
      <c r="G275" s="21"/>
      <c r="H275" s="21"/>
      <c r="I275" s="21"/>
      <c r="J275" s="21"/>
      <c r="K275" s="21"/>
      <c r="L275" s="21"/>
      <c r="M275" s="21"/>
      <c r="N275" s="21"/>
      <c r="O275" s="21"/>
      <c r="P275" s="21"/>
      <c r="Q275" s="20"/>
    </row>
    <row r="276" spans="1:17" x14ac:dyDescent="0.3">
      <c r="A276" s="18"/>
      <c r="B276" s="21"/>
      <c r="C276" s="21"/>
      <c r="D276" s="21"/>
      <c r="E276" s="21"/>
      <c r="F276" s="21"/>
      <c r="G276" s="21"/>
      <c r="H276" s="21"/>
      <c r="I276" s="21"/>
      <c r="J276" s="21"/>
      <c r="K276" s="21"/>
      <c r="L276" s="21"/>
      <c r="M276" s="21"/>
      <c r="N276" s="21"/>
      <c r="O276" s="21"/>
      <c r="P276" s="21"/>
      <c r="Q276" s="20"/>
    </row>
    <row r="277" spans="1:17" x14ac:dyDescent="0.3">
      <c r="A277" s="18"/>
      <c r="B277" s="21"/>
      <c r="C277" s="21"/>
      <c r="D277" s="21"/>
      <c r="E277" s="21"/>
      <c r="F277" s="21"/>
      <c r="G277" s="21"/>
      <c r="H277" s="21"/>
      <c r="I277" s="21"/>
      <c r="J277" s="21"/>
      <c r="K277" s="21"/>
      <c r="L277" s="21"/>
      <c r="M277" s="21"/>
      <c r="N277" s="21"/>
      <c r="O277" s="21"/>
      <c r="P277" s="21"/>
      <c r="Q277" s="20"/>
    </row>
    <row r="278" spans="1:17" x14ac:dyDescent="0.3">
      <c r="A278" s="18"/>
      <c r="B278" s="21"/>
      <c r="C278" s="21"/>
      <c r="D278" s="21"/>
      <c r="E278" s="21"/>
      <c r="F278" s="21"/>
      <c r="G278" s="21"/>
      <c r="H278" s="21"/>
      <c r="I278" s="21"/>
      <c r="J278" s="21"/>
      <c r="K278" s="21"/>
      <c r="L278" s="21"/>
      <c r="M278" s="21"/>
      <c r="N278" s="21"/>
      <c r="O278" s="21"/>
      <c r="P278" s="21"/>
      <c r="Q278" s="20"/>
    </row>
    <row r="279" spans="1:17" x14ac:dyDescent="0.3">
      <c r="A279" s="18"/>
      <c r="B279" s="21"/>
      <c r="C279" s="21"/>
      <c r="D279" s="21"/>
      <c r="E279" s="21"/>
      <c r="F279" s="21"/>
      <c r="G279" s="21"/>
      <c r="H279" s="21"/>
      <c r="I279" s="21"/>
      <c r="J279" s="21"/>
      <c r="K279" s="21"/>
      <c r="L279" s="21"/>
      <c r="M279" s="21"/>
      <c r="N279" s="21"/>
      <c r="O279" s="21"/>
      <c r="P279" s="21"/>
      <c r="Q279" s="20"/>
    </row>
    <row r="280" spans="1:17" x14ac:dyDescent="0.3">
      <c r="A280" s="18"/>
      <c r="B280" s="21"/>
      <c r="C280" s="21"/>
      <c r="D280" s="21"/>
      <c r="E280" s="21"/>
      <c r="F280" s="21"/>
      <c r="G280" s="21"/>
      <c r="H280" s="21"/>
      <c r="I280" s="21"/>
      <c r="J280" s="21"/>
      <c r="K280" s="21"/>
      <c r="L280" s="21"/>
      <c r="M280" s="21"/>
      <c r="N280" s="21"/>
      <c r="O280" s="21"/>
      <c r="P280" s="21"/>
      <c r="Q280" s="20"/>
    </row>
    <row r="281" spans="1:17" x14ac:dyDescent="0.3">
      <c r="A281" s="18"/>
      <c r="B281" s="21"/>
      <c r="C281" s="21"/>
      <c r="D281" s="21"/>
      <c r="E281" s="21"/>
      <c r="F281" s="21"/>
      <c r="G281" s="21"/>
      <c r="H281" s="21"/>
      <c r="I281" s="21"/>
      <c r="J281" s="21"/>
      <c r="K281" s="21"/>
      <c r="L281" s="21"/>
      <c r="M281" s="21"/>
      <c r="N281" s="21"/>
      <c r="O281" s="21"/>
      <c r="P281" s="21"/>
      <c r="Q281" s="20"/>
    </row>
    <row r="282" spans="1:17" x14ac:dyDescent="0.3">
      <c r="A282" s="18"/>
      <c r="B282" s="21"/>
      <c r="C282" s="21"/>
      <c r="D282" s="21"/>
      <c r="E282" s="21"/>
      <c r="F282" s="21"/>
      <c r="G282" s="21"/>
      <c r="H282" s="21"/>
      <c r="I282" s="21"/>
      <c r="J282" s="21"/>
      <c r="K282" s="21"/>
      <c r="L282" s="21"/>
      <c r="M282" s="21"/>
      <c r="N282" s="21"/>
      <c r="O282" s="21"/>
      <c r="P282" s="21"/>
      <c r="Q282" s="20"/>
    </row>
    <row r="283" spans="1:17" x14ac:dyDescent="0.3">
      <c r="A283" s="18"/>
      <c r="B283" s="21"/>
      <c r="C283" s="21"/>
      <c r="D283" s="21"/>
      <c r="E283" s="21"/>
      <c r="F283" s="21"/>
      <c r="G283" s="21"/>
      <c r="H283" s="21"/>
      <c r="I283" s="21"/>
      <c r="J283" s="21"/>
      <c r="K283" s="21"/>
      <c r="L283" s="21"/>
      <c r="M283" s="21"/>
      <c r="N283" s="21"/>
      <c r="O283" s="21"/>
      <c r="P283" s="21"/>
      <c r="Q283" s="20"/>
    </row>
    <row r="284" spans="1:17" x14ac:dyDescent="0.3">
      <c r="A284" s="18"/>
      <c r="B284" s="21"/>
      <c r="C284" s="21"/>
      <c r="D284" s="21"/>
      <c r="E284" s="21"/>
      <c r="F284" s="21"/>
      <c r="G284" s="21"/>
      <c r="H284" s="21"/>
      <c r="I284" s="21"/>
      <c r="J284" s="21"/>
      <c r="K284" s="21"/>
      <c r="L284" s="21"/>
      <c r="M284" s="21"/>
      <c r="N284" s="21"/>
      <c r="O284" s="21"/>
      <c r="P284" s="21"/>
      <c r="Q284" s="20"/>
    </row>
    <row r="285" spans="1:17" x14ac:dyDescent="0.3">
      <c r="A285" s="18"/>
      <c r="B285" s="21"/>
      <c r="C285" s="21"/>
      <c r="D285" s="21"/>
      <c r="E285" s="21"/>
      <c r="F285" s="21"/>
      <c r="G285" s="21"/>
      <c r="H285" s="21"/>
      <c r="I285" s="21"/>
      <c r="J285" s="21"/>
      <c r="K285" s="21"/>
      <c r="L285" s="21"/>
      <c r="M285" s="21"/>
      <c r="N285" s="21"/>
      <c r="O285" s="21"/>
      <c r="P285" s="21"/>
      <c r="Q285" s="20"/>
    </row>
    <row r="286" spans="1:17" x14ac:dyDescent="0.3">
      <c r="A286" s="18"/>
      <c r="B286" s="21"/>
      <c r="C286" s="21"/>
      <c r="D286" s="21"/>
      <c r="E286" s="21"/>
      <c r="F286" s="21"/>
      <c r="G286" s="21"/>
      <c r="H286" s="21"/>
      <c r="I286" s="21"/>
      <c r="J286" s="21"/>
      <c r="K286" s="21"/>
      <c r="L286" s="21"/>
      <c r="M286" s="21"/>
      <c r="N286" s="21"/>
      <c r="O286" s="21"/>
      <c r="P286" s="21"/>
      <c r="Q286" s="20"/>
    </row>
    <row r="287" spans="1:17" x14ac:dyDescent="0.3">
      <c r="A287" s="18"/>
      <c r="B287" s="21"/>
      <c r="C287" s="21"/>
      <c r="D287" s="21"/>
      <c r="E287" s="21"/>
      <c r="F287" s="21"/>
      <c r="G287" s="21"/>
      <c r="H287" s="21"/>
      <c r="I287" s="21"/>
      <c r="J287" s="21"/>
      <c r="K287" s="21"/>
      <c r="L287" s="21"/>
      <c r="M287" s="21"/>
      <c r="N287" s="21"/>
      <c r="O287" s="21"/>
      <c r="P287" s="21"/>
      <c r="Q287" s="20"/>
    </row>
    <row r="288" spans="1:17" x14ac:dyDescent="0.3">
      <c r="A288" s="18"/>
      <c r="B288" s="21"/>
      <c r="C288" s="21"/>
      <c r="D288" s="21"/>
      <c r="E288" s="21"/>
      <c r="F288" s="21"/>
      <c r="G288" s="21"/>
      <c r="H288" s="21"/>
      <c r="I288" s="21"/>
      <c r="J288" s="21"/>
      <c r="K288" s="21"/>
      <c r="L288" s="21"/>
      <c r="M288" s="21"/>
      <c r="N288" s="21"/>
      <c r="O288" s="21"/>
      <c r="P288" s="21"/>
      <c r="Q288" s="20"/>
    </row>
    <row r="289" spans="1:17" x14ac:dyDescent="0.3">
      <c r="A289" s="18"/>
      <c r="B289" s="21"/>
      <c r="C289" s="21"/>
      <c r="D289" s="21"/>
      <c r="E289" s="101" t="s">
        <v>3509</v>
      </c>
      <c r="F289" s="21"/>
      <c r="G289" s="21"/>
      <c r="H289" s="21"/>
      <c r="I289" s="21"/>
      <c r="J289" s="21"/>
      <c r="K289" s="21"/>
      <c r="L289" s="21"/>
      <c r="M289" s="21"/>
      <c r="N289" s="21"/>
      <c r="O289" s="21"/>
      <c r="P289" s="21"/>
      <c r="Q289" s="20"/>
    </row>
    <row r="290" spans="1:17" x14ac:dyDescent="0.3">
      <c r="A290" s="18"/>
      <c r="B290" s="21"/>
      <c r="C290" s="21"/>
      <c r="D290" s="21"/>
      <c r="E290" s="246" t="s">
        <v>3510</v>
      </c>
      <c r="F290" s="21"/>
      <c r="G290" s="21"/>
      <c r="H290" s="21"/>
      <c r="I290" s="21"/>
      <c r="J290" s="21"/>
      <c r="K290" s="21"/>
      <c r="L290" s="21"/>
      <c r="M290" s="21"/>
      <c r="N290" s="21"/>
      <c r="O290" s="21"/>
      <c r="P290" s="21"/>
      <c r="Q290" s="20"/>
    </row>
    <row r="291" spans="1:17" x14ac:dyDescent="0.3">
      <c r="A291" s="18"/>
      <c r="B291" s="21"/>
      <c r="C291" s="21"/>
      <c r="D291" s="21"/>
      <c r="E291" s="21"/>
      <c r="F291" s="21"/>
      <c r="G291" s="21"/>
      <c r="H291" s="21"/>
      <c r="I291" s="21"/>
      <c r="J291" s="21"/>
      <c r="K291" s="21"/>
      <c r="L291" s="21"/>
      <c r="M291" s="21"/>
      <c r="N291" s="21"/>
      <c r="O291" s="21"/>
      <c r="P291" s="21"/>
      <c r="Q291" s="20"/>
    </row>
    <row r="292" spans="1:17" x14ac:dyDescent="0.3">
      <c r="A292" s="18"/>
      <c r="B292" s="21"/>
      <c r="C292" s="21"/>
      <c r="D292" s="21"/>
      <c r="E292" s="21"/>
      <c r="F292" s="21"/>
      <c r="G292" s="21"/>
      <c r="H292" s="21"/>
      <c r="I292" s="21"/>
      <c r="J292" s="21"/>
      <c r="K292" s="21"/>
      <c r="L292" s="21"/>
      <c r="M292" s="21"/>
      <c r="N292" s="21"/>
      <c r="O292" s="21"/>
      <c r="P292" s="21"/>
      <c r="Q292" s="20"/>
    </row>
    <row r="293" spans="1:17" x14ac:dyDescent="0.3">
      <c r="A293" s="18"/>
      <c r="B293" s="21"/>
      <c r="C293" s="21"/>
      <c r="D293" s="21"/>
      <c r="E293" s="21"/>
      <c r="F293" s="21"/>
      <c r="G293" s="21"/>
      <c r="H293" s="21"/>
      <c r="I293" s="21"/>
      <c r="J293" s="21"/>
      <c r="K293" s="21"/>
      <c r="L293" s="21"/>
      <c r="M293" s="21"/>
      <c r="N293" s="21"/>
      <c r="O293" s="21"/>
      <c r="P293" s="21"/>
      <c r="Q293" s="20"/>
    </row>
    <row r="294" spans="1:17" x14ac:dyDescent="0.3">
      <c r="A294" s="18"/>
      <c r="B294" s="21"/>
      <c r="C294" s="21"/>
      <c r="D294" s="21"/>
      <c r="E294" s="21"/>
      <c r="F294" s="21"/>
      <c r="G294" s="21"/>
      <c r="H294" s="21"/>
      <c r="I294" s="21"/>
      <c r="J294" s="21"/>
      <c r="K294" s="21"/>
      <c r="L294" s="21"/>
      <c r="M294" s="21"/>
      <c r="N294" s="21"/>
      <c r="O294" s="21"/>
      <c r="P294" s="21"/>
      <c r="Q294" s="20"/>
    </row>
    <row r="295" spans="1:17" x14ac:dyDescent="0.3">
      <c r="A295" s="18"/>
      <c r="B295" s="21"/>
      <c r="C295" s="21"/>
      <c r="D295" s="21"/>
      <c r="E295" s="21"/>
      <c r="F295" s="21"/>
      <c r="G295" s="21"/>
      <c r="H295" s="21"/>
      <c r="I295" s="21"/>
      <c r="J295" s="21"/>
      <c r="K295" s="21"/>
      <c r="L295" s="21"/>
      <c r="M295" s="21"/>
      <c r="N295" s="21"/>
      <c r="O295" s="21"/>
      <c r="P295" s="21"/>
      <c r="Q295" s="20"/>
    </row>
    <row r="296" spans="1:17" x14ac:dyDescent="0.3">
      <c r="A296" s="18"/>
      <c r="B296" s="21"/>
      <c r="C296" s="21"/>
      <c r="D296" s="21"/>
      <c r="E296" s="21"/>
      <c r="F296" s="21"/>
      <c r="G296" s="21"/>
      <c r="H296" s="21"/>
      <c r="I296" s="21"/>
      <c r="J296" s="21"/>
      <c r="K296" s="21"/>
      <c r="L296" s="21"/>
      <c r="M296" s="21"/>
      <c r="N296" s="21"/>
      <c r="O296" s="21"/>
      <c r="P296" s="21"/>
      <c r="Q296" s="20"/>
    </row>
    <row r="297" spans="1:17" ht="15" thickBot="1" x14ac:dyDescent="0.35">
      <c r="A297" s="22"/>
      <c r="B297" s="23"/>
      <c r="C297" s="23"/>
      <c r="D297" s="23"/>
      <c r="E297" s="23"/>
      <c r="F297" s="23"/>
      <c r="G297" s="23"/>
      <c r="H297" s="23"/>
      <c r="I297" s="23"/>
      <c r="J297" s="23"/>
      <c r="K297" s="23"/>
      <c r="L297" s="23"/>
      <c r="M297" s="23"/>
      <c r="N297" s="23"/>
      <c r="O297" s="23"/>
      <c r="P297" s="23"/>
      <c r="Q297" s="24"/>
    </row>
  </sheetData>
  <mergeCells count="188">
    <mergeCell ref="S171:T173"/>
    <mergeCell ref="U171:AA173"/>
    <mergeCell ref="AB171:AB173"/>
    <mergeCell ref="S163:AB163"/>
    <mergeCell ref="S164:T166"/>
    <mergeCell ref="U164:AB166"/>
    <mergeCell ref="S167:T167"/>
    <mergeCell ref="U167:AA167"/>
    <mergeCell ref="S168:T170"/>
    <mergeCell ref="U168:AA170"/>
    <mergeCell ref="AB168:AB170"/>
    <mergeCell ref="S29:T31"/>
    <mergeCell ref="U29:AA31"/>
    <mergeCell ref="AB29:AB31"/>
    <mergeCell ref="S60:T62"/>
    <mergeCell ref="U60:AA62"/>
    <mergeCell ref="AB60:AB62"/>
    <mergeCell ref="S112:T114"/>
    <mergeCell ref="U112:AA114"/>
    <mergeCell ref="AB112:AB114"/>
    <mergeCell ref="S46:T48"/>
    <mergeCell ref="U46:AA48"/>
    <mergeCell ref="AB46:AB48"/>
    <mergeCell ref="U97:AB99"/>
    <mergeCell ref="S40:T42"/>
    <mergeCell ref="U40:AA42"/>
    <mergeCell ref="AB40:AB42"/>
    <mergeCell ref="S43:T45"/>
    <mergeCell ref="U43:AA45"/>
    <mergeCell ref="AB43:AB45"/>
    <mergeCell ref="S35:AB35"/>
    <mergeCell ref="S36:T38"/>
    <mergeCell ref="U36:AB38"/>
    <mergeCell ref="S39:T39"/>
    <mergeCell ref="U39:AA39"/>
    <mergeCell ref="U185:AA187"/>
    <mergeCell ref="S185:T187"/>
    <mergeCell ref="S182:T184"/>
    <mergeCell ref="U182:AA184"/>
    <mergeCell ref="AB182:AB184"/>
    <mergeCell ref="U150:AA150"/>
    <mergeCell ref="S81:T81"/>
    <mergeCell ref="S140:T142"/>
    <mergeCell ref="U140:AA142"/>
    <mergeCell ref="AB140:AB142"/>
    <mergeCell ref="S135:AB135"/>
    <mergeCell ref="S136:T138"/>
    <mergeCell ref="U136:AB138"/>
    <mergeCell ref="S139:T139"/>
    <mergeCell ref="U139:AA139"/>
    <mergeCell ref="U119:AB121"/>
    <mergeCell ref="S122:T122"/>
    <mergeCell ref="U122:AA122"/>
    <mergeCell ref="U81:AA81"/>
    <mergeCell ref="U147:AB149"/>
    <mergeCell ref="S150:T150"/>
    <mergeCell ref="S123:T125"/>
    <mergeCell ref="U123:AA125"/>
    <mergeCell ref="AB123:AB125"/>
    <mergeCell ref="B157:H157"/>
    <mergeCell ref="S151:T153"/>
    <mergeCell ref="U151:AA153"/>
    <mergeCell ref="AB151:AB153"/>
    <mergeCell ref="S154:T156"/>
    <mergeCell ref="U154:AA156"/>
    <mergeCell ref="AB154:AB156"/>
    <mergeCell ref="S146:AB146"/>
    <mergeCell ref="S126:T128"/>
    <mergeCell ref="U126:AA128"/>
    <mergeCell ref="AB126:AB128"/>
    <mergeCell ref="S118:AB118"/>
    <mergeCell ref="S119:T121"/>
    <mergeCell ref="C70:L70"/>
    <mergeCell ref="S66:AB66"/>
    <mergeCell ref="S67:T69"/>
    <mergeCell ref="U67:AB69"/>
    <mergeCell ref="S70:T70"/>
    <mergeCell ref="U70:AA70"/>
    <mergeCell ref="S71:T73"/>
    <mergeCell ref="U71:AA73"/>
    <mergeCell ref="AB71:AB73"/>
    <mergeCell ref="S77:AB77"/>
    <mergeCell ref="S96:AB96"/>
    <mergeCell ref="S97:T99"/>
    <mergeCell ref="S100:T100"/>
    <mergeCell ref="U100:AA100"/>
    <mergeCell ref="S101:AB101"/>
    <mergeCell ref="S108:T108"/>
    <mergeCell ref="U108:AA108"/>
    <mergeCell ref="S109:T111"/>
    <mergeCell ref="U109:AA111"/>
    <mergeCell ref="AB109:AB111"/>
    <mergeCell ref="S105:T107"/>
    <mergeCell ref="U105:AB107"/>
    <mergeCell ref="S23:T25"/>
    <mergeCell ref="S8:T10"/>
    <mergeCell ref="U8:AA10"/>
    <mergeCell ref="AB8:AB10"/>
    <mergeCell ref="S3:AB3"/>
    <mergeCell ref="S4:T6"/>
    <mergeCell ref="U4:AB6"/>
    <mergeCell ref="S7:T7"/>
    <mergeCell ref="U7:AA7"/>
    <mergeCell ref="S11:T13"/>
    <mergeCell ref="U11:AA13"/>
    <mergeCell ref="AB11:AB13"/>
    <mergeCell ref="U23:AA25"/>
    <mergeCell ref="AB23:AB25"/>
    <mergeCell ref="S14:T16"/>
    <mergeCell ref="U14:AA16"/>
    <mergeCell ref="AB14:AB16"/>
    <mergeCell ref="AB17:AB19"/>
    <mergeCell ref="S17:T19"/>
    <mergeCell ref="U17:AA19"/>
    <mergeCell ref="S20:T22"/>
    <mergeCell ref="U20:AA22"/>
    <mergeCell ref="AB20:AB22"/>
    <mergeCell ref="S26:T28"/>
    <mergeCell ref="U26:AA28"/>
    <mergeCell ref="AB26:AB28"/>
    <mergeCell ref="U197:AA199"/>
    <mergeCell ref="AB57:AB59"/>
    <mergeCell ref="S104:AB104"/>
    <mergeCell ref="U56:AA56"/>
    <mergeCell ref="S52:AB52"/>
    <mergeCell ref="S53:T55"/>
    <mergeCell ref="U53:AB55"/>
    <mergeCell ref="S56:T56"/>
    <mergeCell ref="S82:T84"/>
    <mergeCell ref="U82:AA84"/>
    <mergeCell ref="AB82:AB84"/>
    <mergeCell ref="S88:AB88"/>
    <mergeCell ref="S57:T59"/>
    <mergeCell ref="S78:T80"/>
    <mergeCell ref="U78:AB80"/>
    <mergeCell ref="S89:T91"/>
    <mergeCell ref="U89:AB91"/>
    <mergeCell ref="S92:T92"/>
    <mergeCell ref="U92:AA92"/>
    <mergeCell ref="S93:AB93"/>
    <mergeCell ref="U57:AA59"/>
    <mergeCell ref="AB197:AB199"/>
    <mergeCell ref="AB129:AB131"/>
    <mergeCell ref="S191:T193"/>
    <mergeCell ref="U191:AA193"/>
    <mergeCell ref="AB191:AB193"/>
    <mergeCell ref="S194:T196"/>
    <mergeCell ref="U194:AA196"/>
    <mergeCell ref="AB194:AB196"/>
    <mergeCell ref="S197:T199"/>
    <mergeCell ref="S147:T149"/>
    <mergeCell ref="S129:T131"/>
    <mergeCell ref="U129:AA131"/>
    <mergeCell ref="S188:T190"/>
    <mergeCell ref="S157:T159"/>
    <mergeCell ref="U157:AA159"/>
    <mergeCell ref="AB157:AB159"/>
    <mergeCell ref="AB188:AB190"/>
    <mergeCell ref="U188:AA190"/>
    <mergeCell ref="U181:AA181"/>
    <mergeCell ref="S181:T181"/>
    <mergeCell ref="U178:AB180"/>
    <mergeCell ref="S178:T180"/>
    <mergeCell ref="S177:AB177"/>
    <mergeCell ref="AB185:AB187"/>
    <mergeCell ref="B260:C260"/>
    <mergeCell ref="S214:T216"/>
    <mergeCell ref="U214:AA216"/>
    <mergeCell ref="AB214:AB216"/>
    <mergeCell ref="S203:AB203"/>
    <mergeCell ref="S204:T206"/>
    <mergeCell ref="U204:AB206"/>
    <mergeCell ref="S207:T207"/>
    <mergeCell ref="U207:AA207"/>
    <mergeCell ref="S208:T210"/>
    <mergeCell ref="U208:AA210"/>
    <mergeCell ref="AB208:AB210"/>
    <mergeCell ref="S211:T213"/>
    <mergeCell ref="U211:AA213"/>
    <mergeCell ref="AB211:AB213"/>
    <mergeCell ref="S220:AB220"/>
    <mergeCell ref="S221:T223"/>
    <mergeCell ref="U221:AB223"/>
    <mergeCell ref="S224:T224"/>
    <mergeCell ref="U224:AA224"/>
    <mergeCell ref="S225:T227"/>
    <mergeCell ref="U225:AA227"/>
    <mergeCell ref="AB225:AB227"/>
  </mergeCells>
  <hyperlinks>
    <hyperlink ref="C31" r:id="rId1" xr:uid="{00000000-0004-0000-2400-000000000000}"/>
  </hyperlinks>
  <pageMargins left="0.7" right="0.7" top="0.75" bottom="0.75" header="0.3" footer="0.3"/>
  <pageSetup orientation="portrait"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3"/>
  <dimension ref="A1:AF102"/>
  <sheetViews>
    <sheetView zoomScaleNormal="100" workbookViewId="0">
      <pane ySplit="1" topLeftCell="A2" activePane="bottomLeft" state="frozen"/>
      <selection activeCell="C33" sqref="C33"/>
      <selection pane="bottomLeft" activeCell="A2" sqref="A2"/>
    </sheetView>
  </sheetViews>
  <sheetFormatPr defaultColWidth="9.21875" defaultRowHeight="14.4" x14ac:dyDescent="0.3"/>
  <cols>
    <col min="2" max="2" width="25.77734375" customWidth="1"/>
    <col min="3" max="3" width="17.21875" customWidth="1"/>
    <col min="4" max="4" width="10.44140625" customWidth="1"/>
    <col min="5" max="5" width="11.5546875" customWidth="1"/>
    <col min="6" max="6" width="12.77734375" customWidth="1"/>
    <col min="7" max="7" width="7" customWidth="1"/>
    <col min="8" max="8" width="22.77734375" bestFit="1" customWidth="1"/>
    <col min="9" max="9" width="49.77734375" bestFit="1" customWidth="1"/>
    <col min="10" max="10" width="39.5546875" bestFit="1" customWidth="1"/>
    <col min="11" max="11" width="22.21875" customWidth="1"/>
    <col min="12" max="12" width="14.44140625" customWidth="1"/>
    <col min="13" max="13" width="19" bestFit="1" customWidth="1"/>
    <col min="14" max="14" width="39.44140625" customWidth="1"/>
    <col min="15" max="15" width="9.77734375" customWidth="1"/>
    <col min="16" max="16" width="8" customWidth="1"/>
    <col min="17" max="17" width="9.44140625" customWidth="1"/>
    <col min="18" max="18" width="8.5546875" customWidth="1"/>
    <col min="19" max="20" width="22.21875" customWidth="1"/>
    <col min="21" max="21" width="25.44140625" customWidth="1"/>
    <col min="25" max="31" width="13.77734375" customWidth="1"/>
  </cols>
  <sheetData>
    <row r="1" spans="1:32" ht="34.5" customHeight="1" thickBot="1" x14ac:dyDescent="0.35">
      <c r="A1" s="292" t="s">
        <v>1580</v>
      </c>
      <c r="B1" s="473" t="e" vm="1">
        <v>#VALUE!</v>
      </c>
      <c r="C1" s="8" t="s">
        <v>2080</v>
      </c>
      <c r="D1" s="27"/>
      <c r="E1" s="16"/>
      <c r="F1" s="16"/>
      <c r="G1" s="16"/>
      <c r="H1" s="16"/>
      <c r="I1" s="16"/>
      <c r="J1" s="16"/>
      <c r="K1" s="16"/>
      <c r="L1" s="16"/>
      <c r="M1" s="16"/>
      <c r="N1" s="16"/>
      <c r="O1" s="16"/>
      <c r="P1" s="16"/>
      <c r="Q1" s="16"/>
      <c r="R1" s="16"/>
      <c r="S1" s="16"/>
      <c r="T1" s="16"/>
      <c r="U1" s="19"/>
    </row>
    <row r="2" spans="1:32" ht="15" customHeight="1" x14ac:dyDescent="0.3">
      <c r="A2" s="18"/>
      <c r="B2" s="25"/>
      <c r="C2" s="25"/>
      <c r="D2" s="21"/>
      <c r="E2" s="21"/>
      <c r="F2" s="21"/>
      <c r="G2" s="21"/>
      <c r="H2" s="21"/>
      <c r="I2" s="21"/>
      <c r="J2" s="21"/>
      <c r="K2" s="21"/>
      <c r="L2" s="21"/>
      <c r="M2" s="21"/>
      <c r="N2" s="21"/>
      <c r="O2" s="21"/>
      <c r="P2" s="21"/>
      <c r="Q2" s="21"/>
      <c r="R2" s="21"/>
      <c r="S2" s="21"/>
      <c r="T2" s="21"/>
      <c r="U2" s="20"/>
    </row>
    <row r="3" spans="1:32" ht="15" customHeight="1" x14ac:dyDescent="0.3">
      <c r="A3" s="18"/>
      <c r="B3" s="3" t="s">
        <v>2086</v>
      </c>
      <c r="C3" s="3" t="s">
        <v>2087</v>
      </c>
      <c r="D3" s="3" t="s">
        <v>2088</v>
      </c>
      <c r="E3" s="3" t="s">
        <v>2089</v>
      </c>
      <c r="F3" s="3" t="s">
        <v>2090</v>
      </c>
      <c r="G3" s="3" t="s">
        <v>2091</v>
      </c>
      <c r="H3" s="3" t="s">
        <v>2092</v>
      </c>
      <c r="I3" s="3" t="s">
        <v>2093</v>
      </c>
      <c r="J3" s="3" t="s">
        <v>2094</v>
      </c>
      <c r="K3" s="3" t="s">
        <v>2213</v>
      </c>
      <c r="L3" s="3" t="s">
        <v>2095</v>
      </c>
      <c r="M3" s="3" t="s">
        <v>1</v>
      </c>
      <c r="N3" s="3" t="s">
        <v>2096</v>
      </c>
      <c r="O3" s="3" t="s">
        <v>2097</v>
      </c>
      <c r="P3" s="3" t="s">
        <v>2114</v>
      </c>
      <c r="Q3" s="3" t="s">
        <v>2098</v>
      </c>
      <c r="R3" s="3" t="s">
        <v>2099</v>
      </c>
      <c r="S3" s="21"/>
      <c r="T3" s="101" t="s">
        <v>3511</v>
      </c>
      <c r="U3" s="20"/>
      <c r="W3" s="486" t="s">
        <v>3511</v>
      </c>
      <c r="X3" s="486"/>
      <c r="Y3" s="486"/>
      <c r="Z3" s="486"/>
      <c r="AA3" s="486"/>
      <c r="AB3" s="486"/>
      <c r="AC3" s="486"/>
      <c r="AD3" s="486"/>
      <c r="AE3" s="486"/>
      <c r="AF3" s="486"/>
    </row>
    <row r="4" spans="1:32" ht="15" customHeight="1" x14ac:dyDescent="0.3">
      <c r="A4" s="18"/>
      <c r="B4" s="181" t="s">
        <v>3867</v>
      </c>
      <c r="C4" s="181" t="s">
        <v>2115</v>
      </c>
      <c r="D4" s="181"/>
      <c r="E4" s="181" t="s">
        <v>2100</v>
      </c>
      <c r="F4" s="181"/>
      <c r="G4" s="181"/>
      <c r="H4" s="181" t="s">
        <v>2119</v>
      </c>
      <c r="I4" s="181"/>
      <c r="J4" s="181"/>
      <c r="K4" s="181"/>
      <c r="L4" s="181"/>
      <c r="M4" s="181"/>
      <c r="N4" s="181"/>
      <c r="O4" s="181"/>
      <c r="P4" s="181"/>
      <c r="Q4" s="181"/>
      <c r="R4" s="181"/>
      <c r="S4" s="21"/>
      <c r="T4" s="152" t="s">
        <v>3512</v>
      </c>
      <c r="U4" s="20"/>
      <c r="W4" s="487" t="s">
        <v>333</v>
      </c>
      <c r="X4" s="487"/>
      <c r="Y4" s="487" t="s">
        <v>2081</v>
      </c>
      <c r="Z4" s="487"/>
      <c r="AA4" s="487"/>
      <c r="AB4" s="487"/>
      <c r="AC4" s="487"/>
      <c r="AD4" s="487"/>
      <c r="AE4" s="487"/>
      <c r="AF4" s="487"/>
    </row>
    <row r="5" spans="1:32" x14ac:dyDescent="0.3">
      <c r="A5" s="18"/>
      <c r="B5" s="181" t="s">
        <v>3867</v>
      </c>
      <c r="C5" s="181" t="s">
        <v>2115</v>
      </c>
      <c r="D5" s="181" t="s">
        <v>2112</v>
      </c>
      <c r="E5" s="181" t="s">
        <v>2101</v>
      </c>
      <c r="F5" s="181"/>
      <c r="G5" s="181" t="s">
        <v>2105</v>
      </c>
      <c r="H5" s="181" t="s">
        <v>2102</v>
      </c>
      <c r="I5" s="181" t="s">
        <v>2107</v>
      </c>
      <c r="J5" s="181" t="str" cm="1">
        <f t="array" ref="J5">_xll.U.FORMAT_STRING("set({0},TRUE)","\"&amp;_xll.U.RANGE_REF(B29))</f>
        <v>set([REF]{{34856#2238124317712!R29C2}},TRUE)</v>
      </c>
      <c r="K5" s="181"/>
      <c r="L5" s="181"/>
      <c r="M5" s="181"/>
      <c r="N5" s="181" t="s">
        <v>2106</v>
      </c>
      <c r="O5" s="181" t="s">
        <v>2150</v>
      </c>
      <c r="P5" s="181"/>
      <c r="Q5" s="181"/>
      <c r="R5" s="181"/>
      <c r="S5" s="21"/>
      <c r="T5" s="21"/>
      <c r="U5" s="20"/>
      <c r="W5" s="487"/>
      <c r="X5" s="487"/>
      <c r="Y5" s="487"/>
      <c r="Z5" s="487"/>
      <c r="AA5" s="487"/>
      <c r="AB5" s="487"/>
      <c r="AC5" s="487"/>
      <c r="AD5" s="487"/>
      <c r="AE5" s="487"/>
      <c r="AF5" s="487"/>
    </row>
    <row r="6" spans="1:32" x14ac:dyDescent="0.3">
      <c r="A6" s="18"/>
      <c r="B6" s="181" t="s">
        <v>3867</v>
      </c>
      <c r="C6" s="181" t="s">
        <v>2115</v>
      </c>
      <c r="D6" s="181" t="s">
        <v>2112</v>
      </c>
      <c r="E6" s="181" t="s">
        <v>2101</v>
      </c>
      <c r="F6" s="181"/>
      <c r="G6" s="181"/>
      <c r="H6" s="181" t="s">
        <v>2108</v>
      </c>
      <c r="I6" s="181" t="str" cm="1">
        <f t="array" ref="I6">_xll.U.RANGE_REF(O31)</f>
        <v>[REF]{{34856#2238124317712!R31C15}}</v>
      </c>
      <c r="J6" s="181" t="s">
        <v>2111</v>
      </c>
      <c r="K6" s="181" t="s">
        <v>2215</v>
      </c>
      <c r="L6" s="181"/>
      <c r="M6" s="181"/>
      <c r="N6" s="181" t="s">
        <v>2116</v>
      </c>
      <c r="O6" s="181"/>
      <c r="P6" s="181"/>
      <c r="Q6" s="181"/>
      <c r="R6" s="181"/>
      <c r="S6" s="21"/>
      <c r="T6" s="21"/>
      <c r="U6" s="20"/>
      <c r="W6" s="487"/>
      <c r="X6" s="487"/>
      <c r="Y6" s="487"/>
      <c r="Z6" s="487"/>
      <c r="AA6" s="487"/>
      <c r="AB6" s="487"/>
      <c r="AC6" s="487"/>
      <c r="AD6" s="487"/>
      <c r="AE6" s="487"/>
      <c r="AF6" s="487"/>
    </row>
    <row r="7" spans="1:32" x14ac:dyDescent="0.3">
      <c r="A7" s="18"/>
      <c r="B7" s="181" t="s">
        <v>3867</v>
      </c>
      <c r="C7" s="181" t="s">
        <v>2115</v>
      </c>
      <c r="D7" s="181" t="s">
        <v>2112</v>
      </c>
      <c r="E7" s="181" t="s">
        <v>2101</v>
      </c>
      <c r="F7" s="181"/>
      <c r="G7" s="181"/>
      <c r="H7" s="181" t="s">
        <v>2109</v>
      </c>
      <c r="I7" s="181" t="str" cm="1">
        <f t="array" ref="I7">_xll.U.RANGE_REF(O37)</f>
        <v>[REF]{{34856#2238124317712!R37C15}}</v>
      </c>
      <c r="J7" s="181" t="s">
        <v>2110</v>
      </c>
      <c r="K7" s="181"/>
      <c r="L7" s="181"/>
      <c r="M7" s="181"/>
      <c r="N7" s="181" t="s">
        <v>2117</v>
      </c>
      <c r="O7" s="181"/>
      <c r="P7" s="181"/>
      <c r="Q7" s="181"/>
      <c r="R7" s="181"/>
      <c r="S7" s="21"/>
      <c r="T7" s="21"/>
      <c r="U7" s="20"/>
      <c r="W7" s="483" t="s">
        <v>323</v>
      </c>
      <c r="X7" s="483"/>
      <c r="Y7" s="483" t="s">
        <v>1</v>
      </c>
      <c r="Z7" s="483"/>
      <c r="AA7" s="483"/>
      <c r="AB7" s="483"/>
      <c r="AC7" s="483"/>
      <c r="AD7" s="483"/>
      <c r="AE7" s="483"/>
      <c r="AF7" s="85" t="s">
        <v>324</v>
      </c>
    </row>
    <row r="8" spans="1:32" x14ac:dyDescent="0.3">
      <c r="A8" s="18"/>
      <c r="B8" s="181" t="s">
        <v>3867</v>
      </c>
      <c r="C8" s="181" t="s">
        <v>2115</v>
      </c>
      <c r="D8" s="181" t="s">
        <v>2160</v>
      </c>
      <c r="E8" s="181" t="s">
        <v>2118</v>
      </c>
      <c r="F8" s="181"/>
      <c r="G8" s="181" t="s">
        <v>2105</v>
      </c>
      <c r="H8" s="181" t="s">
        <v>2129</v>
      </c>
      <c r="I8" s="181" t="str" cm="1">
        <f t="array" ref="I8">_xll.U.RANGE_REF(O59)</f>
        <v>[REF]{{34856#2238124317712!R59C15}}</v>
      </c>
      <c r="J8" s="181"/>
      <c r="K8" s="181"/>
      <c r="L8" s="181"/>
      <c r="M8" s="181"/>
      <c r="N8" s="181"/>
      <c r="O8" s="181"/>
      <c r="P8" s="181"/>
      <c r="Q8" s="181"/>
      <c r="R8" s="181"/>
      <c r="S8" s="21"/>
      <c r="T8" s="21"/>
      <c r="U8" s="20"/>
      <c r="W8" s="487" t="s">
        <v>2082</v>
      </c>
      <c r="X8" s="487"/>
      <c r="Y8" s="487" t="s">
        <v>2196</v>
      </c>
      <c r="Z8" s="487"/>
      <c r="AA8" s="487"/>
      <c r="AB8" s="487"/>
      <c r="AC8" s="487"/>
      <c r="AD8" s="487"/>
      <c r="AE8" s="487"/>
      <c r="AF8" s="509" t="s">
        <v>325</v>
      </c>
    </row>
    <row r="9" spans="1:32" x14ac:dyDescent="0.3">
      <c r="A9" s="18"/>
      <c r="B9" s="181" t="s">
        <v>3867</v>
      </c>
      <c r="C9" s="181" t="s">
        <v>2115</v>
      </c>
      <c r="D9" s="181" t="s">
        <v>2160</v>
      </c>
      <c r="E9" s="181" t="s">
        <v>2123</v>
      </c>
      <c r="F9" s="181" t="s">
        <v>2129</v>
      </c>
      <c r="G9" s="181"/>
      <c r="H9" s="181"/>
      <c r="I9" s="181"/>
      <c r="J9" s="181"/>
      <c r="K9" s="181"/>
      <c r="L9" s="181" t="s">
        <v>2128</v>
      </c>
      <c r="M9" s="181"/>
      <c r="N9" s="181"/>
      <c r="O9" s="181"/>
      <c r="P9" s="181"/>
      <c r="Q9" s="181"/>
      <c r="R9" s="181"/>
      <c r="S9" s="21"/>
      <c r="T9" s="21"/>
      <c r="U9" s="20"/>
      <c r="W9" s="487"/>
      <c r="X9" s="487"/>
      <c r="Y9" s="487"/>
      <c r="Z9" s="487"/>
      <c r="AA9" s="487"/>
      <c r="AB9" s="487"/>
      <c r="AC9" s="487"/>
      <c r="AD9" s="487"/>
      <c r="AE9" s="487"/>
      <c r="AF9" s="509"/>
    </row>
    <row r="10" spans="1:32" x14ac:dyDescent="0.3">
      <c r="A10" s="18"/>
      <c r="B10" s="181" t="s">
        <v>3867</v>
      </c>
      <c r="C10" s="181" t="s">
        <v>2115</v>
      </c>
      <c r="D10" s="181" t="s">
        <v>2160</v>
      </c>
      <c r="E10" s="181" t="s">
        <v>2101</v>
      </c>
      <c r="F10" s="181" t="s">
        <v>2129</v>
      </c>
      <c r="G10" s="181" t="s">
        <v>2105</v>
      </c>
      <c r="H10" s="181" t="s">
        <v>181</v>
      </c>
      <c r="I10" s="181" t="str" cm="1">
        <f t="array" ref="I10">_xll.U.RANGE_REF(O43)&amp;",transparency(true)"</f>
        <v>[REF]{{34856#2238124317712!R43C15}},transparency(true)</v>
      </c>
      <c r="J10" s="181" t="s">
        <v>2122</v>
      </c>
      <c r="K10" s="181"/>
      <c r="L10" s="181"/>
      <c r="M10" s="181" t="s">
        <v>2126</v>
      </c>
      <c r="N10" s="181"/>
      <c r="O10" s="181"/>
      <c r="P10" s="181"/>
      <c r="Q10" s="181"/>
      <c r="R10" s="181"/>
      <c r="S10" s="21"/>
      <c r="T10" s="21"/>
      <c r="U10" s="20"/>
      <c r="W10" s="487"/>
      <c r="X10" s="487"/>
      <c r="Y10" s="487"/>
      <c r="Z10" s="487"/>
      <c r="AA10" s="487"/>
      <c r="AB10" s="487"/>
      <c r="AC10" s="487"/>
      <c r="AD10" s="487"/>
      <c r="AE10" s="487"/>
      <c r="AF10" s="509"/>
    </row>
    <row r="11" spans="1:32" ht="15" customHeight="1" x14ac:dyDescent="0.3">
      <c r="A11" s="18"/>
      <c r="B11" s="181" t="s">
        <v>3867</v>
      </c>
      <c r="C11" s="181" t="s">
        <v>2115</v>
      </c>
      <c r="D11" s="181" t="s">
        <v>2160</v>
      </c>
      <c r="E11" s="181" t="s">
        <v>2101</v>
      </c>
      <c r="F11" s="181" t="s">
        <v>2129</v>
      </c>
      <c r="G11" s="181" t="s">
        <v>2105</v>
      </c>
      <c r="H11" s="181" t="s">
        <v>589</v>
      </c>
      <c r="I11" s="181" t="str" cm="1">
        <f t="array" ref="I11">_xll.U.RANGE_REF(O48)&amp;",transparency(true)"</f>
        <v>[REF]{{34856#2238124317712!R48C15}},transparency(true)</v>
      </c>
      <c r="J11" s="181" t="s">
        <v>2125</v>
      </c>
      <c r="K11" s="181"/>
      <c r="L11" s="181"/>
      <c r="M11" s="181" t="s">
        <v>2127</v>
      </c>
      <c r="N11" s="181"/>
      <c r="O11" s="181"/>
      <c r="P11" s="181"/>
      <c r="Q11" s="181"/>
      <c r="R11" s="181"/>
      <c r="T11" s="21"/>
      <c r="U11" s="20"/>
      <c r="W11" s="484" t="s">
        <v>2083</v>
      </c>
      <c r="X11" s="484"/>
      <c r="Y11" s="484" t="s">
        <v>2084</v>
      </c>
      <c r="Z11" s="484"/>
      <c r="AA11" s="484"/>
      <c r="AB11" s="484"/>
      <c r="AC11" s="484"/>
      <c r="AD11" s="484"/>
      <c r="AE11" s="484"/>
      <c r="AF11" s="485" t="s">
        <v>326</v>
      </c>
    </row>
    <row r="12" spans="1:32" x14ac:dyDescent="0.3">
      <c r="A12" s="18"/>
      <c r="B12" s="181" t="s">
        <v>3867</v>
      </c>
      <c r="C12" s="181" t="s">
        <v>2115</v>
      </c>
      <c r="D12" s="181" t="s">
        <v>2160</v>
      </c>
      <c r="E12" s="181" t="s">
        <v>2123</v>
      </c>
      <c r="F12" s="181" t="s">
        <v>2129</v>
      </c>
      <c r="G12" s="181"/>
      <c r="H12" s="181"/>
      <c r="I12" s="181"/>
      <c r="J12" s="181"/>
      <c r="K12" s="181"/>
      <c r="L12" s="181" t="s">
        <v>2159</v>
      </c>
      <c r="M12" s="181"/>
      <c r="N12" s="181"/>
      <c r="O12" s="181"/>
      <c r="P12" s="181"/>
      <c r="Q12" s="181"/>
      <c r="R12" s="181"/>
      <c r="S12" s="21"/>
      <c r="T12" s="21"/>
      <c r="U12" s="20"/>
      <c r="W12" s="484"/>
      <c r="X12" s="484"/>
      <c r="Y12" s="484"/>
      <c r="Z12" s="484"/>
      <c r="AA12" s="484"/>
      <c r="AB12" s="484"/>
      <c r="AC12" s="484"/>
      <c r="AD12" s="484"/>
      <c r="AE12" s="484"/>
      <c r="AF12" s="485"/>
    </row>
    <row r="13" spans="1:32" x14ac:dyDescent="0.3">
      <c r="A13" s="18"/>
      <c r="B13" s="181" t="s">
        <v>3867</v>
      </c>
      <c r="C13" s="181" t="s">
        <v>2115</v>
      </c>
      <c r="D13" s="181" t="s">
        <v>2160</v>
      </c>
      <c r="E13" s="181" t="s">
        <v>2118</v>
      </c>
      <c r="F13" s="181" t="s">
        <v>2129</v>
      </c>
      <c r="G13" s="181"/>
      <c r="H13" s="181" t="s">
        <v>2131</v>
      </c>
      <c r="I13" s="296" t="str" cm="1">
        <f t="array" ref="I13">"screenshot("&amp;_xll.U.RANGE_REF(Q30:R34)&amp;")"</f>
        <v>screenshot([REF]{{34856#2238124317712!R30C17:R34C18}})</v>
      </c>
      <c r="J13" s="181"/>
      <c r="K13" s="181"/>
      <c r="L13" s="181"/>
      <c r="M13" s="181"/>
      <c r="N13" s="181" t="s">
        <v>2137</v>
      </c>
      <c r="O13" s="181" t="s">
        <v>2138</v>
      </c>
      <c r="P13" s="181"/>
      <c r="Q13" s="181"/>
      <c r="R13" s="181"/>
      <c r="S13" s="21"/>
      <c r="T13" s="21"/>
      <c r="U13" s="20"/>
      <c r="W13" s="484"/>
      <c r="X13" s="484"/>
      <c r="Y13" s="484"/>
      <c r="Z13" s="484"/>
      <c r="AA13" s="484"/>
      <c r="AB13" s="484"/>
      <c r="AC13" s="484"/>
      <c r="AD13" s="484"/>
      <c r="AE13" s="484"/>
      <c r="AF13" s="485"/>
    </row>
    <row r="14" spans="1:32" ht="15" customHeight="1" x14ac:dyDescent="0.3">
      <c r="A14" s="18"/>
      <c r="B14" s="181" t="s">
        <v>3867</v>
      </c>
      <c r="C14" s="181" t="s">
        <v>2115</v>
      </c>
      <c r="D14" s="181" t="s">
        <v>2160</v>
      </c>
      <c r="E14" s="181" t="s">
        <v>2101</v>
      </c>
      <c r="F14" s="181" t="s">
        <v>2132</v>
      </c>
      <c r="G14" s="181" t="s">
        <v>2105</v>
      </c>
      <c r="H14" s="181" t="s">
        <v>181</v>
      </c>
      <c r="I14" s="181" t="s">
        <v>2896</v>
      </c>
      <c r="J14" s="181" t="s">
        <v>2133</v>
      </c>
      <c r="K14" s="181"/>
      <c r="L14" s="181"/>
      <c r="M14" s="181"/>
      <c r="N14" s="181" t="s">
        <v>2135</v>
      </c>
      <c r="O14" s="181"/>
      <c r="P14" s="181"/>
      <c r="Q14" s="181"/>
      <c r="R14" s="181"/>
      <c r="S14" s="21"/>
      <c r="T14" s="21"/>
      <c r="U14" s="20"/>
      <c r="W14" s="126" t="s">
        <v>328</v>
      </c>
    </row>
    <row r="15" spans="1:32" x14ac:dyDescent="0.3">
      <c r="A15" s="18"/>
      <c r="B15" s="181" t="s">
        <v>3867</v>
      </c>
      <c r="C15" s="181" t="s">
        <v>2115</v>
      </c>
      <c r="D15" s="181" t="s">
        <v>2160</v>
      </c>
      <c r="E15" s="181" t="s">
        <v>2101</v>
      </c>
      <c r="F15" s="181" t="s">
        <v>2132</v>
      </c>
      <c r="G15" s="181" t="s">
        <v>2105</v>
      </c>
      <c r="H15" s="181" t="s">
        <v>589</v>
      </c>
      <c r="I15" s="181" t="s">
        <v>2897</v>
      </c>
      <c r="J15" s="181" t="s">
        <v>2134</v>
      </c>
      <c r="K15" s="181"/>
      <c r="L15" s="181"/>
      <c r="M15" s="181"/>
      <c r="N15" s="181" t="s">
        <v>2136</v>
      </c>
      <c r="O15" s="181"/>
      <c r="P15" s="181"/>
      <c r="Q15" s="181"/>
      <c r="R15" s="181"/>
      <c r="S15" s="21"/>
      <c r="T15" s="21"/>
      <c r="U15" s="20"/>
    </row>
    <row r="16" spans="1:32" x14ac:dyDescent="0.3">
      <c r="A16" s="18"/>
      <c r="B16" s="181" t="s">
        <v>3867</v>
      </c>
      <c r="C16" s="181" t="s">
        <v>2115</v>
      </c>
      <c r="D16" s="181" t="s">
        <v>2160</v>
      </c>
      <c r="E16" s="181" t="s">
        <v>2123</v>
      </c>
      <c r="F16" s="181" t="s">
        <v>2129</v>
      </c>
      <c r="G16" s="181"/>
      <c r="H16" s="181"/>
      <c r="I16" s="181"/>
      <c r="J16" s="181"/>
      <c r="K16" s="181"/>
      <c r="L16" s="181" t="s">
        <v>2149</v>
      </c>
      <c r="M16" s="181"/>
      <c r="N16" s="181"/>
      <c r="O16" s="181"/>
      <c r="P16" s="181"/>
      <c r="Q16" s="181"/>
      <c r="R16" s="181"/>
      <c r="S16" s="21"/>
      <c r="T16" s="21"/>
      <c r="U16" s="20"/>
    </row>
    <row r="17" spans="1:32" x14ac:dyDescent="0.3">
      <c r="A17" s="18"/>
      <c r="B17" s="181" t="s">
        <v>3867</v>
      </c>
      <c r="C17" s="181" t="s">
        <v>2115</v>
      </c>
      <c r="D17" s="181" t="s">
        <v>2160</v>
      </c>
      <c r="E17" s="181" t="s">
        <v>2101</v>
      </c>
      <c r="F17" s="181" t="s">
        <v>2129</v>
      </c>
      <c r="G17" s="181" t="s">
        <v>2105</v>
      </c>
      <c r="H17" s="181" t="s">
        <v>2033</v>
      </c>
      <c r="I17" s="296" t="str" cm="1">
        <f t="array" ref="I17">"ProposeNewTime,"&amp;_xll.U.RANGE_REF(O55)</f>
        <v>ProposeNewTime,[REF]{{34856#2238124317712!R55C15}}</v>
      </c>
      <c r="J17" s="181" t="str" cm="1">
        <f t="array" ref="J17">_xll.U.RANGE_REF(B37)</f>
        <v>[REF]{{34856#2238124317712!R37C2}}</v>
      </c>
      <c r="K17" s="181"/>
      <c r="L17" s="181"/>
      <c r="M17" s="181"/>
      <c r="N17" s="181"/>
      <c r="O17" s="181"/>
      <c r="P17" s="181"/>
      <c r="Q17" s="181"/>
      <c r="R17" s="181"/>
      <c r="S17" s="21"/>
      <c r="T17" s="21"/>
      <c r="U17" s="20"/>
      <c r="W17" s="486" t="s">
        <v>3513</v>
      </c>
      <c r="X17" s="486"/>
      <c r="Y17" s="486"/>
      <c r="Z17" s="486"/>
      <c r="AA17" s="486"/>
      <c r="AB17" s="486"/>
      <c r="AC17" s="486"/>
      <c r="AD17" s="486"/>
      <c r="AE17" s="486"/>
      <c r="AF17" s="486"/>
    </row>
    <row r="18" spans="1:32" x14ac:dyDescent="0.3">
      <c r="A18" s="18"/>
      <c r="B18" s="21"/>
      <c r="C18" s="21"/>
      <c r="D18" s="21"/>
      <c r="E18" s="21"/>
      <c r="F18" s="21"/>
      <c r="G18" s="21"/>
      <c r="H18" s="21"/>
      <c r="I18" s="21"/>
      <c r="J18" s="21"/>
      <c r="K18" s="21"/>
      <c r="L18" s="21"/>
      <c r="M18" s="21"/>
      <c r="N18" s="21"/>
      <c r="O18" s="21"/>
      <c r="P18" s="21"/>
      <c r="Q18" s="21"/>
      <c r="R18" s="21"/>
      <c r="S18" s="21"/>
      <c r="T18" s="21"/>
      <c r="U18" s="20"/>
      <c r="W18" s="487" t="s">
        <v>333</v>
      </c>
      <c r="X18" s="487"/>
      <c r="Y18" s="487" t="s">
        <v>2079</v>
      </c>
      <c r="Z18" s="487"/>
      <c r="AA18" s="487"/>
      <c r="AB18" s="487"/>
      <c r="AC18" s="487"/>
      <c r="AD18" s="487"/>
      <c r="AE18" s="487"/>
      <c r="AF18" s="487"/>
    </row>
    <row r="19" spans="1:32" x14ac:dyDescent="0.3">
      <c r="A19" s="18"/>
      <c r="B19" s="3" t="s">
        <v>2086</v>
      </c>
      <c r="C19" s="3" t="s">
        <v>2087</v>
      </c>
      <c r="D19" s="3" t="s">
        <v>2088</v>
      </c>
      <c r="E19" s="3" t="s">
        <v>2089</v>
      </c>
      <c r="F19" s="3" t="s">
        <v>2090</v>
      </c>
      <c r="G19" s="3" t="s">
        <v>2091</v>
      </c>
      <c r="H19" s="3" t="s">
        <v>2092</v>
      </c>
      <c r="I19" s="3" t="s">
        <v>2093</v>
      </c>
      <c r="J19" s="3" t="s">
        <v>2094</v>
      </c>
      <c r="K19" s="3" t="s">
        <v>2213</v>
      </c>
      <c r="L19" s="3" t="s">
        <v>2095</v>
      </c>
      <c r="M19" s="3" t="s">
        <v>1</v>
      </c>
      <c r="N19" s="3" t="s">
        <v>2096</v>
      </c>
      <c r="O19" s="3" t="s">
        <v>2097</v>
      </c>
      <c r="P19" s="3" t="s">
        <v>2114</v>
      </c>
      <c r="Q19" s="3" t="s">
        <v>2098</v>
      </c>
      <c r="R19" s="3" t="s">
        <v>2099</v>
      </c>
      <c r="S19" s="21"/>
      <c r="T19" s="101" t="s">
        <v>3511</v>
      </c>
      <c r="U19" s="20"/>
      <c r="W19" s="487"/>
      <c r="X19" s="487"/>
      <c r="Y19" s="487"/>
      <c r="Z19" s="487"/>
      <c r="AA19" s="487"/>
      <c r="AB19" s="487"/>
      <c r="AC19" s="487"/>
      <c r="AD19" s="487"/>
      <c r="AE19" s="487"/>
      <c r="AF19" s="487"/>
    </row>
    <row r="20" spans="1:32" x14ac:dyDescent="0.3">
      <c r="A20" s="18"/>
      <c r="B20" s="181" t="s">
        <v>3867</v>
      </c>
      <c r="C20" s="181" t="s">
        <v>2140</v>
      </c>
      <c r="D20" s="181"/>
      <c r="E20" s="181" t="s">
        <v>2101</v>
      </c>
      <c r="F20" s="181" t="s">
        <v>263</v>
      </c>
      <c r="G20" s="181"/>
      <c r="H20" s="181" t="s">
        <v>2124</v>
      </c>
      <c r="I20" s="181" t="s">
        <v>2156</v>
      </c>
      <c r="J20" s="181" t="str" cm="1">
        <f t="array" ref="J20">"set("&amp;_xll.U.RANGE_REF(B40)&amp;",now())"</f>
        <v>set([REF]{{34856#2238124317712!R40C2}},now())</v>
      </c>
      <c r="K20" s="181"/>
      <c r="L20" s="181"/>
      <c r="M20" s="181"/>
      <c r="N20" s="181" t="s">
        <v>2151</v>
      </c>
      <c r="O20" s="181"/>
      <c r="P20" s="181"/>
      <c r="Q20" s="181"/>
      <c r="R20" s="181"/>
      <c r="S20" s="21"/>
      <c r="T20" s="152" t="s">
        <v>3514</v>
      </c>
      <c r="U20" s="20"/>
      <c r="W20" s="487"/>
      <c r="X20" s="487"/>
      <c r="Y20" s="487"/>
      <c r="Z20" s="487"/>
      <c r="AA20" s="487"/>
      <c r="AB20" s="487"/>
      <c r="AC20" s="487"/>
      <c r="AD20" s="487"/>
      <c r="AE20" s="487"/>
      <c r="AF20" s="487"/>
    </row>
    <row r="21" spans="1:32" x14ac:dyDescent="0.3">
      <c r="A21" s="18"/>
      <c r="B21" s="181" t="s">
        <v>3867</v>
      </c>
      <c r="C21" s="181" t="s">
        <v>2140</v>
      </c>
      <c r="D21" s="181"/>
      <c r="E21" s="181" t="s">
        <v>2101</v>
      </c>
      <c r="F21" s="181" t="s">
        <v>263</v>
      </c>
      <c r="G21" s="181"/>
      <c r="H21" s="181" t="s">
        <v>2147</v>
      </c>
      <c r="I21" s="181" t="s">
        <v>2139</v>
      </c>
      <c r="J21" s="181" t="str" cm="1">
        <f t="array" ref="J21">"clear("&amp;_xll.U.RANGE_REF(B40)&amp;")"</f>
        <v>clear([REF]{{34856#2238124317712!R40C2}})</v>
      </c>
      <c r="K21" s="181"/>
      <c r="L21" s="181"/>
      <c r="M21" s="181"/>
      <c r="N21" s="181" t="s">
        <v>2154</v>
      </c>
      <c r="O21" s="181"/>
      <c r="P21" s="181"/>
      <c r="Q21" s="181"/>
      <c r="R21" s="181"/>
      <c r="S21" s="21"/>
      <c r="T21" s="21"/>
      <c r="U21" s="20"/>
      <c r="W21" s="483" t="s">
        <v>323</v>
      </c>
      <c r="X21" s="483"/>
      <c r="Y21" s="483" t="s">
        <v>1</v>
      </c>
      <c r="Z21" s="483"/>
      <c r="AA21" s="483"/>
      <c r="AB21" s="483"/>
      <c r="AC21" s="483"/>
      <c r="AD21" s="483"/>
      <c r="AE21" s="483"/>
      <c r="AF21" s="85" t="s">
        <v>324</v>
      </c>
    </row>
    <row r="22" spans="1:32" x14ac:dyDescent="0.3">
      <c r="A22" s="18"/>
      <c r="B22" s="181" t="s">
        <v>3867</v>
      </c>
      <c r="C22" s="181" t="s">
        <v>2140</v>
      </c>
      <c r="D22" s="181"/>
      <c r="E22" s="181" t="s">
        <v>2101</v>
      </c>
      <c r="F22" s="181" t="s">
        <v>2153</v>
      </c>
      <c r="G22" s="181"/>
      <c r="H22" s="181" t="s">
        <v>2146</v>
      </c>
      <c r="I22" s="181" t="s">
        <v>2156</v>
      </c>
      <c r="J22" s="181" t="str" cm="1">
        <f t="array" ref="J22">"set("&amp;_xll.U.RANGE_REF(C40)&amp;",activeworksheet())"</f>
        <v>set([REF]{{34856#2238124317712!R40C3}},activeworksheet())</v>
      </c>
      <c r="K22" s="181"/>
      <c r="L22" s="181"/>
      <c r="M22" s="181"/>
      <c r="N22" s="181" t="s">
        <v>2152</v>
      </c>
      <c r="O22" s="181"/>
      <c r="P22" s="181"/>
      <c r="Q22" s="181"/>
      <c r="R22" s="181"/>
      <c r="S22" s="21"/>
      <c r="T22" s="21"/>
      <c r="U22" s="20"/>
      <c r="W22" s="484" t="s">
        <v>894</v>
      </c>
      <c r="X22" s="484"/>
      <c r="Y22" s="484" t="s">
        <v>2085</v>
      </c>
      <c r="Z22" s="484"/>
      <c r="AA22" s="484"/>
      <c r="AB22" s="484"/>
      <c r="AC22" s="484"/>
      <c r="AD22" s="484"/>
      <c r="AE22" s="484"/>
      <c r="AF22" s="485" t="s">
        <v>326</v>
      </c>
    </row>
    <row r="23" spans="1:32" x14ac:dyDescent="0.3">
      <c r="A23" s="18"/>
      <c r="B23" s="181" t="s">
        <v>3867</v>
      </c>
      <c r="C23" s="181" t="s">
        <v>2140</v>
      </c>
      <c r="D23" s="181"/>
      <c r="E23" s="181" t="s">
        <v>2101</v>
      </c>
      <c r="F23" s="181" t="s">
        <v>2153</v>
      </c>
      <c r="G23" s="181"/>
      <c r="H23" s="181" t="s">
        <v>2148</v>
      </c>
      <c r="I23" s="181" t="s">
        <v>2139</v>
      </c>
      <c r="J23" s="181" t="str" cm="1">
        <f t="array" ref="J23">"clear("&amp;_xll.U.RANGE_REF(C40)&amp;")"</f>
        <v>clear([REF]{{34856#2238124317712!R40C3}})</v>
      </c>
      <c r="K23" s="181"/>
      <c r="L23" s="181"/>
      <c r="M23" s="181"/>
      <c r="N23" s="181" t="s">
        <v>2155</v>
      </c>
      <c r="O23" s="181"/>
      <c r="P23" s="181"/>
      <c r="Q23" s="181"/>
      <c r="R23" s="181"/>
      <c r="S23" s="21"/>
      <c r="T23" s="21"/>
      <c r="U23" s="20"/>
      <c r="W23" s="484"/>
      <c r="X23" s="484"/>
      <c r="Y23" s="484"/>
      <c r="Z23" s="484"/>
      <c r="AA23" s="484"/>
      <c r="AB23" s="484"/>
      <c r="AC23" s="484"/>
      <c r="AD23" s="484"/>
      <c r="AE23" s="484"/>
      <c r="AF23" s="485"/>
    </row>
    <row r="24" spans="1:32" x14ac:dyDescent="0.3">
      <c r="A24" s="18"/>
      <c r="B24" s="181" t="s">
        <v>3867</v>
      </c>
      <c r="C24" s="181" t="s">
        <v>2115</v>
      </c>
      <c r="D24" s="181" t="s">
        <v>2160</v>
      </c>
      <c r="E24" s="181" t="s">
        <v>2123</v>
      </c>
      <c r="F24" s="181" t="s">
        <v>2129</v>
      </c>
      <c r="G24" s="181"/>
      <c r="H24" s="181"/>
      <c r="I24" s="181"/>
      <c r="J24" s="181"/>
      <c r="K24" s="181"/>
      <c r="L24" s="181" t="s">
        <v>2141</v>
      </c>
      <c r="M24" s="181"/>
      <c r="N24" s="181"/>
      <c r="O24" s="181"/>
      <c r="P24" s="181"/>
      <c r="Q24" s="181"/>
      <c r="R24" s="181"/>
      <c r="S24" s="21"/>
      <c r="T24" s="21"/>
      <c r="U24" s="20"/>
      <c r="W24" s="484"/>
      <c r="X24" s="484"/>
      <c r="Y24" s="484"/>
      <c r="Z24" s="484"/>
      <c r="AA24" s="484"/>
      <c r="AB24" s="484"/>
      <c r="AC24" s="484"/>
      <c r="AD24" s="484"/>
      <c r="AE24" s="484"/>
      <c r="AF24" s="485"/>
    </row>
    <row r="25" spans="1:32" x14ac:dyDescent="0.3">
      <c r="A25" s="18"/>
      <c r="B25" s="181" t="s">
        <v>3867</v>
      </c>
      <c r="C25" s="181" t="s">
        <v>2115</v>
      </c>
      <c r="D25" s="181" t="s">
        <v>2160</v>
      </c>
      <c r="E25" s="181" t="s">
        <v>2101</v>
      </c>
      <c r="F25" s="181" t="s">
        <v>2129</v>
      </c>
      <c r="G25" s="181"/>
      <c r="H25" s="181" t="s">
        <v>2157</v>
      </c>
      <c r="I25" s="296" t="s">
        <v>2142</v>
      </c>
      <c r="J25" s="181" t="str" cm="1">
        <f t="array" ref="J25">"set("&amp;_xll.U.RANGE_REF(C40)&amp;",activeworkbook())"</f>
        <v>set([REF]{{34856#2238124317712!R40C3}},activeworkbook())</v>
      </c>
      <c r="K25" s="181"/>
      <c r="L25" s="181"/>
      <c r="M25" s="181"/>
      <c r="N25" s="181"/>
      <c r="O25" s="181"/>
      <c r="P25" s="181"/>
      <c r="Q25" s="181"/>
      <c r="R25" s="181"/>
      <c r="S25" s="21"/>
      <c r="T25" s="21"/>
      <c r="U25" s="20"/>
      <c r="W25" s="126" t="s">
        <v>328</v>
      </c>
    </row>
    <row r="26" spans="1:32" x14ac:dyDescent="0.3">
      <c r="A26" s="18"/>
      <c r="B26" s="21"/>
      <c r="C26" s="21"/>
      <c r="D26" s="21"/>
      <c r="E26" s="21"/>
      <c r="F26" s="21"/>
      <c r="G26" s="21"/>
      <c r="H26" s="21"/>
      <c r="I26" s="21"/>
      <c r="J26" s="21"/>
      <c r="K26" s="21"/>
      <c r="L26" s="21"/>
      <c r="M26" s="21"/>
      <c r="N26" s="21"/>
      <c r="O26" s="21"/>
      <c r="P26" s="21"/>
      <c r="Q26" s="21"/>
      <c r="R26" s="21"/>
      <c r="S26" s="21"/>
      <c r="T26" s="21"/>
      <c r="U26" s="20"/>
    </row>
    <row r="27" spans="1:32" x14ac:dyDescent="0.3">
      <c r="A27" s="18"/>
      <c r="B27" s="483" t="s">
        <v>2143</v>
      </c>
      <c r="C27" s="483"/>
      <c r="D27" s="483"/>
      <c r="E27" s="21"/>
      <c r="F27" s="21"/>
      <c r="G27" s="21"/>
      <c r="H27" s="21"/>
      <c r="I27" s="21"/>
      <c r="J27" s="21"/>
      <c r="K27" s="21"/>
      <c r="L27" s="21"/>
      <c r="M27" s="21"/>
      <c r="N27" s="21"/>
      <c r="O27" s="21"/>
      <c r="P27" s="21"/>
      <c r="Q27" s="21"/>
      <c r="R27" s="21"/>
      <c r="S27" s="21"/>
      <c r="T27" s="21"/>
      <c r="U27" s="20"/>
    </row>
    <row r="28" spans="1:32" ht="15" customHeight="1" x14ac:dyDescent="0.3">
      <c r="A28" s="18"/>
      <c r="B28" s="9" t="s">
        <v>2103</v>
      </c>
      <c r="C28" s="9" t="s">
        <v>2068</v>
      </c>
      <c r="D28" s="9" t="s">
        <v>2094</v>
      </c>
      <c r="E28" s="21"/>
      <c r="F28" s="21"/>
      <c r="G28" s="21"/>
      <c r="H28" s="21"/>
      <c r="I28" s="21"/>
      <c r="J28" s="21"/>
      <c r="K28" s="21"/>
      <c r="L28" s="21"/>
      <c r="M28" s="21"/>
      <c r="N28" s="21"/>
      <c r="O28" s="337" t="s">
        <v>2113</v>
      </c>
      <c r="P28" s="21"/>
      <c r="Q28" s="337" t="s">
        <v>2130</v>
      </c>
      <c r="R28" s="21"/>
      <c r="S28" s="21"/>
      <c r="T28" s="21"/>
      <c r="U28" s="20"/>
    </row>
    <row r="29" spans="1:32" ht="15" customHeight="1" x14ac:dyDescent="0.3">
      <c r="A29" s="18"/>
      <c r="B29" s="109" t="b">
        <v>0</v>
      </c>
      <c r="C29" s="338" cm="1">
        <f t="array" ref="C29">_xll.U.REVERT(B29,FALSE)</f>
        <v>46072.453056759259</v>
      </c>
      <c r="D29" s="109" t="str" cm="1">
        <f t="array" ref="D29">IF(B29,_xll.U.MESSAGE_BOX("Hello!","HappyFace"),"waiting...")</f>
        <v>waiting...</v>
      </c>
      <c r="E29" s="21"/>
      <c r="F29" s="21"/>
      <c r="G29" s="21"/>
      <c r="H29" s="21"/>
      <c r="I29" s="21"/>
      <c r="J29" s="21"/>
      <c r="K29" s="21"/>
      <c r="L29" s="21"/>
      <c r="M29" s="21"/>
      <c r="N29" s="21"/>
      <c r="O29" s="21"/>
      <c r="P29" s="21"/>
      <c r="Q29" s="21"/>
      <c r="R29" s="21"/>
      <c r="S29" s="21"/>
      <c r="T29" s="21"/>
      <c r="U29" s="20"/>
    </row>
    <row r="30" spans="1:32" ht="15" customHeight="1" x14ac:dyDescent="0.3">
      <c r="A30" s="18"/>
      <c r="B30" s="21"/>
      <c r="C30" s="21"/>
      <c r="D30" s="21"/>
      <c r="E30" s="21"/>
      <c r="F30" s="21"/>
      <c r="G30" s="21"/>
      <c r="H30" s="21"/>
      <c r="I30" s="21"/>
      <c r="J30" s="21"/>
      <c r="K30" s="21"/>
      <c r="L30" s="21"/>
      <c r="M30" s="21"/>
      <c r="N30" s="21"/>
      <c r="O30" s="21"/>
      <c r="P30" s="21"/>
      <c r="Q30" s="336"/>
      <c r="R30" s="336"/>
      <c r="S30" s="21"/>
      <c r="T30" s="21"/>
      <c r="U30" s="20"/>
    </row>
    <row r="31" spans="1:32" ht="15" customHeight="1" x14ac:dyDescent="0.3">
      <c r="A31" s="18"/>
      <c r="B31" s="483" t="s">
        <v>2144</v>
      </c>
      <c r="C31" s="483"/>
      <c r="D31" s="21"/>
      <c r="E31" s="21"/>
      <c r="F31" s="21"/>
      <c r="G31" s="21"/>
      <c r="H31" s="21"/>
      <c r="I31" s="21"/>
      <c r="J31" s="21"/>
      <c r="K31" s="21"/>
      <c r="L31" s="21"/>
      <c r="M31" s="21"/>
      <c r="N31" s="21"/>
      <c r="O31" s="21"/>
      <c r="P31" s="21"/>
      <c r="Q31" s="336"/>
      <c r="R31" s="336"/>
      <c r="S31" s="21"/>
      <c r="T31" s="21"/>
      <c r="U31" s="20"/>
    </row>
    <row r="32" spans="1:32" ht="15" customHeight="1" x14ac:dyDescent="0.3">
      <c r="A32" s="18"/>
      <c r="B32" s="9" t="s">
        <v>679</v>
      </c>
      <c r="C32" s="224" t="s">
        <v>17</v>
      </c>
      <c r="D32" s="21"/>
      <c r="E32" s="21"/>
      <c r="F32" s="21"/>
      <c r="G32" s="21"/>
      <c r="H32" s="21"/>
      <c r="I32" s="21"/>
      <c r="J32" s="21"/>
      <c r="K32" s="21"/>
      <c r="L32" s="21"/>
      <c r="M32" s="21"/>
      <c r="N32" s="21"/>
      <c r="O32" s="21"/>
      <c r="P32" s="21"/>
      <c r="Q32" s="336"/>
      <c r="R32" s="336"/>
      <c r="S32" s="21"/>
      <c r="T32" s="21"/>
      <c r="U32" s="20"/>
    </row>
    <row r="33" spans="1:21" ht="15" customHeight="1" x14ac:dyDescent="0.3">
      <c r="A33" s="18"/>
      <c r="B33" s="295" t="s">
        <v>2121</v>
      </c>
      <c r="C33" s="339" t="str" cm="1">
        <f t="array" ref="C33">_xll.U.GET_CLICKVAL(B33)</f>
        <v/>
      </c>
      <c r="D33" s="21"/>
      <c r="E33" s="21"/>
      <c r="F33" s="21"/>
      <c r="G33" s="21"/>
      <c r="H33" s="21"/>
      <c r="I33" s="21"/>
      <c r="J33" s="21"/>
      <c r="K33" s="21"/>
      <c r="L33" s="21"/>
      <c r="M33" s="21"/>
      <c r="N33" s="21"/>
      <c r="O33" s="21"/>
      <c r="P33" s="21"/>
      <c r="Q33" s="336"/>
      <c r="R33" s="336"/>
      <c r="S33" s="21"/>
      <c r="T33" s="21"/>
      <c r="U33" s="20"/>
    </row>
    <row r="34" spans="1:21" ht="15" customHeight="1" x14ac:dyDescent="0.3">
      <c r="A34" s="18"/>
      <c r="B34" s="295" t="s">
        <v>2120</v>
      </c>
      <c r="C34" s="339" t="str" cm="1">
        <f t="array" ref="C34">_xll.U.GET_CLICKVAL(B34)</f>
        <v/>
      </c>
      <c r="D34" s="21"/>
      <c r="E34" s="21"/>
      <c r="F34" s="21"/>
      <c r="G34" s="21"/>
      <c r="H34" s="21"/>
      <c r="I34" s="21"/>
      <c r="J34" s="21"/>
      <c r="L34" s="21"/>
      <c r="M34" s="21"/>
      <c r="N34" s="21"/>
      <c r="O34" s="21"/>
      <c r="P34" s="21"/>
      <c r="Q34" s="336"/>
      <c r="R34" s="336"/>
      <c r="S34" s="21"/>
      <c r="T34" s="21"/>
      <c r="U34" s="20"/>
    </row>
    <row r="35" spans="1:21" ht="15" customHeight="1" x14ac:dyDescent="0.3">
      <c r="A35" s="18"/>
      <c r="B35" s="21"/>
      <c r="C35" s="21"/>
      <c r="D35" s="21"/>
      <c r="E35" s="21"/>
      <c r="F35" s="21"/>
      <c r="G35" s="21"/>
      <c r="H35" s="21"/>
      <c r="I35" s="21"/>
      <c r="J35" s="21"/>
      <c r="K35" s="21"/>
      <c r="L35" s="21"/>
      <c r="M35" s="21"/>
      <c r="N35" s="21"/>
      <c r="O35" s="21"/>
      <c r="P35" s="21"/>
      <c r="Q35" s="21"/>
      <c r="R35" s="21"/>
      <c r="S35" s="21"/>
      <c r="T35" s="21"/>
      <c r="U35" s="20"/>
    </row>
    <row r="36" spans="1:21" ht="15" customHeight="1" x14ac:dyDescent="0.3">
      <c r="A36" s="18"/>
      <c r="B36" s="190" t="s">
        <v>2145</v>
      </c>
      <c r="C36" s="21"/>
      <c r="D36" s="21"/>
      <c r="E36" s="21"/>
      <c r="F36" s="21"/>
      <c r="G36" s="21"/>
      <c r="H36" s="21"/>
      <c r="I36" s="21"/>
      <c r="J36" s="21"/>
      <c r="K36" s="21"/>
      <c r="L36" s="21"/>
      <c r="M36" s="21"/>
      <c r="N36" s="21"/>
      <c r="O36" s="21"/>
      <c r="P36" s="21"/>
      <c r="Q36" s="21"/>
      <c r="R36" s="21"/>
      <c r="S36" s="21"/>
      <c r="T36" s="21"/>
      <c r="U36" s="20"/>
    </row>
    <row r="37" spans="1:21" ht="15" customHeight="1" x14ac:dyDescent="0.3">
      <c r="A37" s="18"/>
      <c r="B37" s="338" cm="1">
        <f t="array" ref="B37">_xll.U.TIME()</f>
        <v>0.89322916666424101</v>
      </c>
      <c r="C37" s="21"/>
      <c r="D37" s="21"/>
      <c r="E37" s="21"/>
      <c r="F37" s="21"/>
      <c r="G37" s="21"/>
      <c r="H37" s="21"/>
      <c r="I37" s="21"/>
      <c r="J37" s="21"/>
      <c r="K37" s="21"/>
      <c r="L37" s="21"/>
      <c r="M37" s="21"/>
      <c r="N37" s="21"/>
      <c r="O37" s="21"/>
      <c r="P37" s="21"/>
      <c r="Q37" s="21"/>
      <c r="R37" s="21"/>
      <c r="S37" s="21"/>
      <c r="T37" s="21"/>
      <c r="U37" s="20"/>
    </row>
    <row r="38" spans="1:21" ht="15" customHeight="1" x14ac:dyDescent="0.3">
      <c r="A38" s="18"/>
      <c r="B38" s="21"/>
      <c r="C38" s="21"/>
      <c r="D38" s="21"/>
      <c r="E38" s="21"/>
      <c r="F38" s="21"/>
      <c r="G38" s="21"/>
      <c r="H38" s="21"/>
      <c r="I38" s="21"/>
      <c r="J38" s="21"/>
      <c r="K38" s="21"/>
      <c r="L38" s="21"/>
      <c r="M38" s="21"/>
      <c r="N38" s="21"/>
      <c r="O38" s="21"/>
      <c r="P38" s="21"/>
      <c r="Q38" s="21"/>
      <c r="R38" s="21"/>
      <c r="S38" s="21"/>
      <c r="T38" s="21"/>
      <c r="U38" s="20"/>
    </row>
    <row r="39" spans="1:21" ht="15" customHeight="1" x14ac:dyDescent="0.3">
      <c r="A39" s="18"/>
      <c r="B39" s="190" t="s">
        <v>2124</v>
      </c>
      <c r="C39" s="190" t="s">
        <v>2158</v>
      </c>
      <c r="D39" s="21"/>
      <c r="E39" s="21"/>
      <c r="F39" s="21"/>
      <c r="G39" s="21"/>
      <c r="H39" s="21"/>
      <c r="I39" s="21"/>
      <c r="J39" s="21"/>
      <c r="K39" s="21"/>
      <c r="L39" s="21"/>
      <c r="M39" s="21"/>
      <c r="N39" s="21"/>
      <c r="O39" s="21"/>
      <c r="P39" s="21"/>
      <c r="Q39" s="21"/>
      <c r="R39" s="21"/>
      <c r="S39" s="21"/>
      <c r="T39" s="21"/>
      <c r="U39" s="20"/>
    </row>
    <row r="40" spans="1:21" ht="15" customHeight="1" x14ac:dyDescent="0.3">
      <c r="A40" s="18"/>
      <c r="B40" s="338"/>
      <c r="C40" s="94"/>
      <c r="D40" s="21"/>
      <c r="E40" s="21"/>
      <c r="F40" s="21"/>
      <c r="G40" s="21"/>
      <c r="H40" s="21"/>
      <c r="I40" s="21"/>
      <c r="J40" s="21"/>
      <c r="K40" s="21"/>
      <c r="L40" s="21"/>
      <c r="M40" s="21"/>
      <c r="N40" s="21"/>
      <c r="O40" s="21"/>
      <c r="P40" s="21"/>
      <c r="Q40" s="21"/>
      <c r="R40" s="21"/>
      <c r="S40" s="21"/>
      <c r="T40" s="21"/>
      <c r="U40" s="20"/>
    </row>
    <row r="41" spans="1:21" ht="15" customHeight="1" x14ac:dyDescent="0.3">
      <c r="A41" s="18"/>
      <c r="B41" s="21"/>
      <c r="C41" s="21"/>
      <c r="D41" s="21"/>
      <c r="E41" s="21"/>
      <c r="F41" s="21"/>
      <c r="G41" s="21"/>
      <c r="H41" s="21"/>
      <c r="I41" s="21"/>
      <c r="J41" s="21"/>
      <c r="K41" s="21"/>
      <c r="L41" s="21"/>
      <c r="M41" s="21"/>
      <c r="N41" s="21"/>
      <c r="O41" s="21"/>
      <c r="P41" s="21"/>
      <c r="Q41" s="21"/>
      <c r="R41" s="21"/>
      <c r="S41" s="21"/>
      <c r="T41" s="21"/>
      <c r="U41" s="20"/>
    </row>
    <row r="42" spans="1:21" ht="15" customHeight="1" x14ac:dyDescent="0.3">
      <c r="A42" s="18"/>
      <c r="B42" s="21"/>
      <c r="C42" s="21"/>
      <c r="D42" s="21"/>
      <c r="E42" s="21"/>
      <c r="F42" s="21"/>
      <c r="G42" s="21"/>
      <c r="H42" s="21"/>
      <c r="I42" s="21"/>
      <c r="J42" s="21"/>
      <c r="K42" s="21"/>
      <c r="L42" s="21"/>
      <c r="M42" s="21"/>
      <c r="N42" s="21"/>
      <c r="O42" s="21"/>
      <c r="P42" s="21"/>
      <c r="Q42" s="21"/>
      <c r="R42" s="21"/>
      <c r="S42" s="21"/>
      <c r="T42" s="21"/>
      <c r="U42" s="20"/>
    </row>
    <row r="43" spans="1:21" ht="15" customHeight="1" x14ac:dyDescent="0.3">
      <c r="A43" s="18"/>
      <c r="B43" s="21"/>
      <c r="C43" s="21"/>
      <c r="D43" s="21"/>
      <c r="E43" s="21"/>
      <c r="F43" s="21"/>
      <c r="G43" s="21"/>
      <c r="H43" s="21"/>
      <c r="I43" s="21"/>
      <c r="J43" s="21"/>
      <c r="K43" s="21"/>
      <c r="L43" s="21"/>
      <c r="M43" s="21"/>
      <c r="N43" s="21"/>
      <c r="O43" s="21"/>
      <c r="P43" s="21"/>
      <c r="Q43" s="21"/>
      <c r="R43" s="21"/>
      <c r="S43" s="21"/>
      <c r="T43" s="21"/>
      <c r="U43" s="20"/>
    </row>
    <row r="44" spans="1:21" ht="15" customHeight="1" x14ac:dyDescent="0.3">
      <c r="A44" s="18"/>
      <c r="B44" s="21"/>
      <c r="C44" s="21"/>
      <c r="D44" s="21"/>
      <c r="E44" s="21"/>
      <c r="F44" s="21"/>
      <c r="G44" s="21"/>
      <c r="H44" s="21"/>
      <c r="I44" s="21"/>
      <c r="J44" s="21"/>
      <c r="K44" s="21"/>
      <c r="L44" s="21"/>
      <c r="M44" s="21"/>
      <c r="N44" s="21"/>
      <c r="O44" s="21"/>
      <c r="P44" s="21"/>
      <c r="Q44" s="21"/>
      <c r="R44" s="21"/>
      <c r="S44" s="21"/>
      <c r="T44" s="21"/>
      <c r="U44" s="20"/>
    </row>
    <row r="45" spans="1:21" ht="15" customHeight="1" x14ac:dyDescent="0.3">
      <c r="A45" s="18"/>
      <c r="B45" s="21"/>
      <c r="C45" s="21"/>
      <c r="D45" s="21"/>
      <c r="E45" s="21"/>
      <c r="F45" s="21"/>
      <c r="G45" s="21"/>
      <c r="H45" s="21"/>
      <c r="I45" s="21"/>
      <c r="J45" s="21"/>
      <c r="K45" s="21"/>
      <c r="L45" s="21"/>
      <c r="M45" s="21"/>
      <c r="N45" s="21"/>
      <c r="O45" s="21"/>
      <c r="P45" s="21"/>
      <c r="Q45" s="21"/>
      <c r="R45" s="21"/>
      <c r="S45" s="21"/>
      <c r="T45" s="21"/>
      <c r="U45" s="20"/>
    </row>
    <row r="46" spans="1:21" ht="15" customHeight="1" x14ac:dyDescent="0.3">
      <c r="A46" s="18"/>
      <c r="B46" s="513" t="s">
        <v>2162</v>
      </c>
      <c r="C46" s="514"/>
      <c r="D46" s="514"/>
      <c r="E46" s="514"/>
      <c r="F46" s="514"/>
      <c r="G46" s="514"/>
      <c r="H46" s="514"/>
      <c r="I46" s="514"/>
      <c r="J46" s="514"/>
      <c r="K46" s="515"/>
      <c r="L46" s="21"/>
      <c r="M46" s="21"/>
      <c r="N46" s="21"/>
      <c r="O46" s="21"/>
      <c r="P46" s="21"/>
      <c r="Q46" s="21"/>
      <c r="R46" s="21"/>
      <c r="S46" s="21"/>
      <c r="T46" s="21"/>
      <c r="U46" s="20"/>
    </row>
    <row r="47" spans="1:21" ht="15" customHeight="1" x14ac:dyDescent="0.3">
      <c r="A47" s="18"/>
      <c r="B47" s="3" t="s">
        <v>2161</v>
      </c>
      <c r="C47" s="183" t="s">
        <v>1</v>
      </c>
      <c r="D47" s="262"/>
      <c r="E47" s="262"/>
      <c r="F47" s="262"/>
      <c r="G47" s="262"/>
      <c r="H47" s="262"/>
      <c r="I47" s="262"/>
      <c r="J47" s="262"/>
      <c r="K47" s="263"/>
      <c r="L47" s="21"/>
      <c r="M47" s="21"/>
      <c r="N47" s="21"/>
      <c r="O47" s="21"/>
      <c r="P47" s="21"/>
      <c r="Q47" s="21"/>
      <c r="R47" s="21"/>
      <c r="S47" s="21"/>
      <c r="T47" s="21"/>
      <c r="U47" s="20"/>
    </row>
    <row r="48" spans="1:21" ht="15" customHeight="1" x14ac:dyDescent="0.3">
      <c r="A48" s="18"/>
      <c r="B48" s="30" t="s">
        <v>2086</v>
      </c>
      <c r="C48" s="250" t="s">
        <v>2163</v>
      </c>
      <c r="D48" s="112"/>
      <c r="E48" s="112"/>
      <c r="F48" s="112"/>
      <c r="G48" s="112"/>
      <c r="H48" s="112"/>
      <c r="I48" s="112"/>
      <c r="J48" s="112"/>
      <c r="K48" s="113"/>
      <c r="L48" s="21"/>
      <c r="M48" s="21"/>
      <c r="N48" s="21"/>
      <c r="O48" s="21"/>
      <c r="P48" s="21"/>
      <c r="Q48" s="21"/>
      <c r="R48" s="21"/>
      <c r="S48" s="21"/>
      <c r="T48" s="21"/>
      <c r="U48" s="20"/>
    </row>
    <row r="49" spans="1:21" ht="15" customHeight="1" x14ac:dyDescent="0.3">
      <c r="A49" s="18"/>
      <c r="B49" s="30" t="s">
        <v>2087</v>
      </c>
      <c r="C49" s="250" t="s">
        <v>2164</v>
      </c>
      <c r="D49" s="112"/>
      <c r="E49" s="112"/>
      <c r="F49" s="112"/>
      <c r="G49" s="112"/>
      <c r="H49" s="112"/>
      <c r="I49" s="112"/>
      <c r="J49" s="112"/>
      <c r="K49" s="113"/>
      <c r="L49" s="21"/>
      <c r="M49" s="21"/>
      <c r="N49" s="21"/>
      <c r="O49" s="21"/>
      <c r="P49" s="21"/>
      <c r="Q49" s="21"/>
      <c r="R49" s="21"/>
      <c r="S49" s="21"/>
      <c r="T49" s="21"/>
      <c r="U49" s="20"/>
    </row>
    <row r="50" spans="1:21" ht="15" customHeight="1" x14ac:dyDescent="0.3">
      <c r="A50" s="18"/>
      <c r="B50" s="30" t="s">
        <v>2088</v>
      </c>
      <c r="C50" s="250" t="s">
        <v>2165</v>
      </c>
      <c r="D50" s="112"/>
      <c r="E50" s="112"/>
      <c r="F50" s="112"/>
      <c r="G50" s="112"/>
      <c r="H50" s="112"/>
      <c r="I50" s="112"/>
      <c r="J50" s="112"/>
      <c r="K50" s="113"/>
      <c r="L50" s="21"/>
      <c r="M50" s="21"/>
      <c r="N50" s="21"/>
      <c r="O50" s="21"/>
      <c r="P50" s="21"/>
      <c r="Q50" s="21"/>
      <c r="R50" s="21"/>
      <c r="S50" s="21"/>
      <c r="T50" s="21"/>
      <c r="U50" s="20"/>
    </row>
    <row r="51" spans="1:21" ht="15" customHeight="1" x14ac:dyDescent="0.3">
      <c r="A51" s="18"/>
      <c r="B51" s="30" t="s">
        <v>2089</v>
      </c>
      <c r="C51" s="250" t="s">
        <v>2166</v>
      </c>
      <c r="D51" s="112"/>
      <c r="E51" s="112"/>
      <c r="F51" s="112"/>
      <c r="G51" s="112"/>
      <c r="H51" s="112"/>
      <c r="I51" s="112"/>
      <c r="J51" s="112"/>
      <c r="K51" s="113"/>
      <c r="L51" s="21"/>
      <c r="M51" s="21"/>
      <c r="N51" s="21"/>
      <c r="O51" s="21"/>
      <c r="P51" s="21"/>
      <c r="Q51" s="21"/>
      <c r="R51" s="21"/>
      <c r="S51" s="21"/>
      <c r="T51" s="21"/>
      <c r="U51" s="20"/>
    </row>
    <row r="52" spans="1:21" ht="15" customHeight="1" x14ac:dyDescent="0.3">
      <c r="A52" s="18"/>
      <c r="B52" s="30" t="s">
        <v>2090</v>
      </c>
      <c r="C52" s="250" t="s">
        <v>2167</v>
      </c>
      <c r="D52" s="112"/>
      <c r="E52" s="112"/>
      <c r="F52" s="112"/>
      <c r="G52" s="112"/>
      <c r="H52" s="112"/>
      <c r="I52" s="112"/>
      <c r="J52" s="112"/>
      <c r="K52" s="113"/>
      <c r="L52" s="21"/>
      <c r="M52" s="21"/>
      <c r="N52" s="21"/>
      <c r="O52" s="21"/>
      <c r="P52" s="21"/>
      <c r="Q52" s="21"/>
      <c r="R52" s="21"/>
      <c r="S52" s="21"/>
      <c r="T52" s="21"/>
      <c r="U52" s="20"/>
    </row>
    <row r="53" spans="1:21" ht="15" customHeight="1" x14ac:dyDescent="0.3">
      <c r="A53" s="18"/>
      <c r="B53" s="30" t="s">
        <v>2091</v>
      </c>
      <c r="C53" s="250" t="s">
        <v>2168</v>
      </c>
      <c r="D53" s="112"/>
      <c r="E53" s="112"/>
      <c r="F53" s="112"/>
      <c r="G53" s="112"/>
      <c r="H53" s="112"/>
      <c r="I53" s="112"/>
      <c r="J53" s="112"/>
      <c r="K53" s="113"/>
      <c r="L53" s="21"/>
      <c r="M53" s="21"/>
      <c r="N53" s="21"/>
      <c r="O53" s="21"/>
      <c r="P53" s="21"/>
      <c r="Q53" s="21"/>
      <c r="R53" s="21"/>
      <c r="S53" s="21"/>
      <c r="T53" s="21"/>
      <c r="U53" s="20"/>
    </row>
    <row r="54" spans="1:21" ht="15" customHeight="1" x14ac:dyDescent="0.3">
      <c r="A54" s="18"/>
      <c r="B54" s="30" t="s">
        <v>2092</v>
      </c>
      <c r="C54" s="250" t="s">
        <v>2169</v>
      </c>
      <c r="D54" s="112"/>
      <c r="E54" s="112"/>
      <c r="F54" s="112"/>
      <c r="G54" s="112"/>
      <c r="H54" s="112"/>
      <c r="I54" s="112"/>
      <c r="J54" s="112"/>
      <c r="K54" s="113"/>
      <c r="L54" s="21"/>
      <c r="M54" s="21"/>
      <c r="N54" s="21"/>
      <c r="O54" s="21"/>
      <c r="P54" s="21"/>
      <c r="Q54" s="21"/>
      <c r="R54" s="21"/>
      <c r="S54" s="21"/>
      <c r="T54" s="21"/>
      <c r="U54" s="20"/>
    </row>
    <row r="55" spans="1:21" ht="15" customHeight="1" x14ac:dyDescent="0.3">
      <c r="A55" s="18"/>
      <c r="B55" s="30" t="s">
        <v>2093</v>
      </c>
      <c r="C55" s="250" t="s">
        <v>2170</v>
      </c>
      <c r="D55" s="112"/>
      <c r="E55" s="112"/>
      <c r="F55" s="112"/>
      <c r="G55" s="112"/>
      <c r="H55" s="112"/>
      <c r="I55" s="112"/>
      <c r="J55" s="112"/>
      <c r="K55" s="113"/>
      <c r="L55" s="21"/>
      <c r="M55" s="21"/>
      <c r="N55" s="21"/>
      <c r="O55" s="21"/>
      <c r="P55" s="21"/>
      <c r="Q55" s="21"/>
      <c r="R55" s="21"/>
      <c r="S55" s="21"/>
      <c r="T55" s="21"/>
      <c r="U55" s="20"/>
    </row>
    <row r="56" spans="1:21" ht="15" customHeight="1" x14ac:dyDescent="0.3">
      <c r="A56" s="18"/>
      <c r="B56" s="30" t="s">
        <v>2094</v>
      </c>
      <c r="C56" s="250" t="s">
        <v>2171</v>
      </c>
      <c r="D56" s="112"/>
      <c r="E56" s="112"/>
      <c r="F56" s="112"/>
      <c r="G56" s="112"/>
      <c r="H56" s="112"/>
      <c r="I56" s="112"/>
      <c r="J56" s="112"/>
      <c r="K56" s="113"/>
      <c r="L56" s="21"/>
      <c r="M56" s="21"/>
      <c r="N56" s="21"/>
      <c r="O56" s="21"/>
      <c r="P56" s="21"/>
      <c r="Q56" s="21"/>
      <c r="R56" s="21"/>
      <c r="S56" s="21"/>
      <c r="T56" s="21"/>
      <c r="U56" s="20"/>
    </row>
    <row r="57" spans="1:21" ht="15" customHeight="1" x14ac:dyDescent="0.3">
      <c r="A57" s="18"/>
      <c r="B57" s="30" t="s">
        <v>2213</v>
      </c>
      <c r="C57" s="250" t="s">
        <v>2214</v>
      </c>
      <c r="D57" s="112"/>
      <c r="E57" s="112"/>
      <c r="F57" s="112"/>
      <c r="G57" s="112"/>
      <c r="H57" s="112"/>
      <c r="I57" s="112"/>
      <c r="J57" s="112"/>
      <c r="K57" s="113"/>
      <c r="L57" s="21"/>
      <c r="M57" s="21"/>
      <c r="N57" s="21"/>
      <c r="O57" s="21"/>
      <c r="P57" s="21"/>
      <c r="Q57" s="21"/>
      <c r="R57" s="21"/>
      <c r="S57" s="21"/>
      <c r="T57" s="21"/>
      <c r="U57" s="20"/>
    </row>
    <row r="58" spans="1:21" ht="15" customHeight="1" x14ac:dyDescent="0.3">
      <c r="A58" s="18"/>
      <c r="B58" s="30" t="s">
        <v>2095</v>
      </c>
      <c r="C58" s="250" t="s">
        <v>2172</v>
      </c>
      <c r="D58" s="112"/>
      <c r="E58" s="112"/>
      <c r="F58" s="112"/>
      <c r="G58" s="112"/>
      <c r="H58" s="112"/>
      <c r="I58" s="112"/>
      <c r="J58" s="112"/>
      <c r="K58" s="113"/>
      <c r="L58" s="21"/>
      <c r="M58" s="21"/>
      <c r="N58" s="21"/>
      <c r="O58" s="21"/>
      <c r="P58" s="21"/>
      <c r="Q58" s="21"/>
      <c r="R58" s="21"/>
      <c r="S58" s="21"/>
      <c r="T58" s="21"/>
      <c r="U58" s="20"/>
    </row>
    <row r="59" spans="1:21" ht="15" customHeight="1" x14ac:dyDescent="0.3">
      <c r="A59" s="18"/>
      <c r="B59" s="30" t="s">
        <v>1</v>
      </c>
      <c r="C59" s="250" t="s">
        <v>2173</v>
      </c>
      <c r="D59" s="112"/>
      <c r="E59" s="112"/>
      <c r="F59" s="112"/>
      <c r="G59" s="112"/>
      <c r="H59" s="112"/>
      <c r="I59" s="112"/>
      <c r="J59" s="112"/>
      <c r="K59" s="113"/>
      <c r="L59" s="21"/>
      <c r="M59" s="21"/>
      <c r="N59" s="21"/>
      <c r="O59" s="21"/>
      <c r="P59" s="21"/>
      <c r="Q59" s="21"/>
      <c r="R59" s="21"/>
      <c r="S59" s="21"/>
      <c r="T59" s="21"/>
      <c r="U59" s="20"/>
    </row>
    <row r="60" spans="1:21" ht="15" customHeight="1" x14ac:dyDescent="0.3">
      <c r="A60" s="18"/>
      <c r="B60" s="30" t="s">
        <v>2096</v>
      </c>
      <c r="C60" s="250" t="s">
        <v>2174</v>
      </c>
      <c r="D60" s="112"/>
      <c r="E60" s="112"/>
      <c r="F60" s="112"/>
      <c r="G60" s="112"/>
      <c r="H60" s="112"/>
      <c r="I60" s="112"/>
      <c r="J60" s="112"/>
      <c r="K60" s="113"/>
      <c r="L60" s="21"/>
      <c r="M60" s="21"/>
      <c r="N60" s="21"/>
      <c r="O60" s="21"/>
      <c r="P60" s="21"/>
      <c r="Q60" s="21"/>
      <c r="R60" s="21"/>
      <c r="S60" s="21"/>
      <c r="T60" s="21"/>
      <c r="U60" s="20"/>
    </row>
    <row r="61" spans="1:21" ht="15" customHeight="1" x14ac:dyDescent="0.3">
      <c r="A61" s="18"/>
      <c r="B61" s="30" t="s">
        <v>2097</v>
      </c>
      <c r="C61" s="250" t="s">
        <v>2175</v>
      </c>
      <c r="D61" s="112"/>
      <c r="E61" s="112"/>
      <c r="F61" s="112"/>
      <c r="G61" s="112"/>
      <c r="H61" s="112"/>
      <c r="I61" s="112"/>
      <c r="J61" s="112"/>
      <c r="K61" s="113"/>
      <c r="L61" s="21"/>
      <c r="M61" s="21"/>
      <c r="N61" s="21"/>
      <c r="O61" s="21"/>
      <c r="P61" s="21"/>
      <c r="Q61" s="21"/>
      <c r="R61" s="21"/>
      <c r="S61" s="21"/>
      <c r="T61" s="21"/>
      <c r="U61" s="20"/>
    </row>
    <row r="62" spans="1:21" ht="15" customHeight="1" x14ac:dyDescent="0.3">
      <c r="A62" s="18"/>
      <c r="B62" s="30" t="s">
        <v>2114</v>
      </c>
      <c r="C62" s="250" t="s">
        <v>2201</v>
      </c>
      <c r="D62" s="112"/>
      <c r="E62" s="112"/>
      <c r="F62" s="112"/>
      <c r="G62" s="112"/>
      <c r="H62" s="112"/>
      <c r="I62" s="112"/>
      <c r="J62" s="112"/>
      <c r="K62" s="113"/>
      <c r="L62" s="21"/>
      <c r="M62" s="21"/>
      <c r="N62" s="21"/>
      <c r="O62" s="21"/>
      <c r="P62" s="21"/>
      <c r="Q62" s="21"/>
      <c r="R62" s="21"/>
      <c r="S62" s="21"/>
      <c r="T62" s="21"/>
      <c r="U62" s="20"/>
    </row>
    <row r="63" spans="1:21" ht="15" customHeight="1" x14ac:dyDescent="0.3">
      <c r="A63" s="18"/>
      <c r="B63" s="30" t="s">
        <v>2098</v>
      </c>
      <c r="C63" s="250" t="s">
        <v>2176</v>
      </c>
      <c r="D63" s="112"/>
      <c r="E63" s="112"/>
      <c r="F63" s="112"/>
      <c r="G63" s="112"/>
      <c r="H63" s="112"/>
      <c r="I63" s="112"/>
      <c r="J63" s="112"/>
      <c r="K63" s="113"/>
      <c r="L63" s="21"/>
      <c r="M63" s="21"/>
      <c r="N63" s="21"/>
      <c r="O63" s="21"/>
      <c r="P63" s="21"/>
      <c r="Q63" s="21"/>
      <c r="R63" s="21"/>
      <c r="S63" s="21"/>
      <c r="T63" s="21"/>
      <c r="U63" s="20"/>
    </row>
    <row r="64" spans="1:21" ht="15" customHeight="1" x14ac:dyDescent="0.3">
      <c r="A64" s="18"/>
      <c r="B64" s="30" t="s">
        <v>2099</v>
      </c>
      <c r="C64" s="259" t="s">
        <v>2177</v>
      </c>
      <c r="D64" s="259"/>
      <c r="E64" s="259"/>
      <c r="F64" s="259"/>
      <c r="G64" s="259"/>
      <c r="H64" s="259"/>
      <c r="I64" s="259"/>
      <c r="J64" s="259"/>
      <c r="K64" s="260"/>
      <c r="L64" s="21"/>
      <c r="M64" s="21"/>
      <c r="N64" s="21"/>
      <c r="O64" s="21"/>
      <c r="P64" s="21"/>
      <c r="Q64" s="21"/>
      <c r="R64" s="21"/>
      <c r="S64" s="21"/>
      <c r="T64" s="21"/>
      <c r="U64" s="20"/>
    </row>
    <row r="65" spans="1:21" ht="15" customHeight="1" x14ac:dyDescent="0.3">
      <c r="A65" s="18"/>
      <c r="B65" s="21"/>
      <c r="C65" s="21"/>
      <c r="D65" s="21"/>
      <c r="E65" s="21"/>
      <c r="F65" s="21"/>
      <c r="G65" s="21"/>
      <c r="H65" s="21"/>
      <c r="I65" s="21"/>
      <c r="J65" s="21"/>
      <c r="K65" s="21"/>
      <c r="L65" s="21"/>
      <c r="M65" s="21"/>
      <c r="N65" s="21"/>
      <c r="O65" s="21"/>
      <c r="P65" s="21"/>
      <c r="Q65" s="21"/>
      <c r="R65" s="21"/>
      <c r="S65" s="21"/>
      <c r="T65" s="21"/>
      <c r="U65" s="20"/>
    </row>
    <row r="66" spans="1:21" ht="15" customHeight="1" x14ac:dyDescent="0.3">
      <c r="A66" s="18"/>
      <c r="B66" s="513" t="s">
        <v>2197</v>
      </c>
      <c r="C66" s="514"/>
      <c r="D66" s="514"/>
      <c r="E66" s="514"/>
      <c r="F66" s="514"/>
      <c r="G66" s="514"/>
      <c r="H66" s="514"/>
      <c r="I66" s="514"/>
      <c r="J66" s="514"/>
      <c r="K66" s="515"/>
      <c r="L66" s="21"/>
      <c r="M66" s="21"/>
      <c r="N66" s="21"/>
      <c r="O66" s="21"/>
      <c r="P66" s="21"/>
      <c r="Q66" s="21"/>
      <c r="R66" s="21"/>
      <c r="S66" s="21"/>
      <c r="T66" s="21"/>
      <c r="U66" s="20"/>
    </row>
    <row r="67" spans="1:21" ht="15" customHeight="1" x14ac:dyDescent="0.3">
      <c r="A67" s="18"/>
      <c r="B67" s="3" t="s">
        <v>2089</v>
      </c>
      <c r="C67" s="183" t="s">
        <v>1</v>
      </c>
      <c r="D67" s="262"/>
      <c r="E67" s="262"/>
      <c r="F67" s="262"/>
      <c r="G67" s="262"/>
      <c r="H67" s="262"/>
      <c r="I67" s="262"/>
      <c r="J67" s="262"/>
      <c r="K67" s="263"/>
      <c r="L67" s="21"/>
      <c r="M67" s="21"/>
      <c r="N67" s="21"/>
      <c r="O67" s="21"/>
      <c r="P67" s="21"/>
      <c r="Q67" s="21"/>
      <c r="R67" s="21"/>
      <c r="S67" s="21"/>
      <c r="T67" s="21"/>
      <c r="U67" s="20"/>
    </row>
    <row r="68" spans="1:21" ht="15" customHeight="1" x14ac:dyDescent="0.3">
      <c r="A68" s="18"/>
      <c r="B68" s="30" t="s">
        <v>2086</v>
      </c>
      <c r="C68" s="250" t="s">
        <v>3868</v>
      </c>
      <c r="D68" s="112"/>
      <c r="E68" s="112"/>
      <c r="F68" s="112"/>
      <c r="G68" s="112"/>
      <c r="H68" s="112"/>
      <c r="I68" s="112"/>
      <c r="J68" s="112"/>
      <c r="K68" s="113"/>
      <c r="L68" s="21"/>
      <c r="M68" s="21"/>
      <c r="N68" s="21"/>
      <c r="O68" s="21"/>
      <c r="P68" s="21"/>
      <c r="Q68" s="21"/>
      <c r="R68" s="21"/>
      <c r="S68" s="21"/>
      <c r="T68" s="21"/>
      <c r="U68" s="20"/>
    </row>
    <row r="69" spans="1:21" ht="15" customHeight="1" x14ac:dyDescent="0.3">
      <c r="A69" s="18"/>
      <c r="B69" s="30" t="s">
        <v>2087</v>
      </c>
      <c r="C69" s="250" t="s">
        <v>2198</v>
      </c>
      <c r="D69" s="112"/>
      <c r="E69" s="112"/>
      <c r="F69" s="112"/>
      <c r="G69" s="112"/>
      <c r="H69" s="112"/>
      <c r="I69" s="112"/>
      <c r="J69" s="112"/>
      <c r="K69" s="113"/>
      <c r="L69" s="21"/>
      <c r="M69" s="21"/>
      <c r="N69" s="21"/>
      <c r="O69" s="21"/>
      <c r="P69" s="21"/>
      <c r="Q69" s="21"/>
      <c r="R69" s="21"/>
      <c r="S69" s="21"/>
      <c r="T69" s="21"/>
      <c r="U69" s="20"/>
    </row>
    <row r="70" spans="1:21" ht="15" customHeight="1" x14ac:dyDescent="0.3">
      <c r="A70" s="18"/>
      <c r="B70" s="30" t="s">
        <v>2090</v>
      </c>
      <c r="C70" s="250" t="s">
        <v>2181</v>
      </c>
      <c r="D70" s="112"/>
      <c r="E70" s="112"/>
      <c r="F70" s="112"/>
      <c r="G70" s="112"/>
      <c r="H70" s="112"/>
      <c r="I70" s="112"/>
      <c r="J70" s="112"/>
      <c r="K70" s="113"/>
      <c r="L70" s="21"/>
      <c r="M70" s="21"/>
      <c r="N70" s="21"/>
      <c r="O70" s="21"/>
      <c r="P70" s="21"/>
      <c r="Q70" s="21"/>
      <c r="R70" s="21"/>
      <c r="S70" s="21"/>
      <c r="T70" s="21"/>
      <c r="U70" s="20"/>
    </row>
    <row r="71" spans="1:21" ht="15" customHeight="1" x14ac:dyDescent="0.3">
      <c r="A71" s="18"/>
      <c r="B71" s="30" t="s">
        <v>2178</v>
      </c>
      <c r="C71" s="250" t="s">
        <v>2180</v>
      </c>
      <c r="D71" s="112"/>
      <c r="E71" s="112"/>
      <c r="F71" s="112"/>
      <c r="G71" s="112"/>
      <c r="H71" s="112"/>
      <c r="I71" s="112"/>
      <c r="J71" s="112"/>
      <c r="K71" s="113"/>
      <c r="L71" s="21"/>
      <c r="M71" s="21"/>
      <c r="N71" s="21"/>
      <c r="O71" s="21"/>
      <c r="P71" s="21"/>
      <c r="Q71" s="21"/>
      <c r="R71" s="21"/>
      <c r="S71" s="21"/>
      <c r="T71" s="21"/>
      <c r="U71" s="20"/>
    </row>
    <row r="72" spans="1:21" ht="15" customHeight="1" x14ac:dyDescent="0.3">
      <c r="A72" s="18"/>
      <c r="B72" s="30" t="s">
        <v>2179</v>
      </c>
      <c r="C72" s="250" t="s">
        <v>2200</v>
      </c>
      <c r="D72" s="112"/>
      <c r="E72" s="112"/>
      <c r="F72" s="112"/>
      <c r="G72" s="112"/>
      <c r="H72" s="112"/>
      <c r="I72" s="112"/>
      <c r="J72" s="112"/>
      <c r="K72" s="113"/>
      <c r="L72" s="21"/>
      <c r="M72" s="21"/>
      <c r="N72" s="21"/>
      <c r="O72" s="21"/>
      <c r="P72" s="21"/>
      <c r="Q72" s="21"/>
      <c r="R72" s="21"/>
      <c r="S72" s="21"/>
      <c r="T72" s="21"/>
      <c r="U72" s="20"/>
    </row>
    <row r="73" spans="1:21" ht="15" customHeight="1" x14ac:dyDescent="0.3">
      <c r="A73" s="18"/>
      <c r="B73" s="21"/>
      <c r="C73" s="21"/>
      <c r="D73" s="21"/>
      <c r="E73" s="21"/>
      <c r="F73" s="21"/>
      <c r="G73" s="21"/>
      <c r="H73" s="21"/>
      <c r="I73" s="21"/>
      <c r="J73" s="21"/>
      <c r="K73" s="21"/>
      <c r="L73" s="21"/>
      <c r="M73" s="21"/>
      <c r="N73" s="21"/>
      <c r="O73" s="21"/>
      <c r="P73" s="21"/>
      <c r="Q73" s="21"/>
      <c r="R73" s="21"/>
      <c r="S73" s="21"/>
      <c r="T73" s="21"/>
      <c r="U73" s="20"/>
    </row>
    <row r="74" spans="1:21" ht="15" customHeight="1" x14ac:dyDescent="0.3">
      <c r="A74" s="18"/>
      <c r="B74" s="513" t="s">
        <v>2195</v>
      </c>
      <c r="C74" s="514"/>
      <c r="D74" s="514"/>
      <c r="E74" s="514"/>
      <c r="F74" s="514"/>
      <c r="G74" s="514"/>
      <c r="H74" s="514"/>
      <c r="I74" s="514"/>
      <c r="J74" s="514"/>
      <c r="K74" s="515"/>
      <c r="L74" s="21"/>
      <c r="M74" s="21"/>
      <c r="N74" s="21"/>
      <c r="O74" s="21"/>
      <c r="P74" s="21"/>
      <c r="Q74" s="21"/>
      <c r="R74" s="21"/>
      <c r="S74" s="21"/>
      <c r="T74" s="21"/>
      <c r="U74" s="20"/>
    </row>
    <row r="75" spans="1:21" ht="15" customHeight="1" x14ac:dyDescent="0.3">
      <c r="A75" s="18"/>
      <c r="B75" s="3" t="s">
        <v>2094</v>
      </c>
      <c r="C75" s="183" t="s">
        <v>1</v>
      </c>
      <c r="D75" s="262"/>
      <c r="E75" s="262"/>
      <c r="F75" s="262"/>
      <c r="G75" s="262"/>
      <c r="H75" s="262"/>
      <c r="I75" s="262"/>
      <c r="J75" s="262"/>
      <c r="K75" s="263"/>
      <c r="L75" s="21"/>
      <c r="M75" s="21"/>
      <c r="N75" s="21"/>
      <c r="O75" s="21"/>
      <c r="P75" s="21"/>
      <c r="Q75" s="21"/>
      <c r="R75" s="21"/>
      <c r="S75" s="21"/>
      <c r="T75" s="21"/>
      <c r="U75" s="20"/>
    </row>
    <row r="76" spans="1:21" ht="15" customHeight="1" x14ac:dyDescent="0.3">
      <c r="A76" s="18"/>
      <c r="B76" s="30" t="s">
        <v>3515</v>
      </c>
      <c r="C76" s="250" t="s">
        <v>3516</v>
      </c>
      <c r="D76" s="112"/>
      <c r="E76" s="112"/>
      <c r="F76" s="112"/>
      <c r="G76" s="112"/>
      <c r="H76" s="112"/>
      <c r="I76" s="112"/>
      <c r="J76" s="112"/>
      <c r="K76" s="113"/>
      <c r="L76" s="21"/>
      <c r="M76" s="21"/>
      <c r="N76" s="21"/>
      <c r="O76" s="21"/>
      <c r="P76" s="21"/>
      <c r="Q76" s="21"/>
      <c r="R76" s="21"/>
      <c r="S76" s="21"/>
      <c r="T76" s="21"/>
      <c r="U76" s="20"/>
    </row>
    <row r="77" spans="1:21" ht="15" customHeight="1" x14ac:dyDescent="0.3">
      <c r="A77" s="18"/>
      <c r="B77" s="30" t="s">
        <v>2957</v>
      </c>
      <c r="C77" s="250" t="s">
        <v>2182</v>
      </c>
      <c r="D77" s="112"/>
      <c r="E77" s="112"/>
      <c r="F77" s="112"/>
      <c r="G77" s="112"/>
      <c r="H77" s="112"/>
      <c r="I77" s="112"/>
      <c r="J77" s="112"/>
      <c r="K77" s="113"/>
      <c r="L77" s="21"/>
      <c r="M77" s="21"/>
      <c r="N77" s="21"/>
      <c r="O77" s="21"/>
      <c r="P77" s="21"/>
      <c r="Q77" s="21"/>
      <c r="R77" s="21"/>
      <c r="S77" s="21"/>
      <c r="T77" s="21"/>
      <c r="U77" s="20"/>
    </row>
    <row r="78" spans="1:21" ht="15" customHeight="1" x14ac:dyDescent="0.3">
      <c r="A78" s="18"/>
      <c r="B78" s="30" t="s">
        <v>2183</v>
      </c>
      <c r="C78" s="250" t="s">
        <v>3517</v>
      </c>
      <c r="D78" s="112"/>
      <c r="E78" s="112"/>
      <c r="F78" s="112"/>
      <c r="G78" s="112"/>
      <c r="H78" s="112"/>
      <c r="I78" s="112"/>
      <c r="J78" s="112"/>
      <c r="K78" s="113"/>
      <c r="L78" s="21"/>
      <c r="M78" s="21"/>
      <c r="N78" s="21"/>
      <c r="O78" s="21"/>
      <c r="P78" s="21"/>
      <c r="Q78" s="21"/>
      <c r="R78" s="21"/>
      <c r="S78" s="21"/>
      <c r="T78" s="21"/>
      <c r="U78" s="20"/>
    </row>
    <row r="79" spans="1:21" ht="15" customHeight="1" x14ac:dyDescent="0.3">
      <c r="A79" s="18"/>
      <c r="B79" s="30" t="s">
        <v>2184</v>
      </c>
      <c r="C79" s="250" t="s">
        <v>2185</v>
      </c>
      <c r="D79" s="112"/>
      <c r="E79" s="112"/>
      <c r="F79" s="112"/>
      <c r="G79" s="112"/>
      <c r="H79" s="112"/>
      <c r="I79" s="112"/>
      <c r="J79" s="112"/>
      <c r="K79" s="113"/>
      <c r="L79" s="21"/>
      <c r="M79" s="21"/>
      <c r="N79" s="21"/>
      <c r="O79" s="21"/>
      <c r="P79" s="21"/>
      <c r="Q79" s="21"/>
      <c r="R79" s="21"/>
      <c r="S79" s="21"/>
      <c r="T79" s="21"/>
      <c r="U79" s="20"/>
    </row>
    <row r="80" spans="1:21" ht="15" customHeight="1" x14ac:dyDescent="0.3">
      <c r="A80" s="18"/>
      <c r="B80" s="30" t="s">
        <v>2186</v>
      </c>
      <c r="C80" s="250" t="s">
        <v>2187</v>
      </c>
      <c r="D80" s="112"/>
      <c r="E80" s="112"/>
      <c r="F80" s="112"/>
      <c r="G80" s="112"/>
      <c r="H80" s="112"/>
      <c r="I80" s="112"/>
      <c r="J80" s="112"/>
      <c r="K80" s="113"/>
      <c r="L80" s="21"/>
      <c r="M80" s="21"/>
      <c r="N80" s="21"/>
      <c r="O80" s="21"/>
      <c r="P80" s="21"/>
      <c r="Q80" s="21"/>
      <c r="R80" s="21"/>
      <c r="S80" s="21"/>
      <c r="T80" s="21"/>
      <c r="U80" s="20"/>
    </row>
    <row r="81" spans="1:21" ht="15" customHeight="1" x14ac:dyDescent="0.3">
      <c r="A81" s="18"/>
      <c r="B81" s="30" t="s">
        <v>2188</v>
      </c>
      <c r="C81" s="250" t="s">
        <v>2189</v>
      </c>
      <c r="D81" s="112"/>
      <c r="E81" s="112"/>
      <c r="F81" s="112"/>
      <c r="G81" s="112"/>
      <c r="H81" s="112"/>
      <c r="I81" s="112"/>
      <c r="J81" s="112"/>
      <c r="K81" s="113"/>
      <c r="L81" s="21"/>
      <c r="M81" s="21"/>
      <c r="N81" s="21"/>
      <c r="O81" s="21"/>
      <c r="P81" s="21"/>
      <c r="Q81" s="21"/>
      <c r="R81" s="21"/>
      <c r="S81" s="21"/>
      <c r="T81" s="21"/>
      <c r="U81" s="20"/>
    </row>
    <row r="82" spans="1:21" ht="15" customHeight="1" x14ac:dyDescent="0.3">
      <c r="A82" s="18"/>
      <c r="B82" s="30" t="s">
        <v>2199</v>
      </c>
      <c r="C82" s="250" t="s">
        <v>2190</v>
      </c>
      <c r="D82" s="112"/>
      <c r="E82" s="112"/>
      <c r="F82" s="112"/>
      <c r="G82" s="112"/>
      <c r="H82" s="112"/>
      <c r="I82" s="112"/>
      <c r="J82" s="112"/>
      <c r="K82" s="113"/>
      <c r="L82" s="21"/>
      <c r="M82" s="21"/>
      <c r="N82" s="21"/>
      <c r="O82" s="21"/>
      <c r="P82" s="21"/>
      <c r="Q82" s="21"/>
      <c r="R82" s="21"/>
      <c r="S82" s="21"/>
      <c r="T82" s="21"/>
      <c r="U82" s="20"/>
    </row>
    <row r="83" spans="1:21" ht="15" customHeight="1" x14ac:dyDescent="0.3">
      <c r="A83" s="18"/>
      <c r="B83" s="30" t="s">
        <v>2953</v>
      </c>
      <c r="C83" s="250" t="s">
        <v>2191</v>
      </c>
      <c r="D83" s="112"/>
      <c r="E83" s="112"/>
      <c r="F83" s="112"/>
      <c r="G83" s="112"/>
      <c r="H83" s="112"/>
      <c r="I83" s="112"/>
      <c r="J83" s="112"/>
      <c r="K83" s="113"/>
      <c r="L83" s="21"/>
      <c r="M83" s="21"/>
      <c r="N83" s="21"/>
      <c r="O83" s="21"/>
      <c r="P83" s="21"/>
      <c r="Q83" s="21"/>
      <c r="R83" s="21"/>
      <c r="S83" s="21"/>
      <c r="T83" s="21"/>
      <c r="U83" s="20"/>
    </row>
    <row r="84" spans="1:21" ht="15" customHeight="1" x14ac:dyDescent="0.3">
      <c r="A84" s="18"/>
      <c r="B84" s="30" t="s">
        <v>2954</v>
      </c>
      <c r="C84" s="250" t="s">
        <v>2192</v>
      </c>
      <c r="D84" s="112"/>
      <c r="E84" s="112"/>
      <c r="F84" s="112"/>
      <c r="G84" s="112"/>
      <c r="H84" s="112"/>
      <c r="I84" s="112"/>
      <c r="J84" s="112"/>
      <c r="K84" s="113"/>
      <c r="L84" s="21"/>
      <c r="M84" s="21"/>
      <c r="N84" s="21"/>
      <c r="O84" s="21"/>
      <c r="P84" s="21"/>
      <c r="Q84" s="21"/>
      <c r="R84" s="21"/>
      <c r="S84" s="21"/>
      <c r="T84" s="21"/>
      <c r="U84" s="20"/>
    </row>
    <row r="85" spans="1:21" ht="15" customHeight="1" x14ac:dyDescent="0.3">
      <c r="A85" s="18"/>
      <c r="B85" s="30" t="s">
        <v>2193</v>
      </c>
      <c r="C85" s="250" t="s">
        <v>2194</v>
      </c>
      <c r="D85" s="112"/>
      <c r="E85" s="112"/>
      <c r="F85" s="112"/>
      <c r="G85" s="112"/>
      <c r="H85" s="112"/>
      <c r="I85" s="112"/>
      <c r="J85" s="112"/>
      <c r="K85" s="113"/>
      <c r="L85" s="21"/>
      <c r="M85" s="21"/>
      <c r="N85" s="21"/>
      <c r="O85" s="21"/>
      <c r="P85" s="21"/>
      <c r="Q85" s="21"/>
      <c r="R85" s="21"/>
      <c r="S85" s="21"/>
      <c r="T85" s="21"/>
      <c r="U85" s="20"/>
    </row>
    <row r="86" spans="1:21" ht="15" customHeight="1" x14ac:dyDescent="0.3">
      <c r="A86" s="18"/>
      <c r="B86" s="30" t="s">
        <v>2955</v>
      </c>
      <c r="C86" s="250" t="s">
        <v>3518</v>
      </c>
      <c r="D86" s="112"/>
      <c r="E86" s="112"/>
      <c r="F86" s="112"/>
      <c r="G86" s="112"/>
      <c r="H86" s="112"/>
      <c r="I86" s="112"/>
      <c r="J86" s="112"/>
      <c r="K86" s="113"/>
      <c r="L86" s="21"/>
      <c r="M86" s="21"/>
      <c r="N86" s="21"/>
      <c r="O86" s="21"/>
      <c r="P86" s="21"/>
      <c r="Q86" s="21"/>
      <c r="R86" s="21"/>
      <c r="S86" s="21"/>
      <c r="T86" s="21"/>
      <c r="U86" s="20"/>
    </row>
    <row r="87" spans="1:21" ht="15" customHeight="1" x14ac:dyDescent="0.3">
      <c r="A87" s="18"/>
      <c r="B87" s="30" t="s">
        <v>2956</v>
      </c>
      <c r="C87" s="250" t="s">
        <v>2958</v>
      </c>
      <c r="D87" s="112"/>
      <c r="E87" s="112"/>
      <c r="F87" s="112"/>
      <c r="G87" s="112"/>
      <c r="H87" s="112"/>
      <c r="I87" s="112"/>
      <c r="J87" s="112"/>
      <c r="K87" s="113"/>
      <c r="L87" s="21"/>
      <c r="M87" s="21"/>
      <c r="N87" s="21"/>
      <c r="O87" s="21"/>
      <c r="P87" s="21"/>
      <c r="Q87" s="21"/>
      <c r="R87" s="21"/>
      <c r="S87" s="21"/>
      <c r="T87" s="21"/>
      <c r="U87" s="20"/>
    </row>
    <row r="88" spans="1:21" x14ac:dyDescent="0.3">
      <c r="A88" s="18"/>
      <c r="B88" s="21"/>
      <c r="C88" s="21"/>
      <c r="D88" s="21"/>
      <c r="E88" s="21"/>
      <c r="F88" s="21"/>
      <c r="G88" s="21"/>
      <c r="H88" s="21"/>
      <c r="I88" s="21"/>
      <c r="J88" s="21"/>
      <c r="K88" s="21"/>
      <c r="L88" s="21"/>
      <c r="M88" s="21"/>
      <c r="N88" s="21"/>
      <c r="O88" s="21"/>
      <c r="P88" s="21"/>
      <c r="Q88" s="21"/>
      <c r="R88" s="21"/>
      <c r="S88" s="21"/>
      <c r="T88" s="101" t="s">
        <v>3513</v>
      </c>
      <c r="U88" s="20"/>
    </row>
    <row r="89" spans="1:21" x14ac:dyDescent="0.3">
      <c r="A89" s="18"/>
      <c r="B89" s="21"/>
      <c r="C89" s="21"/>
      <c r="D89" s="21"/>
      <c r="E89" s="21"/>
      <c r="F89" s="21"/>
      <c r="G89" s="21"/>
      <c r="H89" s="21"/>
      <c r="I89" s="21"/>
      <c r="J89" s="21"/>
      <c r="K89" s="21"/>
      <c r="L89" s="21"/>
      <c r="M89" s="21"/>
      <c r="N89" s="21"/>
      <c r="O89" s="21"/>
      <c r="P89" s="21"/>
      <c r="Q89" s="21"/>
      <c r="R89" s="21"/>
      <c r="S89" s="21"/>
      <c r="T89" s="150" t="s">
        <v>3519</v>
      </c>
      <c r="U89" s="20"/>
    </row>
    <row r="90" spans="1:21" x14ac:dyDescent="0.3">
      <c r="A90" s="18"/>
      <c r="B90" s="21"/>
      <c r="C90" s="21"/>
      <c r="D90" s="21"/>
      <c r="E90" s="21"/>
      <c r="F90" s="21"/>
      <c r="G90" s="21"/>
      <c r="H90" s="21"/>
      <c r="I90" s="21"/>
      <c r="J90" s="21"/>
      <c r="K90" s="21"/>
      <c r="L90" s="21"/>
      <c r="M90" s="21"/>
      <c r="N90" s="21"/>
      <c r="O90" s="21"/>
      <c r="P90" s="21"/>
      <c r="Q90" s="21"/>
      <c r="R90" s="21"/>
      <c r="S90" s="21"/>
      <c r="T90" s="21"/>
      <c r="U90" s="20"/>
    </row>
    <row r="91" spans="1:21" x14ac:dyDescent="0.3">
      <c r="A91" s="18"/>
      <c r="B91" s="21"/>
      <c r="C91" s="21"/>
      <c r="D91" s="21"/>
      <c r="E91" s="21"/>
      <c r="F91" s="21"/>
      <c r="G91" s="21"/>
      <c r="H91" s="21"/>
      <c r="I91" s="21"/>
      <c r="J91" s="21"/>
      <c r="K91" s="21"/>
      <c r="L91" s="21"/>
      <c r="M91" s="21"/>
      <c r="N91" s="21"/>
      <c r="O91" s="21"/>
      <c r="P91" s="21"/>
      <c r="Q91" s="21"/>
      <c r="R91" s="21"/>
      <c r="S91" s="21"/>
      <c r="T91" s="21"/>
      <c r="U91" s="20"/>
    </row>
    <row r="92" spans="1:21" x14ac:dyDescent="0.3">
      <c r="A92" s="18"/>
      <c r="B92" s="21"/>
      <c r="C92" s="21"/>
      <c r="D92" s="21"/>
      <c r="E92" s="21"/>
      <c r="F92" s="21"/>
      <c r="G92" s="21"/>
      <c r="H92" s="21"/>
      <c r="I92" s="21"/>
      <c r="J92" s="21"/>
      <c r="K92" s="21"/>
      <c r="L92" s="21"/>
      <c r="M92" s="21"/>
      <c r="N92" s="21"/>
      <c r="O92" s="21"/>
      <c r="P92" s="21"/>
      <c r="Q92" s="21"/>
      <c r="R92" s="21"/>
      <c r="S92" s="21"/>
      <c r="T92" s="21"/>
      <c r="U92" s="20"/>
    </row>
    <row r="93" spans="1:21" x14ac:dyDescent="0.3">
      <c r="A93" s="18"/>
      <c r="B93" s="21"/>
      <c r="C93" s="21"/>
      <c r="D93" s="21"/>
      <c r="E93" s="21"/>
      <c r="F93" s="21"/>
      <c r="G93" s="21"/>
      <c r="H93" s="21"/>
      <c r="I93" s="21"/>
      <c r="J93" s="21"/>
      <c r="K93" s="21"/>
      <c r="L93" s="21"/>
      <c r="M93" s="21"/>
      <c r="N93" s="21"/>
      <c r="O93" s="21"/>
      <c r="P93" s="21"/>
      <c r="Q93" s="21"/>
      <c r="R93" s="21"/>
      <c r="S93" s="21"/>
      <c r="T93" s="21"/>
      <c r="U93" s="20"/>
    </row>
    <row r="94" spans="1:21" x14ac:dyDescent="0.3">
      <c r="A94" s="18"/>
      <c r="B94" s="21"/>
      <c r="C94" s="21"/>
      <c r="D94" s="21"/>
      <c r="E94" s="21"/>
      <c r="F94" s="21"/>
      <c r="G94" s="21"/>
      <c r="H94" s="21"/>
      <c r="I94" s="21"/>
      <c r="J94" s="21"/>
      <c r="K94" s="21"/>
      <c r="L94" s="21"/>
      <c r="M94" s="21"/>
      <c r="N94" s="21"/>
      <c r="O94" s="21"/>
      <c r="P94" s="21"/>
      <c r="Q94" s="21"/>
      <c r="R94" s="21"/>
      <c r="S94" s="21"/>
      <c r="T94" s="21"/>
      <c r="U94" s="20"/>
    </row>
    <row r="95" spans="1:21" x14ac:dyDescent="0.3">
      <c r="A95" s="18"/>
      <c r="B95" s="21"/>
      <c r="C95" s="21"/>
      <c r="D95" s="21"/>
      <c r="E95" s="21"/>
      <c r="F95" s="21"/>
      <c r="G95" s="21"/>
      <c r="H95" s="21"/>
      <c r="I95" s="21"/>
      <c r="J95" s="21"/>
      <c r="K95" s="21"/>
      <c r="L95" s="21"/>
      <c r="M95" s="21"/>
      <c r="N95" s="21"/>
      <c r="O95" s="21"/>
      <c r="P95" s="21"/>
      <c r="Q95" s="21"/>
      <c r="R95" s="21"/>
      <c r="S95" s="21"/>
      <c r="T95" s="21"/>
      <c r="U95" s="20"/>
    </row>
    <row r="96" spans="1:21" x14ac:dyDescent="0.3">
      <c r="A96" s="18"/>
      <c r="B96" s="21"/>
      <c r="C96" s="21"/>
      <c r="D96" s="21"/>
      <c r="E96" s="21"/>
      <c r="F96" s="21"/>
      <c r="G96" s="21"/>
      <c r="H96" s="21"/>
      <c r="I96" s="21"/>
      <c r="J96" s="21"/>
      <c r="K96" s="21"/>
      <c r="L96" s="21"/>
      <c r="M96" s="21"/>
      <c r="N96" s="21"/>
      <c r="O96" s="21"/>
      <c r="P96" s="21"/>
      <c r="Q96" s="21"/>
      <c r="R96" s="21"/>
      <c r="S96" s="21"/>
      <c r="T96" s="21"/>
      <c r="U96" s="20"/>
    </row>
    <row r="97" spans="1:21" x14ac:dyDescent="0.3">
      <c r="A97" s="18"/>
      <c r="B97" s="21"/>
      <c r="C97" s="21"/>
      <c r="D97" s="21"/>
      <c r="E97" s="21"/>
      <c r="F97" s="21"/>
      <c r="G97" s="21"/>
      <c r="H97" s="21"/>
      <c r="I97" s="21"/>
      <c r="J97" s="21"/>
      <c r="K97" s="21"/>
      <c r="L97" s="21"/>
      <c r="M97" s="21"/>
      <c r="N97" s="21"/>
      <c r="O97" s="21"/>
      <c r="P97" s="21"/>
      <c r="Q97" s="21"/>
      <c r="R97" s="21"/>
      <c r="S97" s="21"/>
      <c r="T97" s="21"/>
      <c r="U97" s="20"/>
    </row>
    <row r="98" spans="1:21" x14ac:dyDescent="0.3">
      <c r="A98" s="18"/>
      <c r="B98" s="21"/>
      <c r="C98" s="21"/>
      <c r="D98" s="21"/>
      <c r="E98" s="21"/>
      <c r="F98" s="21"/>
      <c r="G98" s="21"/>
      <c r="H98" s="21"/>
      <c r="I98" s="21"/>
      <c r="J98" s="21"/>
      <c r="K98" s="21"/>
      <c r="L98" s="21"/>
      <c r="M98" s="21"/>
      <c r="N98" s="21"/>
      <c r="O98" s="21"/>
      <c r="P98" s="21"/>
      <c r="Q98" s="21"/>
      <c r="R98" s="21"/>
      <c r="S98" s="21"/>
      <c r="T98" s="21"/>
      <c r="U98" s="20"/>
    </row>
    <row r="99" spans="1:21" x14ac:dyDescent="0.3">
      <c r="A99" s="18"/>
      <c r="B99" s="21"/>
      <c r="C99" s="21"/>
      <c r="D99" s="21"/>
      <c r="E99" s="21"/>
      <c r="F99" s="21"/>
      <c r="G99" s="21"/>
      <c r="H99" s="21"/>
      <c r="I99" s="21"/>
      <c r="J99" s="21"/>
      <c r="K99" s="21"/>
      <c r="L99" s="21"/>
      <c r="M99" s="21"/>
      <c r="N99" s="21"/>
      <c r="O99" s="21"/>
      <c r="P99" s="21"/>
      <c r="Q99" s="21"/>
      <c r="R99" s="21"/>
      <c r="S99" s="21"/>
      <c r="T99" s="21"/>
      <c r="U99" s="20"/>
    </row>
    <row r="100" spans="1:21" x14ac:dyDescent="0.3">
      <c r="A100" s="18"/>
      <c r="B100" s="21"/>
      <c r="C100" s="21"/>
      <c r="D100" s="21"/>
      <c r="E100" s="21"/>
      <c r="F100" s="21"/>
      <c r="G100" s="21"/>
      <c r="H100" s="21"/>
      <c r="I100" s="21"/>
      <c r="J100" s="21"/>
      <c r="K100" s="21"/>
      <c r="L100" s="21"/>
      <c r="M100" s="21"/>
      <c r="N100" s="21"/>
      <c r="O100" s="21"/>
      <c r="P100" s="21"/>
      <c r="Q100" s="21"/>
      <c r="R100" s="21"/>
      <c r="S100" s="21"/>
      <c r="T100" s="21"/>
      <c r="U100" s="20"/>
    </row>
    <row r="101" spans="1:21" x14ac:dyDescent="0.3">
      <c r="A101" s="18"/>
      <c r="B101" s="21"/>
      <c r="C101" s="21"/>
      <c r="D101" s="21"/>
      <c r="E101" s="21"/>
      <c r="F101" s="21"/>
      <c r="G101" s="21"/>
      <c r="H101" s="21"/>
      <c r="I101" s="21"/>
      <c r="J101" s="21"/>
      <c r="K101" s="21"/>
      <c r="L101" s="21"/>
      <c r="M101" s="21"/>
      <c r="N101" s="21"/>
      <c r="O101" s="21"/>
      <c r="P101" s="21"/>
      <c r="Q101" s="21"/>
      <c r="R101" s="21"/>
      <c r="S101" s="21"/>
      <c r="T101" s="21"/>
      <c r="U101" s="20"/>
    </row>
    <row r="102" spans="1:21" ht="15" thickBot="1" x14ac:dyDescent="0.35">
      <c r="A102" s="22"/>
      <c r="B102" s="23"/>
      <c r="C102" s="23"/>
      <c r="D102" s="23"/>
      <c r="E102" s="23"/>
      <c r="F102" s="23"/>
      <c r="G102" s="23"/>
      <c r="H102" s="23"/>
      <c r="I102" s="23"/>
      <c r="J102" s="23"/>
      <c r="K102" s="23"/>
      <c r="L102" s="23"/>
      <c r="M102" s="23"/>
      <c r="N102" s="23"/>
      <c r="O102" s="23"/>
      <c r="P102" s="23"/>
      <c r="Q102" s="23"/>
      <c r="R102" s="23"/>
      <c r="S102" s="23"/>
      <c r="T102" s="23"/>
      <c r="U102" s="24"/>
    </row>
  </sheetData>
  <mergeCells count="24">
    <mergeCell ref="B66:K66"/>
    <mergeCell ref="B74:K74"/>
    <mergeCell ref="B46:K46"/>
    <mergeCell ref="AF22:AF24"/>
    <mergeCell ref="W3:AF3"/>
    <mergeCell ref="W4:X6"/>
    <mergeCell ref="Y4:AF6"/>
    <mergeCell ref="W7:X7"/>
    <mergeCell ref="Y7:AE7"/>
    <mergeCell ref="W8:X10"/>
    <mergeCell ref="Y8:AE10"/>
    <mergeCell ref="AF8:AF10"/>
    <mergeCell ref="W17:AF17"/>
    <mergeCell ref="W18:X20"/>
    <mergeCell ref="Y18:AF20"/>
    <mergeCell ref="W11:X13"/>
    <mergeCell ref="Y11:AE13"/>
    <mergeCell ref="AF11:AF13"/>
    <mergeCell ref="B27:D27"/>
    <mergeCell ref="B31:C31"/>
    <mergeCell ref="W21:X21"/>
    <mergeCell ref="Y21:AE21"/>
    <mergeCell ref="W22:X24"/>
    <mergeCell ref="Y22:AE24"/>
  </mergeCells>
  <pageMargins left="0.7" right="0.7" top="0.75" bottom="0.75" header="0.3" footer="0.3"/>
  <pageSetup orientation="portrait" r:id="rId1"/>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4"/>
  <dimension ref="A1:T173"/>
  <sheetViews>
    <sheetView workbookViewId="0">
      <pane ySplit="1" topLeftCell="A2" activePane="bottomLeft" state="frozen"/>
      <selection activeCell="C33" sqref="C33"/>
      <selection pane="bottomLeft"/>
    </sheetView>
  </sheetViews>
  <sheetFormatPr defaultColWidth="9.21875" defaultRowHeight="14.4" x14ac:dyDescent="0.3"/>
  <cols>
    <col min="2" max="2" width="28.21875" customWidth="1"/>
    <col min="3" max="3" width="36" bestFit="1" customWidth="1"/>
    <col min="4" max="4" width="14.77734375" customWidth="1"/>
    <col min="5" max="8" width="14.44140625" customWidth="1"/>
    <col min="9" max="9" width="36.5546875" customWidth="1"/>
    <col min="11" max="12" width="10.5546875" customWidth="1"/>
    <col min="13" max="19" width="11.44140625" customWidth="1"/>
  </cols>
  <sheetData>
    <row r="1" spans="1:20" ht="34.5" customHeight="1" thickBot="1" x14ac:dyDescent="0.35">
      <c r="A1" s="292" t="s">
        <v>1580</v>
      </c>
      <c r="B1" s="473" t="e" vm="1">
        <v>#VALUE!</v>
      </c>
      <c r="C1" s="8" t="s">
        <v>192</v>
      </c>
      <c r="D1" s="27"/>
      <c r="E1" s="16"/>
      <c r="F1" s="16"/>
      <c r="G1" s="16"/>
      <c r="H1" s="16"/>
      <c r="I1" s="19"/>
    </row>
    <row r="2" spans="1:20" ht="15" customHeight="1" x14ac:dyDescent="0.3">
      <c r="A2" s="18"/>
      <c r="B2" s="25"/>
      <c r="C2" s="25"/>
      <c r="D2" s="21"/>
      <c r="E2" s="21"/>
      <c r="F2" s="21"/>
      <c r="G2" s="21"/>
      <c r="H2" s="21"/>
      <c r="I2" s="20"/>
    </row>
    <row r="3" spans="1:20" ht="15" customHeight="1" x14ac:dyDescent="0.3">
      <c r="A3" s="18"/>
      <c r="B3" s="21"/>
      <c r="C3" s="21"/>
      <c r="D3" s="26"/>
      <c r="E3" s="21"/>
      <c r="F3" s="21"/>
      <c r="G3" s="21"/>
      <c r="H3" s="21"/>
      <c r="I3" s="20"/>
      <c r="K3" s="486" t="s">
        <v>3520</v>
      </c>
      <c r="L3" s="486"/>
      <c r="M3" s="486"/>
      <c r="N3" s="486"/>
      <c r="O3" s="486"/>
      <c r="P3" s="486"/>
      <c r="Q3" s="486"/>
      <c r="R3" s="486"/>
      <c r="S3" s="486"/>
      <c r="T3" s="486"/>
    </row>
    <row r="4" spans="1:20" ht="15" customHeight="1" x14ac:dyDescent="0.3">
      <c r="A4" s="18"/>
      <c r="B4" s="2" t="s">
        <v>3520</v>
      </c>
      <c r="C4" s="100" t="s">
        <v>3521</v>
      </c>
      <c r="D4" s="26"/>
      <c r="E4" s="21"/>
      <c r="F4" s="21"/>
      <c r="G4" s="21"/>
      <c r="H4" s="21"/>
      <c r="I4" s="20"/>
      <c r="K4" s="487" t="s">
        <v>333</v>
      </c>
      <c r="L4" s="487"/>
      <c r="M4" s="487" t="s">
        <v>512</v>
      </c>
      <c r="N4" s="487"/>
      <c r="O4" s="487"/>
      <c r="P4" s="487"/>
      <c r="Q4" s="487"/>
      <c r="R4" s="487"/>
      <c r="S4" s="487"/>
      <c r="T4" s="487"/>
    </row>
    <row r="5" spans="1:20" x14ac:dyDescent="0.3">
      <c r="A5" s="18"/>
      <c r="B5" s="21"/>
      <c r="C5" s="21"/>
      <c r="D5" s="21"/>
      <c r="E5" s="21"/>
      <c r="F5" s="21"/>
      <c r="G5" s="21"/>
      <c r="H5" s="21"/>
      <c r="I5" s="20"/>
      <c r="K5" s="487"/>
      <c r="L5" s="487"/>
      <c r="M5" s="487"/>
      <c r="N5" s="487"/>
      <c r="O5" s="487"/>
      <c r="P5" s="487"/>
      <c r="Q5" s="487"/>
      <c r="R5" s="487"/>
      <c r="S5" s="487"/>
      <c r="T5" s="487"/>
    </row>
    <row r="6" spans="1:20" x14ac:dyDescent="0.3">
      <c r="A6" s="18"/>
      <c r="B6" s="21"/>
      <c r="C6" s="21"/>
      <c r="D6" s="21"/>
      <c r="E6" s="21"/>
      <c r="F6" s="21"/>
      <c r="G6" s="21"/>
      <c r="H6" s="21"/>
      <c r="I6" s="20"/>
      <c r="K6" s="487"/>
      <c r="L6" s="487"/>
      <c r="M6" s="487"/>
      <c r="N6" s="487"/>
      <c r="O6" s="487"/>
      <c r="P6" s="487"/>
      <c r="Q6" s="487"/>
      <c r="R6" s="487"/>
      <c r="S6" s="487"/>
      <c r="T6" s="487"/>
    </row>
    <row r="7" spans="1:20" x14ac:dyDescent="0.3">
      <c r="A7" s="18"/>
      <c r="B7" s="21"/>
      <c r="C7" s="21"/>
      <c r="D7" s="21"/>
      <c r="E7" s="21"/>
      <c r="F7" s="21"/>
      <c r="G7" s="21"/>
      <c r="H7" s="21"/>
      <c r="I7" s="20"/>
      <c r="K7" s="483" t="s">
        <v>323</v>
      </c>
      <c r="L7" s="483"/>
      <c r="M7" s="483" t="s">
        <v>1</v>
      </c>
      <c r="N7" s="483"/>
      <c r="O7" s="483"/>
      <c r="P7" s="483"/>
      <c r="Q7" s="483"/>
      <c r="R7" s="483"/>
      <c r="S7" s="483"/>
      <c r="T7" s="85" t="s">
        <v>324</v>
      </c>
    </row>
    <row r="8" spans="1:20" x14ac:dyDescent="0.3">
      <c r="A8" s="18"/>
      <c r="B8" s="21"/>
      <c r="C8" s="99"/>
      <c r="D8" s="21"/>
      <c r="E8" s="21"/>
      <c r="F8" s="21"/>
      <c r="G8" s="21"/>
      <c r="H8" s="21"/>
      <c r="I8" s="20"/>
      <c r="K8" s="487" t="s">
        <v>513</v>
      </c>
      <c r="L8" s="487"/>
      <c r="M8" s="487" t="s">
        <v>975</v>
      </c>
      <c r="N8" s="487"/>
      <c r="O8" s="487"/>
      <c r="P8" s="487"/>
      <c r="Q8" s="487"/>
      <c r="R8" s="487"/>
      <c r="S8" s="487"/>
      <c r="T8" s="509" t="s">
        <v>325</v>
      </c>
    </row>
    <row r="9" spans="1:20" x14ac:dyDescent="0.3">
      <c r="A9" s="18"/>
      <c r="B9" s="21"/>
      <c r="C9" s="21"/>
      <c r="D9" s="21"/>
      <c r="E9" s="21"/>
      <c r="F9" s="21"/>
      <c r="G9" s="21"/>
      <c r="H9" s="21"/>
      <c r="I9" s="20"/>
      <c r="K9" s="487"/>
      <c r="L9" s="487"/>
      <c r="M9" s="487"/>
      <c r="N9" s="487"/>
      <c r="O9" s="487"/>
      <c r="P9" s="487"/>
      <c r="Q9" s="487"/>
      <c r="R9" s="487"/>
      <c r="S9" s="487"/>
      <c r="T9" s="509"/>
    </row>
    <row r="10" spans="1:20" x14ac:dyDescent="0.3">
      <c r="A10" s="18"/>
      <c r="B10" s="21"/>
      <c r="C10" s="21"/>
      <c r="D10" s="21"/>
      <c r="E10" s="21"/>
      <c r="F10" s="21"/>
      <c r="G10" s="21"/>
      <c r="H10" s="21"/>
      <c r="I10" s="20"/>
      <c r="K10" s="487"/>
      <c r="L10" s="487"/>
      <c r="M10" s="487"/>
      <c r="N10" s="487"/>
      <c r="O10" s="487"/>
      <c r="P10" s="487"/>
      <c r="Q10" s="487"/>
      <c r="R10" s="487"/>
      <c r="S10" s="487"/>
      <c r="T10" s="509"/>
    </row>
    <row r="11" spans="1:20" ht="15" customHeight="1" x14ac:dyDescent="0.3">
      <c r="A11" s="18"/>
      <c r="B11" s="21"/>
      <c r="C11" s="21"/>
      <c r="D11" s="21"/>
      <c r="E11" s="21"/>
      <c r="F11" s="21"/>
      <c r="G11" s="21"/>
      <c r="H11" s="21"/>
      <c r="I11" s="20"/>
      <c r="K11" s="487" t="s">
        <v>514</v>
      </c>
      <c r="L11" s="487"/>
      <c r="M11" s="487" t="s">
        <v>3522</v>
      </c>
      <c r="N11" s="487"/>
      <c r="O11" s="487"/>
      <c r="P11" s="487"/>
      <c r="Q11" s="487"/>
      <c r="R11" s="487"/>
      <c r="S11" s="487"/>
      <c r="T11" s="509" t="s">
        <v>325</v>
      </c>
    </row>
    <row r="12" spans="1:20" x14ac:dyDescent="0.3">
      <c r="A12" s="18"/>
      <c r="B12" s="21"/>
      <c r="C12" s="21"/>
      <c r="D12" s="21"/>
      <c r="E12" s="21"/>
      <c r="F12" s="21"/>
      <c r="G12" s="21"/>
      <c r="H12" s="21"/>
      <c r="I12" s="20"/>
      <c r="K12" s="487"/>
      <c r="L12" s="487"/>
      <c r="M12" s="487"/>
      <c r="N12" s="487"/>
      <c r="O12" s="487"/>
      <c r="P12" s="487"/>
      <c r="Q12" s="487"/>
      <c r="R12" s="487"/>
      <c r="S12" s="487"/>
      <c r="T12" s="509"/>
    </row>
    <row r="13" spans="1:20" x14ac:dyDescent="0.3">
      <c r="A13" s="18"/>
      <c r="B13" s="21"/>
      <c r="C13" s="21"/>
      <c r="D13" s="21"/>
      <c r="E13" s="21"/>
      <c r="F13" s="21"/>
      <c r="G13" s="21"/>
      <c r="H13" s="21"/>
      <c r="I13" s="20"/>
      <c r="K13" s="487"/>
      <c r="L13" s="487"/>
      <c r="M13" s="487"/>
      <c r="N13" s="487"/>
      <c r="O13" s="487"/>
      <c r="P13" s="487"/>
      <c r="Q13" s="487"/>
      <c r="R13" s="487"/>
      <c r="S13" s="487"/>
      <c r="T13" s="509"/>
    </row>
    <row r="14" spans="1:20" x14ac:dyDescent="0.3">
      <c r="A14" s="18"/>
      <c r="B14" s="21"/>
      <c r="C14" s="21"/>
      <c r="D14" s="21"/>
      <c r="E14" s="21"/>
      <c r="F14" s="21"/>
      <c r="G14" s="21"/>
      <c r="H14" s="21"/>
      <c r="I14" s="20"/>
      <c r="K14" s="484" t="s">
        <v>515</v>
      </c>
      <c r="L14" s="484"/>
      <c r="M14" s="484" t="s">
        <v>516</v>
      </c>
      <c r="N14" s="484"/>
      <c r="O14" s="484"/>
      <c r="P14" s="484"/>
      <c r="Q14" s="484"/>
      <c r="R14" s="484"/>
      <c r="S14" s="484"/>
      <c r="T14" s="485" t="s">
        <v>326</v>
      </c>
    </row>
    <row r="15" spans="1:20" x14ac:dyDescent="0.3">
      <c r="A15" s="18"/>
      <c r="B15" s="21"/>
      <c r="C15" s="21"/>
      <c r="D15" s="21"/>
      <c r="E15" s="21"/>
      <c r="F15" s="21"/>
      <c r="G15" s="21"/>
      <c r="H15" s="21"/>
      <c r="I15" s="20"/>
      <c r="K15" s="484"/>
      <c r="L15" s="484"/>
      <c r="M15" s="484"/>
      <c r="N15" s="484"/>
      <c r="O15" s="484"/>
      <c r="P15" s="484"/>
      <c r="Q15" s="484"/>
      <c r="R15" s="484"/>
      <c r="S15" s="484"/>
      <c r="T15" s="485"/>
    </row>
    <row r="16" spans="1:20" x14ac:dyDescent="0.3">
      <c r="A16" s="18"/>
      <c r="B16" s="21"/>
      <c r="C16" s="21"/>
      <c r="D16" s="21"/>
      <c r="E16" s="21"/>
      <c r="F16" s="21"/>
      <c r="G16" s="21"/>
      <c r="H16" s="21"/>
      <c r="I16" s="20"/>
      <c r="K16" s="484"/>
      <c r="L16" s="484"/>
      <c r="M16" s="484"/>
      <c r="N16" s="484"/>
      <c r="O16" s="484"/>
      <c r="P16" s="484"/>
      <c r="Q16" s="484"/>
      <c r="R16" s="484"/>
      <c r="S16" s="484"/>
      <c r="T16" s="485"/>
    </row>
    <row r="17" spans="1:20" x14ac:dyDescent="0.3">
      <c r="A17" s="18"/>
      <c r="B17" s="21"/>
      <c r="C17" s="21"/>
      <c r="D17" s="21"/>
      <c r="E17" s="21"/>
      <c r="F17" s="21"/>
      <c r="G17" s="21"/>
      <c r="H17" s="21"/>
      <c r="I17" s="20"/>
      <c r="K17" s="484" t="s">
        <v>1726</v>
      </c>
      <c r="L17" s="484"/>
      <c r="M17" s="484" t="s">
        <v>1727</v>
      </c>
      <c r="N17" s="484"/>
      <c r="O17" s="484"/>
      <c r="P17" s="484"/>
      <c r="Q17" s="484"/>
      <c r="R17" s="484"/>
      <c r="S17" s="484"/>
      <c r="T17" s="485" t="s">
        <v>326</v>
      </c>
    </row>
    <row r="18" spans="1:20" x14ac:dyDescent="0.3">
      <c r="A18" s="18"/>
      <c r="B18" s="21"/>
      <c r="C18" s="21"/>
      <c r="D18" s="21"/>
      <c r="E18" s="21"/>
      <c r="F18" s="21"/>
      <c r="G18" s="21"/>
      <c r="H18" s="21"/>
      <c r="I18" s="20"/>
      <c r="K18" s="484"/>
      <c r="L18" s="484"/>
      <c r="M18" s="484"/>
      <c r="N18" s="484"/>
      <c r="O18" s="484"/>
      <c r="P18" s="484"/>
      <c r="Q18" s="484"/>
      <c r="R18" s="484"/>
      <c r="S18" s="484"/>
      <c r="T18" s="485"/>
    </row>
    <row r="19" spans="1:20" x14ac:dyDescent="0.3">
      <c r="A19" s="18"/>
      <c r="B19" s="21"/>
      <c r="C19" s="21"/>
      <c r="D19" s="21"/>
      <c r="E19" s="21"/>
      <c r="F19" s="21"/>
      <c r="G19" s="21"/>
      <c r="H19" s="21"/>
      <c r="I19" s="20"/>
      <c r="K19" s="484"/>
      <c r="L19" s="484"/>
      <c r="M19" s="484"/>
      <c r="N19" s="484"/>
      <c r="O19" s="484"/>
      <c r="P19" s="484"/>
      <c r="Q19" s="484"/>
      <c r="R19" s="484"/>
      <c r="S19" s="484"/>
      <c r="T19" s="485"/>
    </row>
    <row r="20" spans="1:20" x14ac:dyDescent="0.3">
      <c r="A20" s="18"/>
      <c r="B20" s="21"/>
      <c r="C20" s="21"/>
      <c r="D20" s="21"/>
      <c r="E20" s="21"/>
      <c r="F20" s="21"/>
      <c r="G20" s="21"/>
      <c r="H20" s="21"/>
      <c r="I20" s="20"/>
      <c r="K20" s="126" t="s">
        <v>328</v>
      </c>
    </row>
    <row r="21" spans="1:20" x14ac:dyDescent="0.3">
      <c r="A21" s="18"/>
      <c r="B21" s="21"/>
      <c r="C21" s="21"/>
      <c r="D21" s="21"/>
      <c r="E21" s="21"/>
      <c r="F21" s="21"/>
      <c r="G21" s="21"/>
      <c r="H21" s="21"/>
      <c r="I21" s="20"/>
    </row>
    <row r="22" spans="1:20" x14ac:dyDescent="0.3">
      <c r="A22" s="18"/>
      <c r="B22" s="21"/>
      <c r="C22" s="21"/>
      <c r="D22" s="21"/>
      <c r="E22" s="21"/>
      <c r="F22" s="21"/>
      <c r="G22" s="21"/>
      <c r="H22" s="21"/>
      <c r="I22" s="20"/>
    </row>
    <row r="23" spans="1:20" x14ac:dyDescent="0.3">
      <c r="A23" s="18"/>
      <c r="B23" s="21"/>
      <c r="C23" s="21"/>
      <c r="D23" s="21"/>
      <c r="E23" s="21"/>
      <c r="F23" s="21"/>
      <c r="G23" s="21"/>
      <c r="H23" s="21"/>
      <c r="I23" s="20"/>
      <c r="K23" s="486" t="s">
        <v>3523</v>
      </c>
      <c r="L23" s="486"/>
      <c r="M23" s="486"/>
      <c r="N23" s="486"/>
      <c r="O23" s="486"/>
      <c r="P23" s="486"/>
      <c r="Q23" s="486"/>
      <c r="R23" s="486"/>
      <c r="S23" s="486"/>
      <c r="T23" s="486"/>
    </row>
    <row r="24" spans="1:20" x14ac:dyDescent="0.3">
      <c r="A24" s="18"/>
      <c r="B24" s="21"/>
      <c r="C24" s="21"/>
      <c r="D24" s="21"/>
      <c r="E24" s="21"/>
      <c r="F24" s="21"/>
      <c r="G24" s="21"/>
      <c r="H24" s="21"/>
      <c r="I24" s="20"/>
      <c r="K24" s="487" t="s">
        <v>333</v>
      </c>
      <c r="L24" s="487"/>
      <c r="M24" s="487" t="s">
        <v>956</v>
      </c>
      <c r="N24" s="487"/>
      <c r="O24" s="487"/>
      <c r="P24" s="487"/>
      <c r="Q24" s="487"/>
      <c r="R24" s="487"/>
      <c r="S24" s="487"/>
      <c r="T24" s="487"/>
    </row>
    <row r="25" spans="1:20" x14ac:dyDescent="0.3">
      <c r="A25" s="18"/>
      <c r="B25" s="101" t="s">
        <v>3523</v>
      </c>
      <c r="C25" s="21"/>
      <c r="D25" s="21"/>
      <c r="E25" s="21"/>
      <c r="F25" s="21"/>
      <c r="G25" s="21"/>
      <c r="H25" s="21"/>
      <c r="I25" s="20"/>
      <c r="K25" s="487"/>
      <c r="L25" s="487"/>
      <c r="M25" s="487"/>
      <c r="N25" s="487"/>
      <c r="O25" s="487"/>
      <c r="P25" s="487"/>
      <c r="Q25" s="487"/>
      <c r="R25" s="487"/>
      <c r="S25" s="487"/>
      <c r="T25" s="487"/>
    </row>
    <row r="26" spans="1:20" x14ac:dyDescent="0.3">
      <c r="A26" s="18"/>
      <c r="B26" s="30" t="b" cm="1">
        <f t="array" ref="B26">_xll.U.AFTER(B29)</f>
        <v>1</v>
      </c>
      <c r="C26" s="21"/>
      <c r="D26" s="21"/>
      <c r="E26" s="21"/>
      <c r="F26" s="21"/>
      <c r="G26" s="21"/>
      <c r="H26" s="21"/>
      <c r="I26" s="20"/>
      <c r="K26" s="487"/>
      <c r="L26" s="487"/>
      <c r="M26" s="487"/>
      <c r="N26" s="487"/>
      <c r="O26" s="487"/>
      <c r="P26" s="487"/>
      <c r="Q26" s="487"/>
      <c r="R26" s="487"/>
      <c r="S26" s="487"/>
      <c r="T26" s="487"/>
    </row>
    <row r="27" spans="1:20" x14ac:dyDescent="0.3">
      <c r="A27" s="18"/>
      <c r="B27" s="21"/>
      <c r="C27" s="21"/>
      <c r="D27" s="21"/>
      <c r="E27" s="21"/>
      <c r="F27" s="21"/>
      <c r="G27" s="21"/>
      <c r="H27" s="21"/>
      <c r="I27" s="20"/>
      <c r="K27" s="483" t="s">
        <v>323</v>
      </c>
      <c r="L27" s="483"/>
      <c r="M27" s="483" t="s">
        <v>1</v>
      </c>
      <c r="N27" s="483"/>
      <c r="O27" s="483"/>
      <c r="P27" s="483"/>
      <c r="Q27" s="483"/>
      <c r="R27" s="483"/>
      <c r="S27" s="483"/>
      <c r="T27" s="85" t="s">
        <v>324</v>
      </c>
    </row>
    <row r="28" spans="1:20" x14ac:dyDescent="0.3">
      <c r="A28" s="18"/>
      <c r="B28" s="181">
        <v>1</v>
      </c>
      <c r="C28" s="21"/>
      <c r="D28" s="21"/>
      <c r="E28" s="21"/>
      <c r="F28" s="21"/>
      <c r="G28" s="21"/>
      <c r="H28" s="21"/>
      <c r="I28" s="20"/>
      <c r="K28" s="487" t="s">
        <v>955</v>
      </c>
      <c r="L28" s="487"/>
      <c r="M28" s="487" t="s">
        <v>3524</v>
      </c>
      <c r="N28" s="487"/>
      <c r="O28" s="487"/>
      <c r="P28" s="487"/>
      <c r="Q28" s="487"/>
      <c r="R28" s="487"/>
      <c r="S28" s="487"/>
      <c r="T28" s="509" t="s">
        <v>325</v>
      </c>
    </row>
    <row r="29" spans="1:20" x14ac:dyDescent="0.3">
      <c r="A29" s="18"/>
      <c r="B29" s="30" cm="1">
        <f t="array" ref="B29">_xll.U.DO(B28)</f>
        <v>1</v>
      </c>
      <c r="C29" s="21"/>
      <c r="D29" s="21"/>
      <c r="E29" s="21"/>
      <c r="F29" s="21"/>
      <c r="G29" s="21"/>
      <c r="H29" s="21"/>
      <c r="I29" s="20"/>
      <c r="K29" s="487"/>
      <c r="L29" s="487"/>
      <c r="M29" s="487"/>
      <c r="N29" s="487"/>
      <c r="O29" s="487"/>
      <c r="P29" s="487"/>
      <c r="Q29" s="487"/>
      <c r="R29" s="487"/>
      <c r="S29" s="487"/>
      <c r="T29" s="509"/>
    </row>
    <row r="30" spans="1:20" x14ac:dyDescent="0.3">
      <c r="A30" s="18"/>
      <c r="B30" s="21"/>
      <c r="C30" s="21"/>
      <c r="D30" s="21"/>
      <c r="E30" s="21"/>
      <c r="F30" s="21"/>
      <c r="G30" s="21"/>
      <c r="H30" s="21"/>
      <c r="I30" s="20"/>
      <c r="K30" s="487"/>
      <c r="L30" s="487"/>
      <c r="M30" s="487"/>
      <c r="N30" s="487"/>
      <c r="O30" s="487"/>
      <c r="P30" s="487"/>
      <c r="Q30" s="487"/>
      <c r="R30" s="487"/>
      <c r="S30" s="487"/>
      <c r="T30" s="509"/>
    </row>
    <row r="31" spans="1:20" x14ac:dyDescent="0.3">
      <c r="A31" s="18"/>
      <c r="B31" s="21"/>
      <c r="C31" s="21"/>
      <c r="D31" s="21"/>
      <c r="E31" s="21"/>
      <c r="F31" s="21"/>
      <c r="G31" s="21"/>
      <c r="H31" s="21"/>
      <c r="I31" s="20"/>
      <c r="K31" s="484" t="s">
        <v>1175</v>
      </c>
      <c r="L31" s="484"/>
      <c r="M31" s="484" t="s">
        <v>1176</v>
      </c>
      <c r="N31" s="484"/>
      <c r="O31" s="484"/>
      <c r="P31" s="484"/>
      <c r="Q31" s="484"/>
      <c r="R31" s="484"/>
      <c r="S31" s="484"/>
      <c r="T31" s="485" t="s">
        <v>326</v>
      </c>
    </row>
    <row r="32" spans="1:20" x14ac:dyDescent="0.3">
      <c r="A32" s="18"/>
      <c r="B32" s="21"/>
      <c r="C32" s="21"/>
      <c r="D32" s="21"/>
      <c r="E32" s="21"/>
      <c r="F32" s="21"/>
      <c r="G32" s="21"/>
      <c r="H32" s="21"/>
      <c r="I32" s="20"/>
      <c r="K32" s="484"/>
      <c r="L32" s="484"/>
      <c r="M32" s="484"/>
      <c r="N32" s="484"/>
      <c r="O32" s="484"/>
      <c r="P32" s="484"/>
      <c r="Q32" s="484"/>
      <c r="R32" s="484"/>
      <c r="S32" s="484"/>
      <c r="T32" s="485"/>
    </row>
    <row r="33" spans="1:20" x14ac:dyDescent="0.3">
      <c r="A33" s="18"/>
      <c r="B33" s="190" t="s">
        <v>1178</v>
      </c>
      <c r="C33" s="190" t="s">
        <v>1177</v>
      </c>
      <c r="D33" s="21"/>
      <c r="E33" s="21"/>
      <c r="F33" s="21"/>
      <c r="G33" s="21"/>
      <c r="H33" s="21"/>
      <c r="I33" s="20"/>
      <c r="K33" s="484"/>
      <c r="L33" s="484"/>
      <c r="M33" s="484"/>
      <c r="N33" s="484"/>
      <c r="O33" s="484"/>
      <c r="P33" s="484"/>
      <c r="Q33" s="484"/>
      <c r="R33" s="484"/>
      <c r="S33" s="484"/>
      <c r="T33" s="485"/>
    </row>
    <row r="34" spans="1:20" x14ac:dyDescent="0.3">
      <c r="A34" s="18"/>
      <c r="B34" s="208" t="b">
        <v>0</v>
      </c>
      <c r="C34" s="208" t="b">
        <v>0</v>
      </c>
      <c r="D34" s="21"/>
      <c r="E34" s="21"/>
      <c r="F34" s="21"/>
      <c r="G34" s="21"/>
      <c r="H34" s="21"/>
      <c r="I34" s="20"/>
      <c r="K34" s="126" t="s">
        <v>328</v>
      </c>
    </row>
    <row r="35" spans="1:20" x14ac:dyDescent="0.3">
      <c r="A35" s="18"/>
      <c r="B35" s="21"/>
      <c r="C35" s="21"/>
      <c r="D35" s="21"/>
      <c r="E35" s="21"/>
      <c r="F35" s="21"/>
      <c r="G35" s="21"/>
      <c r="H35" s="21"/>
      <c r="I35" s="20"/>
    </row>
    <row r="36" spans="1:20" x14ac:dyDescent="0.3">
      <c r="A36" s="18"/>
      <c r="B36" s="101" t="s">
        <v>3520</v>
      </c>
      <c r="C36" s="101" t="s">
        <v>3520</v>
      </c>
      <c r="D36" s="21"/>
      <c r="E36" s="21"/>
      <c r="F36" s="21"/>
      <c r="G36" s="21"/>
      <c r="H36" s="21"/>
      <c r="I36" s="20"/>
    </row>
    <row r="37" spans="1:20" x14ac:dyDescent="0.3">
      <c r="A37" s="18"/>
      <c r="B37" s="94" t="str" cm="1">
        <f t="array" ref="B37">IF(B34,_xll.U.DO(_xll.U.SOUND("hello")),"Set Change Me 1 Field to TRUE")</f>
        <v>Set Change Me 1 Field to TRUE</v>
      </c>
      <c r="C37" s="94" t="str" cm="1">
        <f t="array" ref="C37">IF(C34,_xll.U.DO(_xll.U.SOUND("hello")),"Set Change Me 2 Field to TRUE")</f>
        <v>Set Change Me 2 Field to TRUE</v>
      </c>
      <c r="D37" s="21"/>
      <c r="E37" s="21"/>
      <c r="F37" s="21"/>
      <c r="G37" s="21"/>
      <c r="H37" s="21"/>
      <c r="I37" s="20"/>
      <c r="K37" s="486" t="s">
        <v>3525</v>
      </c>
      <c r="L37" s="486"/>
      <c r="M37" s="486"/>
      <c r="N37" s="486"/>
      <c r="O37" s="486"/>
      <c r="P37" s="486"/>
      <c r="Q37" s="486"/>
      <c r="R37" s="486"/>
      <c r="S37" s="486"/>
      <c r="T37" s="486"/>
    </row>
    <row r="38" spans="1:20" x14ac:dyDescent="0.3">
      <c r="A38" s="18"/>
      <c r="B38" s="21"/>
      <c r="C38" s="21"/>
      <c r="D38" s="21"/>
      <c r="E38" s="21"/>
      <c r="F38" s="21"/>
      <c r="G38" s="21"/>
      <c r="H38" s="21"/>
      <c r="I38" s="20"/>
      <c r="K38" s="487" t="s">
        <v>333</v>
      </c>
      <c r="L38" s="487"/>
      <c r="M38" s="487" t="s">
        <v>958</v>
      </c>
      <c r="N38" s="487"/>
      <c r="O38" s="487"/>
      <c r="P38" s="487"/>
      <c r="Q38" s="487"/>
      <c r="R38" s="487"/>
      <c r="S38" s="487"/>
      <c r="T38" s="487"/>
    </row>
    <row r="39" spans="1:20" x14ac:dyDescent="0.3">
      <c r="A39" s="18"/>
      <c r="B39" s="101" t="s">
        <v>3523</v>
      </c>
      <c r="C39" s="101" t="s">
        <v>3523</v>
      </c>
      <c r="D39" s="21"/>
      <c r="E39" s="21"/>
      <c r="F39" s="21"/>
      <c r="G39" s="21"/>
      <c r="H39" s="21"/>
      <c r="I39" s="20"/>
      <c r="K39" s="487"/>
      <c r="L39" s="487"/>
      <c r="M39" s="487"/>
      <c r="N39" s="487"/>
      <c r="O39" s="487"/>
      <c r="P39" s="487"/>
      <c r="Q39" s="487"/>
      <c r="R39" s="487"/>
      <c r="S39" s="487"/>
      <c r="T39" s="487"/>
    </row>
    <row r="40" spans="1:20" x14ac:dyDescent="0.3">
      <c r="A40" s="18"/>
      <c r="B40" s="94" t="b" cm="1">
        <f t="array" ref="B40">IF(B34,IF(_xll.U.AFTER(B37),_xll.U.SOUND("how"),B37))</f>
        <v>0</v>
      </c>
      <c r="C40" s="94" t="b" cm="1">
        <f t="array" ref="C40">IF(C34,IF(_xll.U.AFTER(C37),_xll.U.SOUND("how"),"Set Change Me 2 Field to TRUE"))</f>
        <v>0</v>
      </c>
      <c r="D40" s="21"/>
      <c r="E40" s="21"/>
      <c r="F40" s="21"/>
      <c r="G40" s="21"/>
      <c r="H40" s="21"/>
      <c r="I40" s="20"/>
      <c r="K40" s="487"/>
      <c r="L40" s="487"/>
      <c r="M40" s="487"/>
      <c r="N40" s="487"/>
      <c r="O40" s="487"/>
      <c r="P40" s="487"/>
      <c r="Q40" s="487"/>
      <c r="R40" s="487"/>
      <c r="S40" s="487"/>
      <c r="T40" s="487"/>
    </row>
    <row r="41" spans="1:20" x14ac:dyDescent="0.3">
      <c r="A41" s="18"/>
      <c r="B41" s="94" t="b" cm="1">
        <f t="array" ref="B41">IF(B34,IF(_xll.U.AFTER(B40),_xll.U.SOUND("are"),B40))</f>
        <v>0</v>
      </c>
      <c r="C41" s="94" t="b" cm="1">
        <f t="array" ref="C41">IF(C34,IF(_xll.U.AFTER(C40),_xll.U.SOUND("are"),"Set Change Me 2 Field to TRUE"))</f>
        <v>0</v>
      </c>
      <c r="D41" s="21"/>
      <c r="E41" s="21"/>
      <c r="F41" s="21"/>
      <c r="G41" s="21"/>
      <c r="H41" s="21"/>
      <c r="I41" s="20"/>
      <c r="K41" s="483" t="s">
        <v>323</v>
      </c>
      <c r="L41" s="483"/>
      <c r="M41" s="483" t="s">
        <v>1</v>
      </c>
      <c r="N41" s="483"/>
      <c r="O41" s="483"/>
      <c r="P41" s="483"/>
      <c r="Q41" s="483"/>
      <c r="R41" s="483"/>
      <c r="S41" s="483"/>
      <c r="T41" s="85" t="s">
        <v>324</v>
      </c>
    </row>
    <row r="42" spans="1:20" x14ac:dyDescent="0.3">
      <c r="A42" s="18"/>
      <c r="B42" s="94" t="b" cm="1">
        <f t="array" ref="B42">IF(B34,IF(_xll.U.AFTER(B41),_xll.U.SOUND("you?"),B41))</f>
        <v>0</v>
      </c>
      <c r="C42" s="94" t="b" cm="1">
        <f t="array" ref="C42">IF(C34,IF(_xll.U.AFTER(C41),_xll.U.SOUND("you?"),"Set Change Me 2 Field to TRUE"))</f>
        <v>0</v>
      </c>
      <c r="D42" s="21"/>
      <c r="E42" s="21"/>
      <c r="F42" s="21"/>
      <c r="G42" s="21"/>
      <c r="H42" s="21"/>
      <c r="I42" s="20"/>
      <c r="K42" s="484" t="s">
        <v>957</v>
      </c>
      <c r="L42" s="484"/>
      <c r="M42" s="484" t="s">
        <v>959</v>
      </c>
      <c r="N42" s="484"/>
      <c r="O42" s="484"/>
      <c r="P42" s="484"/>
      <c r="Q42" s="484"/>
      <c r="R42" s="484"/>
      <c r="S42" s="484"/>
      <c r="T42" s="485" t="s">
        <v>326</v>
      </c>
    </row>
    <row r="43" spans="1:20" x14ac:dyDescent="0.3">
      <c r="A43" s="18"/>
      <c r="B43" s="21"/>
      <c r="C43" s="21"/>
      <c r="D43" s="21"/>
      <c r="E43" s="21"/>
      <c r="F43" s="21"/>
      <c r="G43" s="21"/>
      <c r="H43" s="21"/>
      <c r="I43" s="20"/>
      <c r="K43" s="484"/>
      <c r="L43" s="484"/>
      <c r="M43" s="484"/>
      <c r="N43" s="484"/>
      <c r="O43" s="484"/>
      <c r="P43" s="484"/>
      <c r="Q43" s="484"/>
      <c r="R43" s="484"/>
      <c r="S43" s="484"/>
      <c r="T43" s="485"/>
    </row>
    <row r="44" spans="1:20" x14ac:dyDescent="0.3">
      <c r="A44" s="18"/>
      <c r="B44" s="21"/>
      <c r="C44" s="21"/>
      <c r="D44" s="21"/>
      <c r="E44" s="21"/>
      <c r="F44" s="21"/>
      <c r="G44" s="21"/>
      <c r="H44" s="21"/>
      <c r="I44" s="20"/>
      <c r="K44" s="484"/>
      <c r="L44" s="484"/>
      <c r="M44" s="484"/>
      <c r="N44" s="484"/>
      <c r="O44" s="484"/>
      <c r="P44" s="484"/>
      <c r="Q44" s="484"/>
      <c r="R44" s="484"/>
      <c r="S44" s="484"/>
      <c r="T44" s="485"/>
    </row>
    <row r="45" spans="1:20" x14ac:dyDescent="0.3">
      <c r="A45" s="18"/>
      <c r="B45" s="21"/>
      <c r="C45" s="21"/>
      <c r="D45" s="21"/>
      <c r="E45" s="21"/>
      <c r="F45" s="21"/>
      <c r="G45" s="21"/>
      <c r="H45" s="21"/>
      <c r="I45" s="20"/>
      <c r="K45" s="126" t="s">
        <v>328</v>
      </c>
    </row>
    <row r="46" spans="1:20" x14ac:dyDescent="0.3">
      <c r="A46" s="18"/>
      <c r="B46" s="21"/>
      <c r="C46" s="21"/>
      <c r="D46" s="21"/>
      <c r="E46" s="21"/>
      <c r="F46" s="21"/>
      <c r="G46" s="21"/>
      <c r="H46" s="21"/>
      <c r="I46" s="20"/>
    </row>
    <row r="47" spans="1:20" x14ac:dyDescent="0.3">
      <c r="A47" s="18"/>
      <c r="B47" s="21"/>
      <c r="C47" s="21"/>
      <c r="D47" s="21"/>
      <c r="E47" s="21"/>
      <c r="F47" s="21"/>
      <c r="G47" s="21"/>
      <c r="H47" s="21"/>
      <c r="I47" s="20"/>
    </row>
    <row r="48" spans="1:20" x14ac:dyDescent="0.3">
      <c r="A48" s="18"/>
      <c r="B48" s="21"/>
      <c r="C48" s="21"/>
      <c r="D48" s="21"/>
      <c r="E48" s="21"/>
      <c r="F48" s="21"/>
      <c r="G48" s="21"/>
      <c r="H48" s="21"/>
      <c r="I48" s="20"/>
      <c r="K48" s="486" t="s">
        <v>3526</v>
      </c>
      <c r="L48" s="486"/>
      <c r="M48" s="486"/>
      <c r="N48" s="486"/>
      <c r="O48" s="486"/>
      <c r="P48" s="486"/>
      <c r="Q48" s="486"/>
      <c r="R48" s="486"/>
      <c r="S48" s="486"/>
      <c r="T48" s="486"/>
    </row>
    <row r="49" spans="1:20" x14ac:dyDescent="0.3">
      <c r="A49" s="18"/>
      <c r="B49" s="21"/>
      <c r="C49" s="21"/>
      <c r="D49" s="21"/>
      <c r="E49" s="21"/>
      <c r="F49" s="21"/>
      <c r="G49" s="21"/>
      <c r="H49" s="21"/>
      <c r="I49" s="20"/>
      <c r="K49" s="487" t="s">
        <v>333</v>
      </c>
      <c r="L49" s="487"/>
      <c r="M49" s="487" t="s">
        <v>3527</v>
      </c>
      <c r="N49" s="487"/>
      <c r="O49" s="487"/>
      <c r="P49" s="487"/>
      <c r="Q49" s="487"/>
      <c r="R49" s="487"/>
      <c r="S49" s="487"/>
      <c r="T49" s="487"/>
    </row>
    <row r="50" spans="1:20" x14ac:dyDescent="0.3">
      <c r="A50" s="18"/>
      <c r="B50" s="21"/>
      <c r="C50" s="21"/>
      <c r="D50" s="21"/>
      <c r="E50" s="21"/>
      <c r="F50" s="21"/>
      <c r="G50" s="21"/>
      <c r="H50" s="21"/>
      <c r="I50" s="20"/>
      <c r="K50" s="487"/>
      <c r="L50" s="487"/>
      <c r="M50" s="487"/>
      <c r="N50" s="487"/>
      <c r="O50" s="487"/>
      <c r="P50" s="487"/>
      <c r="Q50" s="487"/>
      <c r="R50" s="487"/>
      <c r="S50" s="487"/>
      <c r="T50" s="487"/>
    </row>
    <row r="51" spans="1:20" x14ac:dyDescent="0.3">
      <c r="A51" s="18"/>
      <c r="B51" s="21"/>
      <c r="C51" s="21"/>
      <c r="D51" s="21"/>
      <c r="E51" s="21"/>
      <c r="F51" s="21"/>
      <c r="G51" s="21"/>
      <c r="H51" s="21"/>
      <c r="I51" s="20"/>
      <c r="K51" s="487"/>
      <c r="L51" s="487"/>
      <c r="M51" s="487"/>
      <c r="N51" s="487"/>
      <c r="O51" s="487"/>
      <c r="P51" s="487"/>
      <c r="Q51" s="487"/>
      <c r="R51" s="487"/>
      <c r="S51" s="487"/>
      <c r="T51" s="487"/>
    </row>
    <row r="52" spans="1:20" x14ac:dyDescent="0.3">
      <c r="A52" s="18"/>
      <c r="B52" s="21"/>
      <c r="C52" s="21"/>
      <c r="D52" s="21"/>
      <c r="E52" s="21"/>
      <c r="F52" s="21"/>
      <c r="G52" s="21"/>
      <c r="H52" s="21"/>
      <c r="I52" s="20"/>
      <c r="K52" s="483" t="s">
        <v>323</v>
      </c>
      <c r="L52" s="483"/>
      <c r="M52" s="483" t="s">
        <v>1</v>
      </c>
      <c r="N52" s="483"/>
      <c r="O52" s="483"/>
      <c r="P52" s="483"/>
      <c r="Q52" s="483"/>
      <c r="R52" s="483"/>
      <c r="S52" s="483"/>
      <c r="T52" s="85" t="s">
        <v>324</v>
      </c>
    </row>
    <row r="53" spans="1:20" x14ac:dyDescent="0.3">
      <c r="A53" s="18"/>
      <c r="B53" s="21"/>
      <c r="C53" s="21"/>
      <c r="D53" s="21"/>
      <c r="E53" s="21"/>
      <c r="F53" s="21"/>
      <c r="G53" s="21"/>
      <c r="H53" s="21"/>
      <c r="I53" s="20"/>
      <c r="K53" s="488" t="s">
        <v>443</v>
      </c>
      <c r="L53" s="488"/>
      <c r="M53" s="488" t="s">
        <v>2289</v>
      </c>
      <c r="N53" s="488"/>
      <c r="O53" s="488"/>
      <c r="P53" s="488"/>
      <c r="Q53" s="488"/>
      <c r="R53" s="488"/>
      <c r="S53" s="488"/>
      <c r="T53" s="489" t="s">
        <v>325</v>
      </c>
    </row>
    <row r="54" spans="1:20" x14ac:dyDescent="0.3">
      <c r="A54" s="18"/>
      <c r="B54" s="101" t="s">
        <v>3525</v>
      </c>
      <c r="C54" s="21"/>
      <c r="D54" s="21"/>
      <c r="E54" s="21"/>
      <c r="F54" s="21"/>
      <c r="G54" s="21"/>
      <c r="H54" s="21"/>
      <c r="I54" s="20"/>
      <c r="K54" s="488"/>
      <c r="L54" s="488"/>
      <c r="M54" s="488"/>
      <c r="N54" s="488"/>
      <c r="O54" s="488"/>
      <c r="P54" s="488"/>
      <c r="Q54" s="488"/>
      <c r="R54" s="488"/>
      <c r="S54" s="488"/>
      <c r="T54" s="489"/>
    </row>
    <row r="55" spans="1:20" x14ac:dyDescent="0.3">
      <c r="A55" s="18"/>
      <c r="B55" s="30" t="str">
        <f t="array" ref="B55:B57">IF(B59&gt;3,B59:B61*2,_xll.U.CURRENT_VALS())</f>
        <v/>
      </c>
      <c r="C55" s="21"/>
      <c r="D55" s="21"/>
      <c r="E55" s="21"/>
      <c r="F55" s="21"/>
      <c r="G55" s="21"/>
      <c r="H55" s="21"/>
      <c r="I55" s="20"/>
      <c r="K55" s="488"/>
      <c r="L55" s="488"/>
      <c r="M55" s="488"/>
      <c r="N55" s="488"/>
      <c r="O55" s="488"/>
      <c r="P55" s="488"/>
      <c r="Q55" s="488"/>
      <c r="R55" s="488"/>
      <c r="S55" s="488"/>
      <c r="T55" s="489"/>
    </row>
    <row r="56" spans="1:20" x14ac:dyDescent="0.3">
      <c r="A56" s="18"/>
      <c r="B56" s="30" t="str">
        <v/>
      </c>
      <c r="C56" s="21"/>
      <c r="D56" s="21"/>
      <c r="E56" s="21"/>
      <c r="F56" s="21"/>
      <c r="G56" s="21"/>
      <c r="H56" s="21"/>
      <c r="I56" s="20"/>
      <c r="K56" s="484" t="s">
        <v>2281</v>
      </c>
      <c r="L56" s="484"/>
      <c r="M56" s="484" t="s">
        <v>2286</v>
      </c>
      <c r="N56" s="484"/>
      <c r="O56" s="484"/>
      <c r="P56" s="484"/>
      <c r="Q56" s="484"/>
      <c r="R56" s="484"/>
      <c r="S56" s="484"/>
      <c r="T56" s="485" t="s">
        <v>326</v>
      </c>
    </row>
    <row r="57" spans="1:20" x14ac:dyDescent="0.3">
      <c r="A57" s="18"/>
      <c r="B57" s="30" t="str">
        <v/>
      </c>
      <c r="C57" s="21"/>
      <c r="D57" s="21"/>
      <c r="E57" s="21"/>
      <c r="F57" s="21"/>
      <c r="G57" s="21"/>
      <c r="H57" s="21"/>
      <c r="I57" s="20"/>
      <c r="K57" s="484"/>
      <c r="L57" s="484"/>
      <c r="M57" s="484"/>
      <c r="N57" s="484"/>
      <c r="O57" s="484"/>
      <c r="P57" s="484"/>
      <c r="Q57" s="484"/>
      <c r="R57" s="484"/>
      <c r="S57" s="484"/>
      <c r="T57" s="485"/>
    </row>
    <row r="58" spans="1:20" x14ac:dyDescent="0.3">
      <c r="A58" s="18"/>
      <c r="C58" s="21"/>
      <c r="D58" s="21"/>
      <c r="E58" s="21"/>
      <c r="F58" s="21"/>
      <c r="G58" s="21"/>
      <c r="H58" s="21"/>
      <c r="I58" s="20"/>
      <c r="K58" s="484"/>
      <c r="L58" s="484"/>
      <c r="M58" s="484"/>
      <c r="N58" s="484"/>
      <c r="O58" s="484"/>
      <c r="P58" s="484"/>
      <c r="Q58" s="484"/>
      <c r="R58" s="484"/>
      <c r="S58" s="484"/>
      <c r="T58" s="485"/>
    </row>
    <row r="59" spans="1:20" x14ac:dyDescent="0.3">
      <c r="A59" s="18"/>
      <c r="B59" s="181">
        <v>1</v>
      </c>
      <c r="C59" s="21"/>
      <c r="D59" s="21"/>
      <c r="E59" s="21"/>
      <c r="F59" s="21"/>
      <c r="G59" s="21"/>
      <c r="H59" s="21"/>
      <c r="I59" s="20"/>
      <c r="K59" s="484" t="s">
        <v>2282</v>
      </c>
      <c r="L59" s="484"/>
      <c r="M59" s="484" t="s">
        <v>2293</v>
      </c>
      <c r="N59" s="484"/>
      <c r="O59" s="484"/>
      <c r="P59" s="484"/>
      <c r="Q59" s="484"/>
      <c r="R59" s="484"/>
      <c r="S59" s="484"/>
      <c r="T59" s="485" t="s">
        <v>326</v>
      </c>
    </row>
    <row r="60" spans="1:20" x14ac:dyDescent="0.3">
      <c r="A60" s="18"/>
      <c r="B60" s="181">
        <v>1</v>
      </c>
      <c r="C60" s="21"/>
      <c r="D60" s="21"/>
      <c r="E60" s="21"/>
      <c r="F60" s="21"/>
      <c r="G60" s="21"/>
      <c r="H60" s="21"/>
      <c r="I60" s="20"/>
      <c r="K60" s="484"/>
      <c r="L60" s="484"/>
      <c r="M60" s="484"/>
      <c r="N60" s="484"/>
      <c r="O60" s="484"/>
      <c r="P60" s="484"/>
      <c r="Q60" s="484"/>
      <c r="R60" s="484"/>
      <c r="S60" s="484"/>
      <c r="T60" s="485"/>
    </row>
    <row r="61" spans="1:20" x14ac:dyDescent="0.3">
      <c r="A61" s="18"/>
      <c r="B61" s="181">
        <v>2</v>
      </c>
      <c r="C61" s="21"/>
      <c r="D61" s="21"/>
      <c r="E61" s="21"/>
      <c r="F61" s="21"/>
      <c r="G61" s="21"/>
      <c r="H61" s="21"/>
      <c r="I61" s="20"/>
      <c r="K61" s="484"/>
      <c r="L61" s="484"/>
      <c r="M61" s="484"/>
      <c r="N61" s="484"/>
      <c r="O61" s="484"/>
      <c r="P61" s="484"/>
      <c r="Q61" s="484"/>
      <c r="R61" s="484"/>
      <c r="S61" s="484"/>
      <c r="T61" s="485"/>
    </row>
    <row r="62" spans="1:20" x14ac:dyDescent="0.3">
      <c r="A62" s="18"/>
      <c r="B62" s="21"/>
      <c r="C62" s="21"/>
      <c r="D62" s="21"/>
      <c r="E62" s="21"/>
      <c r="F62" s="21"/>
      <c r="G62" s="21"/>
      <c r="H62" s="21"/>
      <c r="I62" s="20"/>
      <c r="K62" s="484" t="s">
        <v>2290</v>
      </c>
      <c r="L62" s="484"/>
      <c r="M62" s="484" t="s">
        <v>2292</v>
      </c>
      <c r="N62" s="484"/>
      <c r="O62" s="484"/>
      <c r="P62" s="484"/>
      <c r="Q62" s="484"/>
      <c r="R62" s="484"/>
      <c r="S62" s="484"/>
      <c r="T62" s="485" t="s">
        <v>326</v>
      </c>
    </row>
    <row r="63" spans="1:20" x14ac:dyDescent="0.3">
      <c r="A63" s="18"/>
      <c r="B63" s="30">
        <f t="array" ref="B63:B64">B66:B67</f>
        <v>0</v>
      </c>
      <c r="C63" s="21"/>
      <c r="D63" s="21"/>
      <c r="E63" s="21"/>
      <c r="F63" s="21"/>
      <c r="G63" s="21"/>
      <c r="H63" s="21"/>
      <c r="I63" s="20"/>
      <c r="K63" s="484"/>
      <c r="L63" s="484"/>
      <c r="M63" s="484"/>
      <c r="N63" s="484"/>
      <c r="O63" s="484"/>
      <c r="P63" s="484"/>
      <c r="Q63" s="484"/>
      <c r="R63" s="484"/>
      <c r="S63" s="484"/>
      <c r="T63" s="485"/>
    </row>
    <row r="64" spans="1:20" x14ac:dyDescent="0.3">
      <c r="A64" s="18"/>
      <c r="B64" s="30">
        <v>0</v>
      </c>
      <c r="C64" s="21"/>
      <c r="D64" s="21"/>
      <c r="E64" s="21"/>
      <c r="F64" s="21"/>
      <c r="G64" s="21"/>
      <c r="H64" s="21"/>
      <c r="I64" s="20"/>
      <c r="K64" s="484"/>
      <c r="L64" s="484"/>
      <c r="M64" s="484"/>
      <c r="N64" s="484"/>
      <c r="O64" s="484"/>
      <c r="P64" s="484"/>
      <c r="Q64" s="484"/>
      <c r="R64" s="484"/>
      <c r="S64" s="484"/>
      <c r="T64" s="485"/>
    </row>
    <row r="65" spans="1:20" x14ac:dyDescent="0.3">
      <c r="A65" s="18"/>
      <c r="B65" s="21"/>
      <c r="C65" s="21"/>
      <c r="D65" s="21"/>
      <c r="E65" s="21"/>
      <c r="F65" s="21"/>
      <c r="G65" s="21"/>
      <c r="H65" s="21"/>
      <c r="I65" s="20"/>
      <c r="K65" s="484" t="s">
        <v>2291</v>
      </c>
      <c r="L65" s="484"/>
      <c r="M65" s="484" t="s">
        <v>2287</v>
      </c>
      <c r="N65" s="484"/>
      <c r="O65" s="484"/>
      <c r="P65" s="484"/>
      <c r="Q65" s="484"/>
      <c r="R65" s="484"/>
      <c r="S65" s="484"/>
      <c r="T65" s="485" t="s">
        <v>326</v>
      </c>
    </row>
    <row r="66" spans="1:20" x14ac:dyDescent="0.3">
      <c r="A66" s="18"/>
      <c r="B66" s="30"/>
      <c r="C66" s="21"/>
      <c r="D66" s="21"/>
      <c r="E66" s="21"/>
      <c r="F66" s="21"/>
      <c r="G66" s="21"/>
      <c r="H66" s="21"/>
      <c r="I66" s="20"/>
      <c r="K66" s="484"/>
      <c r="L66" s="484"/>
      <c r="M66" s="484"/>
      <c r="N66" s="484"/>
      <c r="O66" s="484"/>
      <c r="P66" s="484"/>
      <c r="Q66" s="484"/>
      <c r="R66" s="484"/>
      <c r="S66" s="484"/>
      <c r="T66" s="485"/>
    </row>
    <row r="67" spans="1:20" x14ac:dyDescent="0.3">
      <c r="A67" s="18"/>
      <c r="B67" s="30"/>
      <c r="C67" s="21"/>
      <c r="D67" s="21"/>
      <c r="E67" s="21"/>
      <c r="F67" s="21"/>
      <c r="G67" s="21"/>
      <c r="H67" s="21"/>
      <c r="I67" s="20"/>
      <c r="K67" s="484"/>
      <c r="L67" s="484"/>
      <c r="M67" s="484"/>
      <c r="N67" s="484"/>
      <c r="O67" s="484"/>
      <c r="P67" s="484"/>
      <c r="Q67" s="484"/>
      <c r="R67" s="484"/>
      <c r="S67" s="484"/>
      <c r="T67" s="485"/>
    </row>
    <row r="68" spans="1:20" x14ac:dyDescent="0.3">
      <c r="A68" s="18"/>
      <c r="B68" s="21"/>
      <c r="C68" s="21"/>
      <c r="D68" s="21"/>
      <c r="E68" s="21"/>
      <c r="F68" s="21"/>
      <c r="G68" s="21"/>
      <c r="H68" s="21"/>
      <c r="I68" s="20"/>
      <c r="K68" s="126" t="s">
        <v>328</v>
      </c>
    </row>
    <row r="69" spans="1:20" x14ac:dyDescent="0.3">
      <c r="A69" s="18"/>
      <c r="B69" s="21"/>
      <c r="C69" s="21"/>
      <c r="D69" s="21"/>
      <c r="E69" s="21"/>
      <c r="F69" s="21"/>
      <c r="G69" s="21"/>
      <c r="H69" s="21"/>
      <c r="I69" s="20"/>
    </row>
    <row r="70" spans="1:20" x14ac:dyDescent="0.3">
      <c r="A70" s="18"/>
      <c r="B70" s="101" t="s">
        <v>3525</v>
      </c>
      <c r="C70" s="21"/>
      <c r="D70" s="21"/>
      <c r="E70" s="21"/>
      <c r="F70" s="21"/>
      <c r="G70" s="21"/>
      <c r="H70" s="21"/>
      <c r="I70" s="20"/>
    </row>
    <row r="71" spans="1:20" x14ac:dyDescent="0.3">
      <c r="A71" s="18"/>
      <c r="B71" s="30" t="str">
        <f t="array" ref="B71:B73">IF(B75&gt;3,_xll.U.DO(B75:B77),_xll.U.CURRENT_VALS())</f>
        <v/>
      </c>
      <c r="C71" s="21"/>
      <c r="D71" s="21"/>
      <c r="E71" s="21"/>
      <c r="F71" s="21"/>
      <c r="G71" s="21"/>
      <c r="H71" s="21"/>
      <c r="I71" s="20"/>
    </row>
    <row r="72" spans="1:20" x14ac:dyDescent="0.3">
      <c r="A72" s="18"/>
      <c r="B72" s="30" t="str">
        <v/>
      </c>
      <c r="C72" s="21"/>
      <c r="D72" s="21"/>
      <c r="E72" s="21"/>
      <c r="F72" s="21"/>
      <c r="G72" s="21"/>
      <c r="H72" s="21"/>
      <c r="I72" s="20"/>
    </row>
    <row r="73" spans="1:20" x14ac:dyDescent="0.3">
      <c r="A73" s="18"/>
      <c r="B73" s="30" t="str">
        <v/>
      </c>
      <c r="C73" s="21"/>
      <c r="D73" s="21"/>
      <c r="E73" s="21"/>
      <c r="F73" s="21"/>
      <c r="G73" s="21"/>
      <c r="H73" s="21"/>
      <c r="I73" s="20"/>
    </row>
    <row r="74" spans="1:20" x14ac:dyDescent="0.3">
      <c r="A74" s="18"/>
      <c r="C74" s="21"/>
      <c r="D74" s="21"/>
      <c r="E74" s="21"/>
      <c r="F74" s="21"/>
      <c r="G74" s="21"/>
      <c r="H74" s="21"/>
      <c r="I74" s="20"/>
    </row>
    <row r="75" spans="1:20" x14ac:dyDescent="0.3">
      <c r="A75" s="18"/>
      <c r="B75" s="181">
        <v>1</v>
      </c>
      <c r="C75" s="21"/>
      <c r="D75" s="21"/>
      <c r="E75" s="21"/>
      <c r="F75" s="21"/>
      <c r="G75" s="21"/>
      <c r="H75" s="21"/>
      <c r="I75" s="20"/>
    </row>
    <row r="76" spans="1:20" x14ac:dyDescent="0.3">
      <c r="A76" s="18"/>
      <c r="B76" s="181"/>
      <c r="C76" s="21"/>
      <c r="D76" s="21"/>
      <c r="E76" s="21"/>
      <c r="F76" s="21"/>
      <c r="G76" s="21"/>
      <c r="H76" s="21"/>
      <c r="I76" s="20"/>
    </row>
    <row r="77" spans="1:20" x14ac:dyDescent="0.3">
      <c r="A77" s="18"/>
      <c r="B77" s="181">
        <v>0</v>
      </c>
      <c r="C77" s="21"/>
      <c r="D77" s="21"/>
      <c r="E77" s="21"/>
      <c r="F77" s="21"/>
      <c r="G77" s="21"/>
      <c r="H77" s="21"/>
      <c r="I77" s="20"/>
    </row>
    <row r="78" spans="1:20" x14ac:dyDescent="0.3">
      <c r="A78" s="18"/>
      <c r="B78" s="21"/>
      <c r="C78" s="21"/>
      <c r="D78" s="21"/>
      <c r="E78" s="21"/>
      <c r="F78" s="21"/>
      <c r="G78" s="21"/>
      <c r="H78" s="21"/>
      <c r="I78" s="20"/>
    </row>
    <row r="79" spans="1:20" x14ac:dyDescent="0.3">
      <c r="A79" s="18"/>
      <c r="B79" s="21"/>
      <c r="C79" s="21"/>
      <c r="D79" s="21"/>
      <c r="E79" s="21"/>
      <c r="F79" s="21"/>
      <c r="G79" s="21"/>
      <c r="H79" s="21"/>
      <c r="I79" s="20"/>
    </row>
    <row r="80" spans="1:20" x14ac:dyDescent="0.3">
      <c r="A80" s="18"/>
      <c r="B80" s="101" t="s">
        <v>3525</v>
      </c>
      <c r="C80" s="21"/>
      <c r="D80" s="21"/>
      <c r="E80" s="21"/>
      <c r="F80" s="21"/>
      <c r="G80" s="21"/>
      <c r="H80" s="21"/>
      <c r="I80" s="20"/>
    </row>
    <row r="81" spans="1:9" x14ac:dyDescent="0.3">
      <c r="A81" s="18"/>
      <c r="B81" s="30">
        <f t="array" ref="B81:B83">IF(B85&gt;3,_xll.U.DO(B85:B87),_xll.U.CURRENT_VALS(B85:B87))</f>
        <v>0</v>
      </c>
      <c r="C81" s="21"/>
      <c r="D81" s="21"/>
      <c r="E81" s="21"/>
      <c r="F81" s="21"/>
      <c r="G81" s="21"/>
      <c r="H81" s="21"/>
      <c r="I81" s="20"/>
    </row>
    <row r="82" spans="1:9" x14ac:dyDescent="0.3">
      <c r="A82" s="18"/>
      <c r="B82" s="30">
        <v>0</v>
      </c>
      <c r="C82" s="21"/>
      <c r="D82" s="21"/>
      <c r="E82" s="21"/>
      <c r="F82" s="21"/>
      <c r="G82" s="21"/>
      <c r="H82" s="21"/>
      <c r="I82" s="20"/>
    </row>
    <row r="83" spans="1:9" x14ac:dyDescent="0.3">
      <c r="A83" s="18"/>
      <c r="B83" s="30">
        <v>0</v>
      </c>
      <c r="C83" s="21"/>
      <c r="D83" s="21"/>
      <c r="E83" s="21"/>
      <c r="F83" s="21"/>
      <c r="G83" s="21"/>
      <c r="H83" s="21"/>
      <c r="I83" s="20"/>
    </row>
    <row r="84" spans="1:9" x14ac:dyDescent="0.3">
      <c r="A84" s="18"/>
      <c r="C84" s="21"/>
      <c r="D84" s="21"/>
      <c r="E84" s="21"/>
      <c r="F84" s="21"/>
      <c r="G84" s="21"/>
      <c r="H84" s="21"/>
      <c r="I84" s="20"/>
    </row>
    <row r="85" spans="1:9" x14ac:dyDescent="0.3">
      <c r="A85" s="18"/>
      <c r="B85" s="181">
        <v>2</v>
      </c>
      <c r="C85" s="21"/>
      <c r="D85" s="21"/>
      <c r="E85" s="21"/>
      <c r="F85" s="21"/>
      <c r="G85" s="21"/>
      <c r="H85" s="21"/>
      <c r="I85" s="20"/>
    </row>
    <row r="86" spans="1:9" x14ac:dyDescent="0.3">
      <c r="A86" s="18"/>
      <c r="B86" s="181"/>
      <c r="C86" s="21"/>
      <c r="D86" s="21"/>
      <c r="E86" s="21"/>
      <c r="F86" s="21"/>
      <c r="G86" s="21"/>
      <c r="H86" s="21"/>
      <c r="I86" s="20"/>
    </row>
    <row r="87" spans="1:9" x14ac:dyDescent="0.3">
      <c r="A87" s="18"/>
      <c r="B87" s="181">
        <v>0</v>
      </c>
      <c r="C87" s="21"/>
      <c r="D87" s="21"/>
      <c r="E87" s="21"/>
      <c r="F87" s="21"/>
      <c r="G87" s="21"/>
      <c r="H87" s="21"/>
      <c r="I87" s="20"/>
    </row>
    <row r="88" spans="1:9" x14ac:dyDescent="0.3">
      <c r="A88" s="18"/>
      <c r="B88" s="21"/>
      <c r="C88" s="21"/>
      <c r="D88" s="21"/>
      <c r="E88" s="21"/>
      <c r="F88" s="21"/>
      <c r="G88" s="21"/>
      <c r="H88" s="21"/>
      <c r="I88" s="20"/>
    </row>
    <row r="89" spans="1:9" x14ac:dyDescent="0.3">
      <c r="A89" s="18"/>
      <c r="B89" s="21"/>
      <c r="C89" s="21"/>
      <c r="D89" s="21"/>
      <c r="E89" s="21"/>
      <c r="F89" s="21"/>
      <c r="G89" s="21"/>
      <c r="H89" s="21"/>
      <c r="I89" s="20"/>
    </row>
    <row r="90" spans="1:9" x14ac:dyDescent="0.3">
      <c r="A90" s="18"/>
      <c r="B90" s="21"/>
      <c r="C90" s="21"/>
      <c r="D90" s="21"/>
      <c r="E90" s="21"/>
      <c r="F90" s="21"/>
      <c r="G90" s="21"/>
      <c r="H90" s="21"/>
      <c r="I90" s="20"/>
    </row>
    <row r="91" spans="1:9" x14ac:dyDescent="0.3">
      <c r="A91" s="18"/>
      <c r="B91" s="101" t="s">
        <v>3525</v>
      </c>
      <c r="C91" s="21"/>
      <c r="D91" s="21"/>
      <c r="E91" s="21"/>
      <c r="F91" s="21"/>
      <c r="G91" s="21"/>
      <c r="H91" s="21"/>
      <c r="I91" s="20"/>
    </row>
    <row r="92" spans="1:9" x14ac:dyDescent="0.3">
      <c r="A92" s="18"/>
      <c r="B92" s="30">
        <f t="array" ref="B92:B94">IF(_xll.U.AFTER(B96:B98),B102:B104*B100,_xll.U.CURRENT_VALS())</f>
        <v>6</v>
      </c>
      <c r="C92" s="21"/>
      <c r="D92" s="21"/>
      <c r="E92" s="21"/>
      <c r="F92" s="21"/>
      <c r="G92" s="21"/>
      <c r="H92" s="21"/>
      <c r="I92" s="20"/>
    </row>
    <row r="93" spans="1:9" x14ac:dyDescent="0.3">
      <c r="A93" s="18"/>
      <c r="B93" s="30">
        <v>12</v>
      </c>
      <c r="C93" s="21"/>
      <c r="D93" s="21"/>
      <c r="E93" s="21"/>
      <c r="F93" s="21"/>
      <c r="G93" s="21"/>
      <c r="H93" s="21"/>
      <c r="I93" s="20"/>
    </row>
    <row r="94" spans="1:9" x14ac:dyDescent="0.3">
      <c r="A94" s="18"/>
      <c r="B94" s="30">
        <v>18</v>
      </c>
      <c r="C94" s="21"/>
      <c r="D94" s="21"/>
      <c r="E94" s="21"/>
      <c r="F94" s="21"/>
      <c r="G94" s="21"/>
      <c r="H94" s="21"/>
      <c r="I94" s="20"/>
    </row>
    <row r="95" spans="1:9" x14ac:dyDescent="0.3">
      <c r="A95" s="18"/>
      <c r="C95" s="21"/>
      <c r="D95" s="21"/>
      <c r="E95" s="21"/>
      <c r="F95" s="21"/>
      <c r="G95" s="21"/>
      <c r="H95" s="21"/>
      <c r="I95" s="20"/>
    </row>
    <row r="96" spans="1:9" x14ac:dyDescent="0.3">
      <c r="A96" s="18"/>
      <c r="B96" s="30">
        <f t="array" ref="B96:B98">_xll.U.DO(B102:B104)</f>
        <v>1</v>
      </c>
      <c r="C96" s="21"/>
      <c r="D96" s="21"/>
      <c r="E96" s="21"/>
      <c r="F96" s="21"/>
      <c r="G96" s="21"/>
      <c r="H96" s="21"/>
      <c r="I96" s="20"/>
    </row>
    <row r="97" spans="1:9" x14ac:dyDescent="0.3">
      <c r="A97" s="18"/>
      <c r="B97" s="30">
        <v>2</v>
      </c>
      <c r="C97" s="21"/>
      <c r="D97" s="21"/>
      <c r="E97" s="21"/>
      <c r="F97" s="21"/>
      <c r="G97" s="21"/>
      <c r="H97" s="21"/>
      <c r="I97" s="20"/>
    </row>
    <row r="98" spans="1:9" x14ac:dyDescent="0.3">
      <c r="A98" s="18"/>
      <c r="B98" s="30">
        <v>3</v>
      </c>
      <c r="C98" s="21"/>
      <c r="D98" s="21"/>
      <c r="E98" s="21"/>
      <c r="F98" s="21"/>
      <c r="G98" s="21"/>
      <c r="H98" s="21"/>
      <c r="I98" s="20"/>
    </row>
    <row r="99" spans="1:9" x14ac:dyDescent="0.3">
      <c r="A99" s="18"/>
      <c r="B99" s="21"/>
      <c r="C99" s="21"/>
      <c r="D99" s="21"/>
      <c r="E99" s="21"/>
      <c r="F99" s="21"/>
      <c r="G99" s="21"/>
      <c r="H99" s="21"/>
      <c r="I99" s="20"/>
    </row>
    <row r="100" spans="1:9" x14ac:dyDescent="0.3">
      <c r="A100" s="18"/>
      <c r="B100" s="181">
        <v>6</v>
      </c>
      <c r="C100" s="21"/>
      <c r="D100" s="21"/>
      <c r="E100" s="21"/>
      <c r="F100" s="21"/>
      <c r="G100" s="21"/>
      <c r="H100" s="21"/>
      <c r="I100" s="20"/>
    </row>
    <row r="101" spans="1:9" x14ac:dyDescent="0.3">
      <c r="A101" s="18"/>
      <c r="C101" s="21"/>
      <c r="D101" s="21"/>
      <c r="E101" s="21"/>
      <c r="F101" s="21"/>
      <c r="G101" s="21"/>
      <c r="H101" s="21"/>
      <c r="I101" s="20"/>
    </row>
    <row r="102" spans="1:9" x14ac:dyDescent="0.3">
      <c r="A102" s="18"/>
      <c r="B102" s="181">
        <v>1</v>
      </c>
      <c r="C102" s="21"/>
      <c r="D102" s="21"/>
      <c r="E102" s="21"/>
      <c r="F102" s="21"/>
      <c r="G102" s="21"/>
      <c r="H102" s="21"/>
      <c r="I102" s="20"/>
    </row>
    <row r="103" spans="1:9" x14ac:dyDescent="0.3">
      <c r="A103" s="18"/>
      <c r="B103" s="181">
        <v>2</v>
      </c>
      <c r="C103" s="21"/>
      <c r="D103" s="21"/>
      <c r="E103" s="21"/>
      <c r="F103" s="21"/>
      <c r="G103" s="21"/>
      <c r="H103" s="21"/>
      <c r="I103" s="20"/>
    </row>
    <row r="104" spans="1:9" x14ac:dyDescent="0.3">
      <c r="A104" s="18"/>
      <c r="B104" s="181">
        <v>3</v>
      </c>
      <c r="C104" s="21"/>
      <c r="D104" s="21"/>
      <c r="E104" s="21"/>
      <c r="F104" s="21"/>
      <c r="G104" s="21"/>
      <c r="H104" s="21"/>
      <c r="I104" s="20"/>
    </row>
    <row r="105" spans="1:9" x14ac:dyDescent="0.3">
      <c r="A105" s="18"/>
      <c r="B105" s="350"/>
      <c r="C105" s="21"/>
      <c r="D105" s="21"/>
      <c r="E105" s="21"/>
      <c r="F105" s="21"/>
      <c r="G105" s="21"/>
      <c r="H105" s="21"/>
      <c r="I105" s="20"/>
    </row>
    <row r="106" spans="1:9" x14ac:dyDescent="0.3">
      <c r="A106" s="18"/>
      <c r="B106" s="350"/>
      <c r="C106" s="21"/>
      <c r="D106" s="21"/>
      <c r="E106" s="21"/>
      <c r="F106" s="21"/>
      <c r="G106" s="21"/>
      <c r="H106" s="21"/>
      <c r="I106" s="20"/>
    </row>
    <row r="107" spans="1:9" ht="15" thickBot="1" x14ac:dyDescent="0.35">
      <c r="A107" s="18"/>
      <c r="B107" s="350"/>
      <c r="C107" s="21"/>
      <c r="D107" s="21"/>
      <c r="E107" s="21"/>
      <c r="F107" s="21"/>
      <c r="G107" s="21"/>
      <c r="H107" s="21"/>
      <c r="I107" s="20"/>
    </row>
    <row r="108" spans="1:9" ht="15" thickBot="1" x14ac:dyDescent="0.35">
      <c r="A108" s="581" t="s">
        <v>2288</v>
      </c>
      <c r="B108" s="582"/>
      <c r="C108" s="582"/>
      <c r="D108" s="582"/>
      <c r="E108" s="582"/>
      <c r="F108" s="582"/>
      <c r="G108" s="582"/>
      <c r="H108" s="583"/>
      <c r="I108" s="20"/>
    </row>
    <row r="109" spans="1:9" x14ac:dyDescent="0.3">
      <c r="A109" s="18"/>
      <c r="B109" s="350"/>
      <c r="C109" s="21"/>
      <c r="D109" s="21"/>
      <c r="E109" s="21"/>
      <c r="F109" s="21"/>
      <c r="G109" s="21"/>
      <c r="H109" s="21"/>
      <c r="I109" s="20"/>
    </row>
    <row r="110" spans="1:9" x14ac:dyDescent="0.3">
      <c r="A110" s="18"/>
      <c r="B110" s="350"/>
      <c r="C110" s="21"/>
      <c r="D110" s="21"/>
      <c r="E110" s="21"/>
      <c r="F110" s="21"/>
      <c r="G110" s="21"/>
      <c r="H110" s="21"/>
      <c r="I110" s="20"/>
    </row>
    <row r="111" spans="1:9" x14ac:dyDescent="0.3">
      <c r="A111" s="18"/>
      <c r="B111" s="101" t="s">
        <v>3526</v>
      </c>
      <c r="C111" s="21"/>
      <c r="D111" s="21"/>
      <c r="E111" s="21"/>
      <c r="F111" s="21"/>
      <c r="G111" s="21"/>
      <c r="H111" s="21"/>
      <c r="I111" s="20"/>
    </row>
    <row r="112" spans="1:9" x14ac:dyDescent="0.3">
      <c r="A112" s="18"/>
      <c r="B112" s="30">
        <f t="array" ref="B112:B114">_xll.U.PRIOR_VALS(B116:B118)</f>
        <v>1</v>
      </c>
      <c r="C112" s="21"/>
      <c r="D112" s="21"/>
      <c r="E112" s="21"/>
      <c r="F112" s="21"/>
      <c r="G112" s="21"/>
      <c r="H112" s="21"/>
      <c r="I112" s="20"/>
    </row>
    <row r="113" spans="1:9" x14ac:dyDescent="0.3">
      <c r="A113" s="18"/>
      <c r="B113" s="30">
        <v>2</v>
      </c>
      <c r="C113" s="21"/>
      <c r="D113" s="21"/>
      <c r="E113" s="21"/>
      <c r="F113" s="21"/>
      <c r="G113" s="21"/>
      <c r="H113" s="21"/>
      <c r="I113" s="20"/>
    </row>
    <row r="114" spans="1:9" x14ac:dyDescent="0.3">
      <c r="A114" s="18"/>
      <c r="B114" s="30">
        <v>3</v>
      </c>
      <c r="C114" s="21"/>
      <c r="D114" s="21"/>
      <c r="E114" s="21"/>
      <c r="F114" s="21"/>
      <c r="G114" s="21"/>
      <c r="H114" s="21"/>
      <c r="I114" s="20"/>
    </row>
    <row r="115" spans="1:9" x14ac:dyDescent="0.3">
      <c r="A115" s="18"/>
      <c r="B115" s="350"/>
      <c r="C115" s="21"/>
      <c r="D115" s="21"/>
      <c r="E115" s="21"/>
      <c r="F115" s="21"/>
      <c r="G115" s="21"/>
      <c r="H115" s="21"/>
      <c r="I115" s="20"/>
    </row>
    <row r="116" spans="1:9" x14ac:dyDescent="0.3">
      <c r="A116" s="18"/>
      <c r="B116" s="181">
        <v>1</v>
      </c>
      <c r="C116" s="21"/>
      <c r="D116" s="21"/>
      <c r="E116" s="21"/>
      <c r="F116" s="21"/>
      <c r="G116" s="21"/>
      <c r="H116" s="21"/>
      <c r="I116" s="20"/>
    </row>
    <row r="117" spans="1:9" x14ac:dyDescent="0.3">
      <c r="A117" s="18"/>
      <c r="B117" s="181">
        <v>2</v>
      </c>
      <c r="C117" s="21"/>
      <c r="D117" s="21"/>
      <c r="E117" s="21"/>
      <c r="F117" s="21"/>
      <c r="G117" s="21"/>
      <c r="H117" s="21"/>
      <c r="I117" s="20"/>
    </row>
    <row r="118" spans="1:9" x14ac:dyDescent="0.3">
      <c r="A118" s="18"/>
      <c r="B118" s="181">
        <v>3</v>
      </c>
      <c r="C118" s="21"/>
      <c r="D118" s="21"/>
      <c r="E118" s="21"/>
      <c r="F118" s="21"/>
      <c r="G118" s="21"/>
      <c r="H118" s="21"/>
      <c r="I118" s="20"/>
    </row>
    <row r="119" spans="1:9" x14ac:dyDescent="0.3">
      <c r="A119" s="18"/>
      <c r="B119" s="350"/>
      <c r="C119" s="21"/>
      <c r="D119" s="21"/>
      <c r="E119" s="21"/>
      <c r="F119" s="21"/>
      <c r="G119" s="21"/>
      <c r="H119" s="21"/>
      <c r="I119" s="20"/>
    </row>
    <row r="120" spans="1:9" x14ac:dyDescent="0.3">
      <c r="A120" s="18"/>
      <c r="B120" s="350"/>
      <c r="C120" s="21"/>
      <c r="D120" s="21"/>
      <c r="E120" s="21"/>
      <c r="F120" s="21"/>
      <c r="G120" s="21"/>
      <c r="H120" s="21"/>
      <c r="I120" s="20"/>
    </row>
    <row r="121" spans="1:9" x14ac:dyDescent="0.3">
      <c r="A121" s="18"/>
      <c r="B121" s="350"/>
      <c r="C121" s="21"/>
      <c r="D121" s="21"/>
      <c r="E121" s="21"/>
      <c r="F121" s="21"/>
      <c r="G121" s="21"/>
      <c r="H121" s="21"/>
      <c r="I121" s="20"/>
    </row>
    <row r="122" spans="1:9" x14ac:dyDescent="0.3">
      <c r="A122" s="18"/>
      <c r="B122" s="351">
        <f t="array" ref="B122:B125">_xll.U.PRIOR_VALS(B116:B118,D123,D126,D129)</f>
        <v>46072.452953541666</v>
      </c>
      <c r="C122" s="21"/>
      <c r="D122" s="101" t="s">
        <v>2279</v>
      </c>
      <c r="E122" s="21"/>
      <c r="F122" s="21"/>
      <c r="G122" s="21"/>
      <c r="H122" s="21"/>
      <c r="I122" s="20"/>
    </row>
    <row r="123" spans="1:9" x14ac:dyDescent="0.3">
      <c r="A123" s="18"/>
      <c r="B123" s="352">
        <v>1</v>
      </c>
      <c r="C123" s="21"/>
      <c r="D123" s="181">
        <v>10</v>
      </c>
      <c r="E123" s="21"/>
      <c r="F123" s="21"/>
      <c r="G123" s="21"/>
      <c r="H123" s="21"/>
      <c r="I123" s="20"/>
    </row>
    <row r="124" spans="1:9" x14ac:dyDescent="0.3">
      <c r="A124" s="18"/>
      <c r="B124" s="352">
        <v>2</v>
      </c>
      <c r="C124" s="21"/>
      <c r="D124" s="21"/>
      <c r="E124" s="21"/>
      <c r="F124" s="21"/>
      <c r="G124" s="21"/>
      <c r="H124" s="21"/>
      <c r="I124" s="20"/>
    </row>
    <row r="125" spans="1:9" x14ac:dyDescent="0.3">
      <c r="A125" s="18"/>
      <c r="B125" s="352">
        <v>3</v>
      </c>
      <c r="C125" s="21"/>
      <c r="D125" s="101" t="s">
        <v>2278</v>
      </c>
      <c r="E125" s="21"/>
      <c r="F125" s="21"/>
      <c r="G125" s="21"/>
      <c r="H125" s="21"/>
      <c r="I125" s="20"/>
    </row>
    <row r="126" spans="1:9" x14ac:dyDescent="0.3">
      <c r="A126" s="18"/>
      <c r="B126" s="350"/>
      <c r="C126" s="21"/>
      <c r="D126" s="181">
        <v>3</v>
      </c>
      <c r="E126" s="21"/>
      <c r="F126" s="21"/>
      <c r="G126" s="21"/>
      <c r="H126" s="21"/>
      <c r="I126" s="20"/>
    </row>
    <row r="127" spans="1:9" x14ac:dyDescent="0.3">
      <c r="A127" s="18"/>
      <c r="B127" s="350"/>
      <c r="C127" s="21"/>
      <c r="D127" s="21"/>
      <c r="E127" s="21"/>
      <c r="F127" s="21"/>
      <c r="G127" s="21"/>
      <c r="H127" s="21"/>
      <c r="I127" s="20"/>
    </row>
    <row r="128" spans="1:9" x14ac:dyDescent="0.3">
      <c r="A128" s="18"/>
      <c r="B128" s="350"/>
      <c r="C128" s="21"/>
      <c r="D128" s="101" t="s">
        <v>2280</v>
      </c>
      <c r="E128" s="21"/>
      <c r="F128" s="21"/>
      <c r="G128" s="21"/>
      <c r="H128" s="21"/>
      <c r="I128" s="20"/>
    </row>
    <row r="129" spans="1:9" x14ac:dyDescent="0.3">
      <c r="A129" s="18"/>
      <c r="B129" s="350"/>
      <c r="C129" s="21"/>
      <c r="D129" s="181" t="b">
        <v>1</v>
      </c>
      <c r="E129" s="21"/>
      <c r="F129" s="21"/>
      <c r="G129" s="21"/>
      <c r="H129" s="21"/>
      <c r="I129" s="20"/>
    </row>
    <row r="130" spans="1:9" x14ac:dyDescent="0.3">
      <c r="A130" s="18"/>
      <c r="B130" s="350"/>
      <c r="C130" s="21"/>
      <c r="D130" s="21"/>
      <c r="E130" s="21"/>
      <c r="F130" s="21"/>
      <c r="G130" s="21"/>
      <c r="H130" s="21"/>
      <c r="I130" s="20"/>
    </row>
    <row r="131" spans="1:9" x14ac:dyDescent="0.3">
      <c r="A131" s="18"/>
      <c r="B131" s="350"/>
      <c r="C131" s="21"/>
      <c r="D131" s="21"/>
      <c r="E131" s="21"/>
      <c r="F131" s="21"/>
      <c r="G131" s="21"/>
      <c r="H131" s="21"/>
      <c r="I131" s="20"/>
    </row>
    <row r="132" spans="1:9" x14ac:dyDescent="0.3">
      <c r="A132" s="18"/>
      <c r="B132" s="350"/>
      <c r="C132" s="21"/>
      <c r="D132" s="21"/>
      <c r="E132" s="21"/>
      <c r="F132" s="21"/>
      <c r="G132" s="21"/>
      <c r="H132" s="21"/>
      <c r="I132" s="20"/>
    </row>
    <row r="133" spans="1:9" x14ac:dyDescent="0.3">
      <c r="A133" s="18"/>
      <c r="B133" s="350"/>
      <c r="C133" s="21"/>
      <c r="D133" s="21"/>
      <c r="E133" s="21"/>
      <c r="F133" s="21"/>
      <c r="G133" s="21"/>
      <c r="H133" s="21"/>
      <c r="I133" s="20"/>
    </row>
    <row r="134" spans="1:9" x14ac:dyDescent="0.3">
      <c r="A134" s="18"/>
      <c r="B134" s="350"/>
      <c r="C134" s="21"/>
      <c r="D134" s="21"/>
      <c r="E134" s="21"/>
      <c r="F134" s="21"/>
      <c r="G134" s="21"/>
      <c r="H134" s="21"/>
      <c r="I134" s="20"/>
    </row>
    <row r="135" spans="1:9" x14ac:dyDescent="0.3">
      <c r="A135" s="18"/>
      <c r="B135" s="350"/>
      <c r="C135" s="21"/>
      <c r="D135" s="21"/>
      <c r="E135" s="21"/>
      <c r="F135" s="21"/>
      <c r="G135" s="21"/>
      <c r="H135" s="21"/>
      <c r="I135" s="20"/>
    </row>
    <row r="136" spans="1:9" x14ac:dyDescent="0.3">
      <c r="A136" s="18"/>
      <c r="B136" s="242">
        <f t="array" ref="B136:B138">_xll.U.PRIOR_VALS(B116:B118,D137,,,D140)</f>
        <v>1</v>
      </c>
      <c r="C136" s="21"/>
      <c r="D136" s="101" t="s">
        <v>2279</v>
      </c>
      <c r="E136" s="21"/>
      <c r="F136" s="21"/>
      <c r="G136" s="21"/>
      <c r="H136" s="21"/>
      <c r="I136" s="20"/>
    </row>
    <row r="137" spans="1:9" x14ac:dyDescent="0.3">
      <c r="A137" s="18"/>
      <c r="B137" s="242">
        <v>2</v>
      </c>
      <c r="C137" s="21"/>
      <c r="D137" s="181">
        <v>10</v>
      </c>
      <c r="E137" s="21"/>
      <c r="F137" s="21"/>
      <c r="G137" s="21"/>
      <c r="H137" s="21"/>
      <c r="I137" s="20"/>
    </row>
    <row r="138" spans="1:9" x14ac:dyDescent="0.3">
      <c r="A138" s="18"/>
      <c r="B138" s="242">
        <v>3</v>
      </c>
      <c r="C138" s="21"/>
      <c r="D138" s="21"/>
      <c r="E138" s="21"/>
      <c r="F138" s="21"/>
      <c r="G138" s="21"/>
      <c r="H138" s="21"/>
      <c r="I138" s="20"/>
    </row>
    <row r="139" spans="1:9" x14ac:dyDescent="0.3">
      <c r="A139" s="18"/>
      <c r="B139" s="350"/>
      <c r="C139" s="21"/>
      <c r="D139" s="101" t="s">
        <v>2284</v>
      </c>
      <c r="E139" s="21"/>
      <c r="F139" s="21"/>
      <c r="G139" s="21"/>
      <c r="H139" s="21"/>
      <c r="I139" s="20"/>
    </row>
    <row r="140" spans="1:9" x14ac:dyDescent="0.3">
      <c r="A140" s="18"/>
      <c r="B140" s="350"/>
      <c r="C140" s="21"/>
      <c r="D140" s="181" t="s">
        <v>2285</v>
      </c>
      <c r="E140" s="21"/>
      <c r="F140" s="21"/>
      <c r="G140" s="21"/>
      <c r="H140" s="21"/>
      <c r="I140" s="20"/>
    </row>
    <row r="141" spans="1:9" x14ac:dyDescent="0.3">
      <c r="A141" s="18"/>
      <c r="B141" s="350"/>
      <c r="C141" s="21"/>
      <c r="D141" s="21"/>
      <c r="E141" s="21"/>
      <c r="F141" s="21"/>
      <c r="G141" s="21"/>
      <c r="H141" s="21"/>
      <c r="I141" s="20"/>
    </row>
    <row r="142" spans="1:9" x14ac:dyDescent="0.3">
      <c r="A142" s="18"/>
      <c r="B142" s="350"/>
      <c r="C142" s="21"/>
      <c r="D142" s="350"/>
      <c r="E142" s="21"/>
      <c r="F142" s="21"/>
      <c r="G142" s="21"/>
      <c r="H142" s="21"/>
      <c r="I142" s="20"/>
    </row>
    <row r="143" spans="1:9" x14ac:dyDescent="0.3">
      <c r="A143" s="18"/>
      <c r="B143" s="350"/>
      <c r="C143" s="21"/>
      <c r="D143" s="350"/>
      <c r="E143" s="21"/>
      <c r="F143" s="21"/>
      <c r="G143" s="21"/>
      <c r="H143" s="21"/>
      <c r="I143" s="20"/>
    </row>
    <row r="144" spans="1:9" x14ac:dyDescent="0.3">
      <c r="A144" s="18"/>
      <c r="B144" s="351">
        <f t="array" ref="B144:B147">_xll.U.PRIOR_VALS(,,D145,TRUE,D140)</f>
        <v>46072.452959212962</v>
      </c>
      <c r="C144" s="21"/>
      <c r="D144" s="101" t="s">
        <v>2278</v>
      </c>
      <c r="E144" s="21"/>
      <c r="F144" s="21"/>
      <c r="G144" s="21"/>
      <c r="H144" s="21"/>
      <c r="I144" s="20"/>
    </row>
    <row r="145" spans="1:9" x14ac:dyDescent="0.3">
      <c r="A145" s="18"/>
      <c r="B145" s="352">
        <v>1</v>
      </c>
      <c r="C145" s="21"/>
      <c r="D145" s="181">
        <v>3</v>
      </c>
      <c r="E145" s="21"/>
      <c r="F145" s="21"/>
      <c r="G145" s="21"/>
      <c r="H145" s="21"/>
      <c r="I145" s="20"/>
    </row>
    <row r="146" spans="1:9" x14ac:dyDescent="0.3">
      <c r="A146" s="18"/>
      <c r="B146" s="352">
        <v>2</v>
      </c>
      <c r="C146" s="21"/>
      <c r="D146" s="350"/>
      <c r="E146" s="21"/>
      <c r="F146" s="21"/>
      <c r="G146" s="21"/>
      <c r="H146" s="21"/>
      <c r="I146" s="20"/>
    </row>
    <row r="147" spans="1:9" x14ac:dyDescent="0.3">
      <c r="A147" s="18"/>
      <c r="B147" s="352">
        <v>3</v>
      </c>
      <c r="C147" s="21"/>
      <c r="D147" s="21"/>
      <c r="E147" s="21"/>
      <c r="F147" s="21"/>
      <c r="G147" s="21"/>
      <c r="H147" s="21"/>
      <c r="I147" s="20"/>
    </row>
    <row r="148" spans="1:9" x14ac:dyDescent="0.3">
      <c r="A148" s="18"/>
      <c r="B148" s="350"/>
      <c r="C148" s="21"/>
      <c r="D148" s="21"/>
      <c r="E148" s="21"/>
      <c r="F148" s="21"/>
      <c r="G148" s="21"/>
      <c r="H148" s="21"/>
      <c r="I148" s="20"/>
    </row>
    <row r="149" spans="1:9" x14ac:dyDescent="0.3">
      <c r="A149" s="18"/>
      <c r="B149" s="350"/>
      <c r="C149" s="21"/>
      <c r="D149" s="21"/>
      <c r="E149" s="21"/>
      <c r="F149" s="21"/>
      <c r="G149" s="21"/>
      <c r="H149" s="21"/>
      <c r="I149" s="20"/>
    </row>
    <row r="150" spans="1:9" x14ac:dyDescent="0.3">
      <c r="A150" s="18"/>
      <c r="B150" s="350"/>
      <c r="C150" s="21"/>
      <c r="D150" s="21"/>
      <c r="E150" s="21"/>
      <c r="F150" s="21"/>
      <c r="G150" s="21"/>
      <c r="H150" s="21"/>
      <c r="I150" s="20"/>
    </row>
    <row r="151" spans="1:9" x14ac:dyDescent="0.3">
      <c r="A151" s="18"/>
      <c r="B151" s="350"/>
      <c r="C151" s="21"/>
      <c r="D151" s="21"/>
      <c r="E151" s="21"/>
      <c r="F151" s="21"/>
      <c r="G151" s="21"/>
      <c r="H151" s="21"/>
      <c r="I151" s="20"/>
    </row>
    <row r="152" spans="1:9" x14ac:dyDescent="0.3">
      <c r="A152" s="18"/>
      <c r="B152" s="350"/>
      <c r="C152" s="21"/>
      <c r="D152" s="21"/>
      <c r="E152" s="21"/>
      <c r="F152" s="21"/>
      <c r="G152" s="21"/>
      <c r="H152" s="21"/>
      <c r="I152" s="20"/>
    </row>
    <row r="153" spans="1:9" x14ac:dyDescent="0.3">
      <c r="A153" s="18"/>
      <c r="B153" s="350"/>
      <c r="C153" s="21"/>
      <c r="D153" s="21"/>
      <c r="E153" s="21"/>
      <c r="F153" s="21"/>
      <c r="G153" s="21"/>
      <c r="H153" s="21"/>
      <c r="I153" s="20"/>
    </row>
    <row r="154" spans="1:9" x14ac:dyDescent="0.3">
      <c r="A154" s="18"/>
      <c r="B154" s="350"/>
      <c r="C154" s="21"/>
      <c r="D154" s="21"/>
      <c r="E154" s="21"/>
      <c r="F154" s="21"/>
      <c r="G154" s="21"/>
      <c r="H154" s="21"/>
      <c r="I154" s="20"/>
    </row>
    <row r="155" spans="1:9" x14ac:dyDescent="0.3">
      <c r="A155" s="18"/>
      <c r="B155" s="350"/>
      <c r="C155" s="21"/>
      <c r="D155" s="21"/>
      <c r="E155" s="21"/>
      <c r="F155" s="21"/>
      <c r="G155" s="21"/>
      <c r="H155" s="21"/>
      <c r="I155" s="20"/>
    </row>
    <row r="156" spans="1:9" x14ac:dyDescent="0.3">
      <c r="A156" s="18"/>
      <c r="B156" s="350"/>
      <c r="C156" s="102" t="str">
        <f t="array" ref="C156:H161">_xll.U.PAD(_xll.U.PRIOR_VALS())</f>
        <v>Key [or Caller]</v>
      </c>
      <c r="D156" s="102" t="str">
        <v>Depth</v>
      </c>
      <c r="E156" s="102" t="str">
        <v>MaxDepth</v>
      </c>
      <c r="F156" s="102" t="str">
        <v>First Change Time</v>
      </c>
      <c r="G156" s="102" t="str">
        <v>Last Change Time</v>
      </c>
      <c r="H156" s="102" t="str">
        <v>Last Check Time</v>
      </c>
      <c r="I156" s="20"/>
    </row>
    <row r="157" spans="1:9" x14ac:dyDescent="0.3">
      <c r="A157" s="18"/>
      <c r="B157" s="350"/>
      <c r="C157" s="242" t="str">
        <v>EXAMPLE_HIST</v>
      </c>
      <c r="D157" s="353">
        <v>2</v>
      </c>
      <c r="E157" s="353">
        <v>10</v>
      </c>
      <c r="F157" s="71">
        <v>46072.452959212962</v>
      </c>
      <c r="G157" s="71">
        <v>46072.452959212962</v>
      </c>
      <c r="H157" s="71">
        <v>46072.452959212962</v>
      </c>
      <c r="I157" s="20"/>
    </row>
    <row r="158" spans="1:9" x14ac:dyDescent="0.3">
      <c r="A158" s="18"/>
      <c r="B158" s="350"/>
      <c r="C158" s="242" t="str">
        <v>[U_UsageExamples.xlsx]CLICKVALS!D116</v>
      </c>
      <c r="D158" s="353">
        <v>2</v>
      </c>
      <c r="E158" s="353">
        <v>1</v>
      </c>
      <c r="F158" s="71">
        <v>46072.452913726855</v>
      </c>
      <c r="G158" s="71">
        <v>46072.452913726855</v>
      </c>
      <c r="H158" s="71">
        <v>46072.452967233796</v>
      </c>
      <c r="I158" s="20"/>
    </row>
    <row r="159" spans="1:9" x14ac:dyDescent="0.3">
      <c r="A159" s="18"/>
      <c r="B159" s="350"/>
      <c r="C159" s="242" t="str">
        <v>[U_UsageExamples.xlsx]DO!B112:B114</v>
      </c>
      <c r="D159" s="353">
        <v>2</v>
      </c>
      <c r="E159" s="353">
        <v>1</v>
      </c>
      <c r="F159" s="71">
        <v>46072.452958784721</v>
      </c>
      <c r="G159" s="71">
        <v>46072.452958784721</v>
      </c>
      <c r="H159" s="71">
        <v>46072.452958784721</v>
      </c>
      <c r="I159" s="20"/>
    </row>
    <row r="160" spans="1:9" x14ac:dyDescent="0.3">
      <c r="A160" s="18"/>
      <c r="B160" s="350"/>
      <c r="C160" s="242" t="str">
        <v>[U_UsageExamples.xlsx]DO!B122:B125</v>
      </c>
      <c r="D160" s="353">
        <v>2</v>
      </c>
      <c r="E160" s="353">
        <v>10</v>
      </c>
      <c r="F160" s="71">
        <v>46072.452953541666</v>
      </c>
      <c r="G160" s="71">
        <v>46072.452953541666</v>
      </c>
      <c r="H160" s="71">
        <v>46072.453054074074</v>
      </c>
      <c r="I160" s="20"/>
    </row>
    <row r="161" spans="1:9" x14ac:dyDescent="0.3">
      <c r="A161" s="18"/>
      <c r="B161" s="350"/>
      <c r="C161" s="242" t="str">
        <v/>
      </c>
      <c r="D161" s="353" t="str">
        <v/>
      </c>
      <c r="E161" s="353" t="str">
        <v/>
      </c>
      <c r="F161" s="71" t="str">
        <v/>
      </c>
      <c r="G161" s="71" t="str">
        <v/>
      </c>
      <c r="H161" s="71" t="str">
        <v/>
      </c>
      <c r="I161" s="20"/>
    </row>
    <row r="162" spans="1:9" x14ac:dyDescent="0.3">
      <c r="A162" s="18"/>
      <c r="B162" s="350"/>
      <c r="C162" s="350"/>
      <c r="D162" s="350"/>
      <c r="E162" s="350"/>
      <c r="F162" s="350"/>
      <c r="G162" s="350"/>
      <c r="H162" s="350"/>
      <c r="I162" s="20"/>
    </row>
    <row r="163" spans="1:9" x14ac:dyDescent="0.3">
      <c r="A163" s="18"/>
      <c r="B163" s="350"/>
      <c r="C163" s="21"/>
      <c r="D163" s="21"/>
      <c r="E163" s="21"/>
      <c r="F163" s="21"/>
      <c r="G163" s="21"/>
      <c r="H163" s="21"/>
      <c r="I163" s="20"/>
    </row>
    <row r="164" spans="1:9" x14ac:dyDescent="0.3">
      <c r="A164" s="18"/>
      <c r="B164" s="350"/>
      <c r="C164" s="21"/>
      <c r="D164" s="21"/>
      <c r="E164" s="21"/>
      <c r="F164" s="21"/>
      <c r="G164" s="21"/>
      <c r="H164" s="21"/>
      <c r="I164" s="20"/>
    </row>
    <row r="165" spans="1:9" x14ac:dyDescent="0.3">
      <c r="A165" s="18"/>
      <c r="B165" s="350"/>
      <c r="C165" s="21"/>
      <c r="D165" s="21"/>
      <c r="E165" s="21"/>
      <c r="F165" s="21"/>
      <c r="G165" s="21"/>
      <c r="H165" s="21"/>
      <c r="I165" s="20"/>
    </row>
    <row r="166" spans="1:9" x14ac:dyDescent="0.3">
      <c r="A166" s="18"/>
      <c r="B166" s="350"/>
      <c r="C166" s="21"/>
      <c r="D166" s="21"/>
      <c r="E166" s="21"/>
      <c r="F166" s="21"/>
      <c r="G166" s="21"/>
      <c r="H166" s="21"/>
      <c r="I166" s="20"/>
    </row>
    <row r="167" spans="1:9" x14ac:dyDescent="0.3">
      <c r="A167" s="18"/>
      <c r="B167" s="350"/>
      <c r="C167" s="21"/>
      <c r="D167" s="21"/>
      <c r="E167" s="21"/>
      <c r="F167" s="21"/>
      <c r="G167" s="21"/>
      <c r="H167" s="21"/>
      <c r="I167" s="20"/>
    </row>
    <row r="168" spans="1:9" x14ac:dyDescent="0.3">
      <c r="A168" s="18"/>
      <c r="B168" s="350"/>
      <c r="C168" s="21"/>
      <c r="D168" s="21"/>
      <c r="E168" s="21"/>
      <c r="F168" s="21"/>
      <c r="G168" s="21"/>
      <c r="H168" s="21"/>
      <c r="I168" s="20"/>
    </row>
    <row r="169" spans="1:9" x14ac:dyDescent="0.3">
      <c r="A169" s="18"/>
      <c r="B169" s="350"/>
      <c r="C169" s="21"/>
      <c r="D169" s="21"/>
      <c r="E169" s="21"/>
      <c r="F169" s="21"/>
      <c r="G169" s="21"/>
      <c r="H169" s="21"/>
      <c r="I169" s="20"/>
    </row>
    <row r="170" spans="1:9" x14ac:dyDescent="0.3">
      <c r="A170" s="18"/>
      <c r="B170" s="350"/>
      <c r="C170" s="21"/>
      <c r="D170" s="21"/>
      <c r="E170" s="21"/>
      <c r="F170" s="21"/>
      <c r="G170" s="21"/>
      <c r="H170" s="21"/>
      <c r="I170" s="20"/>
    </row>
    <row r="171" spans="1:9" x14ac:dyDescent="0.3">
      <c r="A171" s="18"/>
      <c r="B171" s="350"/>
      <c r="C171" s="21"/>
      <c r="D171" s="21"/>
      <c r="E171" s="21"/>
      <c r="F171" s="21"/>
      <c r="G171" s="21"/>
      <c r="H171" s="21"/>
      <c r="I171" s="20"/>
    </row>
    <row r="172" spans="1:9" x14ac:dyDescent="0.3">
      <c r="A172" s="18"/>
      <c r="B172" s="350"/>
      <c r="C172" s="21"/>
      <c r="D172" s="21"/>
      <c r="E172" s="21"/>
      <c r="F172" s="21"/>
      <c r="G172" s="21"/>
      <c r="H172" s="21"/>
      <c r="I172" s="20"/>
    </row>
    <row r="173" spans="1:9" ht="15" thickBot="1" x14ac:dyDescent="0.35">
      <c r="A173" s="22"/>
      <c r="B173" s="23"/>
      <c r="C173" s="23"/>
      <c r="D173" s="23"/>
      <c r="E173" s="23"/>
      <c r="F173" s="23"/>
      <c r="G173" s="23"/>
      <c r="H173" s="23"/>
      <c r="I173" s="24"/>
    </row>
  </sheetData>
  <mergeCells count="57">
    <mergeCell ref="K42:L44"/>
    <mergeCell ref="M42:S44"/>
    <mergeCell ref="T42:T44"/>
    <mergeCell ref="K37:T37"/>
    <mergeCell ref="K38:L40"/>
    <mergeCell ref="M38:T40"/>
    <mergeCell ref="K41:L41"/>
    <mergeCell ref="M41:S41"/>
    <mergeCell ref="K31:L33"/>
    <mergeCell ref="M31:S33"/>
    <mergeCell ref="T31:T33"/>
    <mergeCell ref="K23:T23"/>
    <mergeCell ref="K24:L26"/>
    <mergeCell ref="M24:T26"/>
    <mergeCell ref="K27:L27"/>
    <mergeCell ref="M27:S27"/>
    <mergeCell ref="K28:L30"/>
    <mergeCell ref="M28:S30"/>
    <mergeCell ref="T28:T30"/>
    <mergeCell ref="K8:L10"/>
    <mergeCell ref="M8:S10"/>
    <mergeCell ref="T8:T10"/>
    <mergeCell ref="K3:T3"/>
    <mergeCell ref="K4:L6"/>
    <mergeCell ref="M4:T6"/>
    <mergeCell ref="K7:L7"/>
    <mergeCell ref="M7:S7"/>
    <mergeCell ref="K17:L19"/>
    <mergeCell ref="M17:S19"/>
    <mergeCell ref="T17:T19"/>
    <mergeCell ref="K11:L13"/>
    <mergeCell ref="M11:S13"/>
    <mergeCell ref="T11:T13"/>
    <mergeCell ref="K14:L16"/>
    <mergeCell ref="M14:S16"/>
    <mergeCell ref="T14:T16"/>
    <mergeCell ref="K48:T48"/>
    <mergeCell ref="K49:L51"/>
    <mergeCell ref="M49:T51"/>
    <mergeCell ref="K52:L52"/>
    <mergeCell ref="M52:S52"/>
    <mergeCell ref="A108:H108"/>
    <mergeCell ref="K65:L67"/>
    <mergeCell ref="M65:S67"/>
    <mergeCell ref="T65:T67"/>
    <mergeCell ref="K53:L55"/>
    <mergeCell ref="M53:S55"/>
    <mergeCell ref="T53:T55"/>
    <mergeCell ref="K62:L64"/>
    <mergeCell ref="M62:S64"/>
    <mergeCell ref="T62:T64"/>
    <mergeCell ref="K56:L58"/>
    <mergeCell ref="M56:S58"/>
    <mergeCell ref="T56:T58"/>
    <mergeCell ref="K59:L61"/>
    <mergeCell ref="M59:S61"/>
    <mergeCell ref="T59:T61"/>
  </mergeCells>
  <pageMargins left="0.7" right="0.7" top="0.75" bottom="0.75" header="0.3" footer="0.3"/>
  <pageSetup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5"/>
  <dimension ref="A1:T248"/>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36" bestFit="1" customWidth="1"/>
    <col min="4" max="4" width="29.44140625" bestFit="1" customWidth="1"/>
    <col min="5" max="8" width="20.5546875" customWidth="1"/>
    <col min="9" max="9" width="21.77734375" customWidth="1"/>
    <col min="11" max="12" width="11.21875" customWidth="1"/>
    <col min="13" max="19" width="18.21875" customWidth="1"/>
  </cols>
  <sheetData>
    <row r="1" spans="1:20" ht="34.5" customHeight="1" thickBot="1" x14ac:dyDescent="0.35">
      <c r="A1" s="292" t="s">
        <v>1580</v>
      </c>
      <c r="B1" s="473" t="e" vm="1">
        <v>#VALUE!</v>
      </c>
      <c r="C1" s="8" t="s">
        <v>395</v>
      </c>
      <c r="D1" s="27"/>
      <c r="E1" s="16"/>
      <c r="F1" s="16"/>
      <c r="G1" s="16"/>
      <c r="H1" s="16"/>
      <c r="I1" s="19"/>
    </row>
    <row r="2" spans="1:20" ht="15" customHeight="1" thickBot="1" x14ac:dyDescent="0.35">
      <c r="A2" s="18"/>
      <c r="B2" s="25"/>
      <c r="C2" s="25"/>
      <c r="D2" s="21"/>
      <c r="E2" s="21"/>
      <c r="F2" s="21"/>
      <c r="G2" s="21"/>
      <c r="H2" s="21"/>
      <c r="I2" s="20"/>
    </row>
    <row r="3" spans="1:20" ht="15" customHeight="1" thickBot="1" x14ac:dyDescent="0.35">
      <c r="A3" s="581" t="s">
        <v>579</v>
      </c>
      <c r="B3" s="582"/>
      <c r="C3" s="582"/>
      <c r="D3" s="582"/>
      <c r="E3" s="582"/>
      <c r="F3" s="582"/>
      <c r="G3" s="582"/>
      <c r="H3" s="583"/>
      <c r="I3" s="20"/>
    </row>
    <row r="4" spans="1:20" ht="15" customHeight="1" x14ac:dyDescent="0.3">
      <c r="A4" s="18"/>
      <c r="B4" s="25"/>
      <c r="C4" s="25"/>
      <c r="D4" s="21"/>
      <c r="E4" s="21"/>
      <c r="F4" s="21"/>
      <c r="G4" s="21"/>
      <c r="H4" s="21"/>
      <c r="I4" s="20"/>
    </row>
    <row r="5" spans="1:20" ht="15" customHeight="1" x14ac:dyDescent="0.3">
      <c r="A5" s="18"/>
      <c r="B5" s="25"/>
      <c r="C5" s="25"/>
      <c r="D5" s="21"/>
      <c r="E5" s="21"/>
      <c r="F5" s="21"/>
      <c r="G5" s="21"/>
      <c r="H5" s="21"/>
      <c r="I5" s="20"/>
    </row>
    <row r="6" spans="1:20" ht="15" customHeight="1" x14ac:dyDescent="0.3">
      <c r="A6" s="18"/>
      <c r="B6" s="25"/>
      <c r="C6" s="25"/>
      <c r="D6" s="21"/>
      <c r="E6" s="21"/>
      <c r="F6" s="21"/>
      <c r="G6" s="21"/>
      <c r="H6" s="21"/>
      <c r="I6" s="20"/>
      <c r="K6" s="486" t="s">
        <v>3528</v>
      </c>
      <c r="L6" s="486"/>
      <c r="M6" s="486"/>
      <c r="N6" s="486"/>
      <c r="O6" s="486"/>
      <c r="P6" s="486"/>
      <c r="Q6" s="486"/>
      <c r="R6" s="486"/>
      <c r="S6" s="486"/>
      <c r="T6" s="486"/>
    </row>
    <row r="7" spans="1:20" ht="15" customHeight="1" x14ac:dyDescent="0.3">
      <c r="A7" s="18"/>
      <c r="B7" s="190" t="s">
        <v>396</v>
      </c>
      <c r="C7" s="21"/>
      <c r="D7" s="101" t="s">
        <v>3528</v>
      </c>
      <c r="E7" s="21"/>
      <c r="F7" s="21"/>
      <c r="G7" s="21"/>
      <c r="H7" s="21"/>
      <c r="I7" s="20"/>
      <c r="K7" s="487" t="s">
        <v>333</v>
      </c>
      <c r="L7" s="487"/>
      <c r="M7" s="487" t="s">
        <v>1581</v>
      </c>
      <c r="N7" s="487"/>
      <c r="O7" s="487"/>
      <c r="P7" s="487"/>
      <c r="Q7" s="487"/>
      <c r="R7" s="487"/>
      <c r="S7" s="487"/>
      <c r="T7" s="487"/>
    </row>
    <row r="8" spans="1:20" ht="15" customHeight="1" x14ac:dyDescent="0.3">
      <c r="A8" s="18"/>
      <c r="B8" s="79" t="s">
        <v>397</v>
      </c>
      <c r="C8" s="21"/>
      <c r="D8" s="30" t="str" cm="1">
        <f t="array" ref="D8">_xll.U.SET_CLICKVALS(B8,B11:B14)</f>
        <v>TestVals</v>
      </c>
      <c r="E8" s="21"/>
      <c r="F8" s="21"/>
      <c r="G8" s="21"/>
      <c r="H8" s="21"/>
      <c r="I8" s="20"/>
      <c r="K8" s="487"/>
      <c r="L8" s="487"/>
      <c r="M8" s="487"/>
      <c r="N8" s="487"/>
      <c r="O8" s="487"/>
      <c r="P8" s="487"/>
      <c r="Q8" s="487"/>
      <c r="R8" s="487"/>
      <c r="S8" s="487"/>
      <c r="T8" s="487"/>
    </row>
    <row r="9" spans="1:20" x14ac:dyDescent="0.3">
      <c r="A9" s="18"/>
      <c r="B9" s="21"/>
      <c r="C9" s="21"/>
      <c r="D9" s="21"/>
      <c r="E9" s="21"/>
      <c r="F9" s="21"/>
      <c r="G9" s="21"/>
      <c r="H9" s="21"/>
      <c r="I9" s="20"/>
      <c r="K9" s="487"/>
      <c r="L9" s="487"/>
      <c r="M9" s="487"/>
      <c r="N9" s="487"/>
      <c r="O9" s="487"/>
      <c r="P9" s="487"/>
      <c r="Q9" s="487"/>
      <c r="R9" s="487"/>
      <c r="S9" s="487"/>
      <c r="T9" s="487"/>
    </row>
    <row r="10" spans="1:20" x14ac:dyDescent="0.3">
      <c r="A10" s="18"/>
      <c r="B10" s="190" t="s">
        <v>397</v>
      </c>
      <c r="C10" s="21"/>
      <c r="D10" s="101" t="s">
        <v>3529</v>
      </c>
      <c r="E10" s="21"/>
      <c r="F10" s="21"/>
      <c r="G10" s="21"/>
      <c r="H10" s="21"/>
      <c r="I10" s="20"/>
      <c r="K10" s="483" t="s">
        <v>323</v>
      </c>
      <c r="L10" s="483"/>
      <c r="M10" s="483" t="s">
        <v>1</v>
      </c>
      <c r="N10" s="483"/>
      <c r="O10" s="483"/>
      <c r="P10" s="483"/>
      <c r="Q10" s="483"/>
      <c r="R10" s="483"/>
      <c r="S10" s="483"/>
      <c r="T10" s="85" t="s">
        <v>324</v>
      </c>
    </row>
    <row r="11" spans="1:20" x14ac:dyDescent="0.3">
      <c r="A11" s="18"/>
      <c r="B11" s="79">
        <v>1</v>
      </c>
      <c r="C11" s="21"/>
      <c r="D11" s="30" t="str" cm="1">
        <f t="array" ref="D11">_xll.U.GET_CLICKVAL(B8)</f>
        <v/>
      </c>
      <c r="E11" s="21"/>
      <c r="F11" s="21"/>
      <c r="G11" s="21"/>
      <c r="H11" s="21"/>
      <c r="I11" s="20"/>
      <c r="K11" s="487" t="s">
        <v>517</v>
      </c>
      <c r="L11" s="487"/>
      <c r="M11" s="487" t="s">
        <v>2301</v>
      </c>
      <c r="N11" s="487"/>
      <c r="O11" s="487"/>
      <c r="P11" s="487"/>
      <c r="Q11" s="487"/>
      <c r="R11" s="487"/>
      <c r="S11" s="487"/>
      <c r="T11" s="509" t="s">
        <v>325</v>
      </c>
    </row>
    <row r="12" spans="1:20" x14ac:dyDescent="0.3">
      <c r="A12" s="18"/>
      <c r="B12" s="79">
        <v>2</v>
      </c>
      <c r="C12" s="21"/>
      <c r="D12" s="21"/>
      <c r="E12" s="21"/>
      <c r="F12" s="21"/>
      <c r="G12" s="21"/>
      <c r="H12" s="21"/>
      <c r="I12" s="20"/>
      <c r="K12" s="487"/>
      <c r="L12" s="487"/>
      <c r="M12" s="487"/>
      <c r="N12" s="487"/>
      <c r="O12" s="487"/>
      <c r="P12" s="487"/>
      <c r="Q12" s="487"/>
      <c r="R12" s="487"/>
      <c r="S12" s="487"/>
      <c r="T12" s="509"/>
    </row>
    <row r="13" spans="1:20" x14ac:dyDescent="0.3">
      <c r="A13" s="18"/>
      <c r="B13" s="79">
        <v>3</v>
      </c>
      <c r="C13" s="21"/>
      <c r="D13" s="21"/>
      <c r="E13" s="21"/>
      <c r="F13" s="21"/>
      <c r="G13" s="21"/>
      <c r="H13" s="21"/>
      <c r="I13" s="20"/>
      <c r="K13" s="487"/>
      <c r="L13" s="487"/>
      <c r="M13" s="487"/>
      <c r="N13" s="487"/>
      <c r="O13" s="487"/>
      <c r="P13" s="487"/>
      <c r="Q13" s="487"/>
      <c r="R13" s="487"/>
      <c r="S13" s="487"/>
      <c r="T13" s="509"/>
    </row>
    <row r="14" spans="1:20" x14ac:dyDescent="0.3">
      <c r="A14" s="18"/>
      <c r="B14" s="79">
        <v>4</v>
      </c>
      <c r="C14" s="21"/>
      <c r="D14" s="21"/>
      <c r="E14" s="21"/>
      <c r="F14" s="21"/>
      <c r="G14" s="21"/>
      <c r="H14" s="21"/>
      <c r="I14" s="20"/>
      <c r="K14" s="487" t="s">
        <v>578</v>
      </c>
      <c r="L14" s="487"/>
      <c r="M14" s="487" t="s">
        <v>3140</v>
      </c>
      <c r="N14" s="487"/>
      <c r="O14" s="487"/>
      <c r="P14" s="487"/>
      <c r="Q14" s="487"/>
      <c r="R14" s="487"/>
      <c r="S14" s="487"/>
      <c r="T14" s="509" t="s">
        <v>325</v>
      </c>
    </row>
    <row r="15" spans="1:20" x14ac:dyDescent="0.3">
      <c r="A15" s="18"/>
      <c r="B15" s="21"/>
      <c r="C15" s="21"/>
      <c r="D15" s="21"/>
      <c r="E15" s="21"/>
      <c r="F15" s="21"/>
      <c r="G15" s="21"/>
      <c r="H15" s="21"/>
      <c r="I15" s="20"/>
      <c r="K15" s="487"/>
      <c r="L15" s="487"/>
      <c r="M15" s="487"/>
      <c r="N15" s="487"/>
      <c r="O15" s="487"/>
      <c r="P15" s="487"/>
      <c r="Q15" s="487"/>
      <c r="R15" s="487"/>
      <c r="S15" s="487"/>
      <c r="T15" s="509"/>
    </row>
    <row r="16" spans="1:20" x14ac:dyDescent="0.3">
      <c r="A16" s="18"/>
      <c r="B16" s="21"/>
      <c r="C16" s="21"/>
      <c r="D16" s="21"/>
      <c r="E16" s="21"/>
      <c r="F16" s="21"/>
      <c r="G16" s="21"/>
      <c r="H16" s="21"/>
      <c r="I16" s="20"/>
      <c r="K16" s="487"/>
      <c r="L16" s="487"/>
      <c r="M16" s="487"/>
      <c r="N16" s="487"/>
      <c r="O16" s="487"/>
      <c r="P16" s="487"/>
      <c r="Q16" s="487"/>
      <c r="R16" s="487"/>
      <c r="S16" s="487"/>
      <c r="T16" s="509"/>
    </row>
    <row r="17" spans="1:20" x14ac:dyDescent="0.3">
      <c r="A17" s="18"/>
      <c r="B17" s="21"/>
      <c r="C17" s="21"/>
      <c r="D17" s="21"/>
      <c r="E17" s="21"/>
      <c r="F17" s="21"/>
      <c r="G17" s="21"/>
      <c r="H17" s="21"/>
      <c r="I17" s="20"/>
      <c r="K17" s="484" t="s">
        <v>518</v>
      </c>
      <c r="L17" s="484"/>
      <c r="M17" s="484" t="s">
        <v>3530</v>
      </c>
      <c r="N17" s="484"/>
      <c r="O17" s="484"/>
      <c r="P17" s="484"/>
      <c r="Q17" s="484"/>
      <c r="R17" s="484"/>
      <c r="S17" s="484"/>
      <c r="T17" s="485" t="s">
        <v>326</v>
      </c>
    </row>
    <row r="18" spans="1:20" x14ac:dyDescent="0.3">
      <c r="A18" s="18"/>
      <c r="B18" s="21"/>
      <c r="C18" s="21"/>
      <c r="D18" s="21"/>
      <c r="E18" s="21"/>
      <c r="F18" s="21"/>
      <c r="G18" s="21"/>
      <c r="H18" s="21"/>
      <c r="I18" s="20"/>
      <c r="K18" s="484"/>
      <c r="L18" s="484"/>
      <c r="M18" s="484"/>
      <c r="N18" s="484"/>
      <c r="O18" s="484"/>
      <c r="P18" s="484"/>
      <c r="Q18" s="484"/>
      <c r="R18" s="484"/>
      <c r="S18" s="484"/>
      <c r="T18" s="485"/>
    </row>
    <row r="19" spans="1:20" x14ac:dyDescent="0.3">
      <c r="A19" s="18"/>
      <c r="B19" s="21"/>
      <c r="C19" s="21"/>
      <c r="D19" s="21"/>
      <c r="E19" s="21"/>
      <c r="F19" s="21"/>
      <c r="G19" s="21"/>
      <c r="H19" s="21"/>
      <c r="I19" s="20"/>
      <c r="K19" s="484"/>
      <c r="L19" s="484"/>
      <c r="M19" s="484"/>
      <c r="N19" s="484"/>
      <c r="O19" s="484"/>
      <c r="P19" s="484"/>
      <c r="Q19" s="484"/>
      <c r="R19" s="484"/>
      <c r="S19" s="484"/>
      <c r="T19" s="485"/>
    </row>
    <row r="20" spans="1:20" ht="15" customHeight="1" x14ac:dyDescent="0.3">
      <c r="A20" s="18"/>
      <c r="B20" s="21"/>
      <c r="C20" s="21"/>
      <c r="D20" s="21"/>
      <c r="E20" s="21"/>
      <c r="F20" s="21"/>
      <c r="G20" s="21"/>
      <c r="H20" s="21"/>
      <c r="I20" s="20"/>
      <c r="K20" s="484" t="s">
        <v>519</v>
      </c>
      <c r="L20" s="484"/>
      <c r="M20" s="484" t="s">
        <v>2904</v>
      </c>
      <c r="N20" s="484"/>
      <c r="O20" s="484"/>
      <c r="P20" s="484"/>
      <c r="Q20" s="484"/>
      <c r="R20" s="484"/>
      <c r="S20" s="484"/>
      <c r="T20" s="485" t="s">
        <v>326</v>
      </c>
    </row>
    <row r="21" spans="1:20" x14ac:dyDescent="0.3">
      <c r="A21" s="18"/>
      <c r="B21" s="21"/>
      <c r="C21" s="21"/>
      <c r="D21" s="21"/>
      <c r="E21" s="21"/>
      <c r="F21" s="21"/>
      <c r="G21" s="21"/>
      <c r="H21" s="21"/>
      <c r="I21" s="20"/>
      <c r="K21" s="484"/>
      <c r="L21" s="484"/>
      <c r="M21" s="484"/>
      <c r="N21" s="484"/>
      <c r="O21" s="484"/>
      <c r="P21" s="484"/>
      <c r="Q21" s="484"/>
      <c r="R21" s="484"/>
      <c r="S21" s="484"/>
      <c r="T21" s="485"/>
    </row>
    <row r="22" spans="1:20" x14ac:dyDescent="0.3">
      <c r="A22" s="18"/>
      <c r="B22" s="21"/>
      <c r="C22" s="21"/>
      <c r="D22" s="21"/>
      <c r="E22" s="21"/>
      <c r="F22" s="21"/>
      <c r="G22" s="21"/>
      <c r="H22" s="21"/>
      <c r="I22" s="20"/>
      <c r="K22" s="484"/>
      <c r="L22" s="484"/>
      <c r="M22" s="484"/>
      <c r="N22" s="484"/>
      <c r="O22" s="484"/>
      <c r="P22" s="484"/>
      <c r="Q22" s="484"/>
      <c r="R22" s="484"/>
      <c r="S22" s="484"/>
      <c r="T22" s="485"/>
    </row>
    <row r="23" spans="1:20" x14ac:dyDescent="0.3">
      <c r="A23" s="18"/>
      <c r="B23" s="190" t="s">
        <v>396</v>
      </c>
      <c r="C23" s="21"/>
      <c r="D23" s="101" t="s">
        <v>3528</v>
      </c>
      <c r="E23" s="21"/>
      <c r="F23" s="21"/>
      <c r="G23" s="21"/>
      <c r="H23" s="21"/>
      <c r="I23" s="20"/>
      <c r="K23" s="484" t="s">
        <v>1904</v>
      </c>
      <c r="L23" s="484"/>
      <c r="M23" s="484" t="s">
        <v>1582</v>
      </c>
      <c r="N23" s="484"/>
      <c r="O23" s="484"/>
      <c r="P23" s="484"/>
      <c r="Q23" s="484"/>
      <c r="R23" s="484"/>
      <c r="S23" s="484"/>
      <c r="T23" s="485" t="s">
        <v>326</v>
      </c>
    </row>
    <row r="24" spans="1:20" x14ac:dyDescent="0.3">
      <c r="A24" s="18"/>
      <c r="B24" s="79" t="s">
        <v>398</v>
      </c>
      <c r="C24" s="21"/>
      <c r="D24" s="30" t="str" cm="1">
        <f t="array" ref="D24">_xll.U.SET_CLICKVALS(B24,B27:B30,0,1)</f>
        <v>TestVals2</v>
      </c>
      <c r="E24" s="21"/>
      <c r="F24" s="21"/>
      <c r="G24" s="21"/>
      <c r="H24" s="21"/>
      <c r="I24" s="20"/>
      <c r="K24" s="484"/>
      <c r="L24" s="484"/>
      <c r="M24" s="484"/>
      <c r="N24" s="484"/>
      <c r="O24" s="484"/>
      <c r="P24" s="484"/>
      <c r="Q24" s="484"/>
      <c r="R24" s="484"/>
      <c r="S24" s="484"/>
      <c r="T24" s="485"/>
    </row>
    <row r="25" spans="1:20" x14ac:dyDescent="0.3">
      <c r="A25" s="18"/>
      <c r="B25" s="21"/>
      <c r="C25" s="21"/>
      <c r="D25" s="21"/>
      <c r="E25" s="21"/>
      <c r="F25" s="21"/>
      <c r="G25" s="21"/>
      <c r="H25" s="21"/>
      <c r="I25" s="20"/>
      <c r="K25" s="484"/>
      <c r="L25" s="484"/>
      <c r="M25" s="484"/>
      <c r="N25" s="484"/>
      <c r="O25" s="484"/>
      <c r="P25" s="484"/>
      <c r="Q25" s="484"/>
      <c r="R25" s="484"/>
      <c r="S25" s="484"/>
      <c r="T25" s="485"/>
    </row>
    <row r="26" spans="1:20" x14ac:dyDescent="0.3">
      <c r="A26" s="18"/>
      <c r="B26" s="190" t="s">
        <v>394</v>
      </c>
      <c r="C26" s="21"/>
      <c r="D26" s="21"/>
      <c r="E26" s="21"/>
      <c r="F26" s="21"/>
      <c r="G26" s="21"/>
      <c r="H26" s="21"/>
      <c r="I26" s="20"/>
      <c r="K26" s="484" t="s">
        <v>1905</v>
      </c>
      <c r="L26" s="484"/>
      <c r="M26" s="484" t="s">
        <v>1583</v>
      </c>
      <c r="N26" s="484"/>
      <c r="O26" s="484"/>
      <c r="P26" s="484"/>
      <c r="Q26" s="484"/>
      <c r="R26" s="484"/>
      <c r="S26" s="484"/>
      <c r="T26" s="485" t="s">
        <v>326</v>
      </c>
    </row>
    <row r="27" spans="1:20" x14ac:dyDescent="0.3">
      <c r="A27" s="18"/>
      <c r="B27" s="79" t="s">
        <v>399</v>
      </c>
      <c r="C27" s="21"/>
      <c r="D27" s="21"/>
      <c r="E27" s="21"/>
      <c r="F27" s="21"/>
      <c r="G27" s="21"/>
      <c r="H27" s="21"/>
      <c r="I27" s="20"/>
      <c r="K27" s="484"/>
      <c r="L27" s="484"/>
      <c r="M27" s="484"/>
      <c r="N27" s="484"/>
      <c r="O27" s="484"/>
      <c r="P27" s="484"/>
      <c r="Q27" s="484"/>
      <c r="R27" s="484"/>
      <c r="S27" s="484"/>
      <c r="T27" s="485"/>
    </row>
    <row r="28" spans="1:20" x14ac:dyDescent="0.3">
      <c r="A28" s="18"/>
      <c r="B28" s="79" t="b">
        <v>1</v>
      </c>
      <c r="C28" s="21"/>
      <c r="D28" s="21"/>
      <c r="E28" s="21"/>
      <c r="F28" s="21"/>
      <c r="G28" s="21"/>
      <c r="H28" s="21"/>
      <c r="I28" s="20"/>
      <c r="K28" s="484"/>
      <c r="L28" s="484"/>
      <c r="M28" s="484"/>
      <c r="N28" s="484"/>
      <c r="O28" s="484"/>
      <c r="P28" s="484"/>
      <c r="Q28" s="484"/>
      <c r="R28" s="484"/>
      <c r="S28" s="484"/>
      <c r="T28" s="485"/>
    </row>
    <row r="29" spans="1:20" x14ac:dyDescent="0.3">
      <c r="A29" s="18"/>
      <c r="B29" s="79"/>
      <c r="C29" s="21"/>
      <c r="D29" s="101" t="s">
        <v>3529</v>
      </c>
      <c r="E29" s="21"/>
      <c r="F29" s="21"/>
      <c r="G29" s="21"/>
      <c r="H29" s="21"/>
      <c r="I29" s="20"/>
      <c r="K29" s="484" t="s">
        <v>857</v>
      </c>
      <c r="L29" s="484"/>
      <c r="M29" s="484" t="s">
        <v>3531</v>
      </c>
      <c r="N29" s="484"/>
      <c r="O29" s="484"/>
      <c r="P29" s="484"/>
      <c r="Q29" s="484"/>
      <c r="R29" s="484"/>
      <c r="S29" s="484"/>
      <c r="T29" s="485" t="s">
        <v>326</v>
      </c>
    </row>
    <row r="30" spans="1:20" x14ac:dyDescent="0.3">
      <c r="A30" s="18"/>
      <c r="B30" s="79" t="e">
        <f>1/0</f>
        <v>#DIV/0!</v>
      </c>
      <c r="C30" s="21"/>
      <c r="D30" s="30" t="str" cm="1">
        <f t="array" ref="D30">_xll.U.GET_CLICKVAL(B24)</f>
        <v/>
      </c>
      <c r="E30" s="21"/>
      <c r="F30" s="21"/>
      <c r="G30" s="21"/>
      <c r="H30" s="21"/>
      <c r="I30" s="20"/>
      <c r="K30" s="484"/>
      <c r="L30" s="484"/>
      <c r="M30" s="484"/>
      <c r="N30" s="484"/>
      <c r="O30" s="484"/>
      <c r="P30" s="484"/>
      <c r="Q30" s="484"/>
      <c r="R30" s="484"/>
      <c r="S30" s="484"/>
      <c r="T30" s="485"/>
    </row>
    <row r="31" spans="1:20" x14ac:dyDescent="0.3">
      <c r="A31" s="18"/>
      <c r="B31" s="21"/>
      <c r="C31" s="21"/>
      <c r="D31" s="21"/>
      <c r="E31" s="21"/>
      <c r="F31" s="21"/>
      <c r="G31" s="21"/>
      <c r="H31" s="21"/>
      <c r="I31" s="20"/>
      <c r="K31" s="484"/>
      <c r="L31" s="484"/>
      <c r="M31" s="484"/>
      <c r="N31" s="484"/>
      <c r="O31" s="484"/>
      <c r="P31" s="484"/>
      <c r="Q31" s="484"/>
      <c r="R31" s="484"/>
      <c r="S31" s="484"/>
      <c r="T31" s="485"/>
    </row>
    <row r="32" spans="1:20" x14ac:dyDescent="0.3">
      <c r="A32" s="18"/>
      <c r="B32" s="21"/>
      <c r="C32" s="21"/>
      <c r="D32" s="21"/>
      <c r="E32" s="21"/>
      <c r="F32" s="21"/>
      <c r="G32" s="21"/>
      <c r="H32" s="21"/>
      <c r="I32" s="20"/>
      <c r="K32" s="484" t="s">
        <v>1584</v>
      </c>
      <c r="L32" s="484"/>
      <c r="M32" s="484" t="s">
        <v>2922</v>
      </c>
      <c r="N32" s="484"/>
      <c r="O32" s="484"/>
      <c r="P32" s="484"/>
      <c r="Q32" s="484"/>
      <c r="R32" s="484"/>
      <c r="S32" s="484"/>
      <c r="T32" s="485" t="s">
        <v>326</v>
      </c>
    </row>
    <row r="33" spans="1:20" x14ac:dyDescent="0.3">
      <c r="A33" s="18"/>
      <c r="B33" s="190" t="s">
        <v>396</v>
      </c>
      <c r="C33" s="21"/>
      <c r="D33" s="101" t="s">
        <v>3528</v>
      </c>
      <c r="E33" s="21"/>
      <c r="F33" s="21"/>
      <c r="G33" s="21"/>
      <c r="H33" s="21"/>
      <c r="I33" s="20"/>
      <c r="K33" s="484"/>
      <c r="L33" s="484"/>
      <c r="M33" s="484"/>
      <c r="N33" s="484"/>
      <c r="O33" s="484"/>
      <c r="P33" s="484"/>
      <c r="Q33" s="484"/>
      <c r="R33" s="484"/>
      <c r="S33" s="484"/>
      <c r="T33" s="485"/>
    </row>
    <row r="34" spans="1:20" x14ac:dyDescent="0.3">
      <c r="A34" s="18"/>
      <c r="B34" s="79" t="s">
        <v>1438</v>
      </c>
      <c r="C34" s="21"/>
      <c r="D34" s="30" t="str" cm="1">
        <f t="array" ref="D34">_xll.U.SET_CLICKVALS(B34,B37:B38,B41:B42,{TRUE,TRUE})</f>
        <v>Click to Navigate</v>
      </c>
      <c r="E34" s="21"/>
      <c r="F34" s="21"/>
      <c r="G34" s="21"/>
      <c r="H34" s="21"/>
      <c r="I34" s="20"/>
      <c r="K34" s="484"/>
      <c r="L34" s="484"/>
      <c r="M34" s="484"/>
      <c r="N34" s="484"/>
      <c r="O34" s="484"/>
      <c r="P34" s="484"/>
      <c r="Q34" s="484"/>
      <c r="R34" s="484"/>
      <c r="S34" s="484"/>
      <c r="T34" s="485"/>
    </row>
    <row r="35" spans="1:20" x14ac:dyDescent="0.3">
      <c r="A35" s="18"/>
      <c r="B35" s="21"/>
      <c r="C35" s="21"/>
      <c r="D35" s="21"/>
      <c r="E35" s="21"/>
      <c r="F35" s="21"/>
      <c r="G35" s="21"/>
      <c r="H35" s="21"/>
      <c r="I35" s="20"/>
      <c r="K35" s="484" t="s">
        <v>1603</v>
      </c>
      <c r="L35" s="484"/>
      <c r="M35" s="484" t="s">
        <v>1604</v>
      </c>
      <c r="N35" s="484"/>
      <c r="O35" s="484"/>
      <c r="P35" s="484"/>
      <c r="Q35" s="484"/>
      <c r="R35" s="484"/>
      <c r="S35" s="484"/>
      <c r="T35" s="485" t="s">
        <v>326</v>
      </c>
    </row>
    <row r="36" spans="1:20" x14ac:dyDescent="0.3">
      <c r="A36" s="18"/>
      <c r="B36" s="190" t="s">
        <v>394</v>
      </c>
      <c r="C36" s="21"/>
      <c r="D36" s="21"/>
      <c r="E36" s="21"/>
      <c r="F36" s="21"/>
      <c r="G36" s="21"/>
      <c r="H36" s="21"/>
      <c r="I36" s="20"/>
      <c r="K36" s="484"/>
      <c r="L36" s="484"/>
      <c r="M36" s="484"/>
      <c r="N36" s="484"/>
      <c r="O36" s="484"/>
      <c r="P36" s="484"/>
      <c r="Q36" s="484"/>
      <c r="R36" s="484"/>
      <c r="S36" s="484"/>
      <c r="T36" s="485"/>
    </row>
    <row r="37" spans="1:20" x14ac:dyDescent="0.3">
      <c r="A37" s="18"/>
      <c r="B37" s="79" t="s">
        <v>1437</v>
      </c>
      <c r="C37" s="21"/>
      <c r="D37" s="21"/>
      <c r="E37" s="21"/>
      <c r="F37" s="21"/>
      <c r="G37" s="21"/>
      <c r="H37" s="21"/>
      <c r="I37" s="20"/>
      <c r="K37" s="484"/>
      <c r="L37" s="484"/>
      <c r="M37" s="484"/>
      <c r="N37" s="484"/>
      <c r="O37" s="484"/>
      <c r="P37" s="484"/>
      <c r="Q37" s="484"/>
      <c r="R37" s="484"/>
      <c r="S37" s="484"/>
      <c r="T37" s="485"/>
    </row>
    <row r="38" spans="1:20" x14ac:dyDescent="0.3">
      <c r="A38" s="18"/>
      <c r="B38" s="79" t="s">
        <v>1439</v>
      </c>
      <c r="C38" s="21"/>
      <c r="D38" s="21"/>
      <c r="E38" s="21"/>
      <c r="F38" s="21"/>
      <c r="G38" s="21"/>
      <c r="H38" s="21"/>
      <c r="I38" s="20"/>
      <c r="K38" s="126" t="s">
        <v>328</v>
      </c>
    </row>
    <row r="39" spans="1:20" x14ac:dyDescent="0.3">
      <c r="A39" s="18"/>
      <c r="B39" s="21"/>
      <c r="C39" s="21"/>
      <c r="D39" s="21"/>
      <c r="E39" s="21"/>
      <c r="F39" s="21"/>
      <c r="G39" s="21"/>
      <c r="H39" s="21"/>
      <c r="I39" s="20"/>
    </row>
    <row r="40" spans="1:20" x14ac:dyDescent="0.3">
      <c r="A40" s="18"/>
      <c r="B40" s="190" t="s">
        <v>394</v>
      </c>
      <c r="C40" s="21"/>
      <c r="D40" s="21"/>
      <c r="E40" s="21"/>
      <c r="F40" s="21"/>
      <c r="G40" s="21"/>
      <c r="H40" s="21"/>
      <c r="I40" s="20"/>
    </row>
    <row r="41" spans="1:20" x14ac:dyDescent="0.3">
      <c r="A41" s="18"/>
      <c r="B41" s="146" t="str" cm="1">
        <f t="array" ref="B41">_xll.U.RANGE_REF(A6)</f>
        <v>[REF]{{34856#2238066875056!R6C1}}</v>
      </c>
      <c r="C41" s="21"/>
      <c r="D41" s="21"/>
      <c r="E41" s="21"/>
      <c r="F41" s="21"/>
      <c r="G41" s="21"/>
      <c r="H41" s="21"/>
      <c r="I41" s="20"/>
      <c r="K41" s="486" t="s">
        <v>3529</v>
      </c>
      <c r="L41" s="486"/>
      <c r="M41" s="486"/>
      <c r="N41" s="486"/>
      <c r="O41" s="486"/>
      <c r="P41" s="486"/>
      <c r="Q41" s="486"/>
      <c r="R41" s="486"/>
      <c r="S41" s="486"/>
      <c r="T41" s="486"/>
    </row>
    <row r="42" spans="1:20" x14ac:dyDescent="0.3">
      <c r="A42" s="18"/>
      <c r="B42" s="146" t="str" cm="1">
        <f t="array" ref="B42">_xll.U.RANGE_REF(D35)</f>
        <v>[REF]{{34856#2238066875056!R35C4}}</v>
      </c>
      <c r="C42" s="21"/>
      <c r="D42" s="21"/>
      <c r="E42" s="21"/>
      <c r="F42" s="21"/>
      <c r="G42" s="21"/>
      <c r="H42" s="21"/>
      <c r="I42" s="20"/>
      <c r="K42" s="487" t="s">
        <v>333</v>
      </c>
      <c r="L42" s="487"/>
      <c r="M42" s="487" t="s">
        <v>3532</v>
      </c>
      <c r="N42" s="487"/>
      <c r="O42" s="487"/>
      <c r="P42" s="487"/>
      <c r="Q42" s="487"/>
      <c r="R42" s="487"/>
      <c r="S42" s="487"/>
      <c r="T42" s="487"/>
    </row>
    <row r="43" spans="1:20" x14ac:dyDescent="0.3">
      <c r="A43" s="18"/>
      <c r="B43" s="21"/>
      <c r="C43" s="21"/>
      <c r="D43" s="21"/>
      <c r="E43" s="21"/>
      <c r="F43" s="21"/>
      <c r="G43" s="21"/>
      <c r="H43" s="21"/>
      <c r="I43" s="20"/>
      <c r="K43" s="487"/>
      <c r="L43" s="487"/>
      <c r="M43" s="487"/>
      <c r="N43" s="487"/>
      <c r="O43" s="487"/>
      <c r="P43" s="487"/>
      <c r="Q43" s="487"/>
      <c r="R43" s="487"/>
      <c r="S43" s="487"/>
      <c r="T43" s="487"/>
    </row>
    <row r="44" spans="1:20" ht="15" customHeight="1" x14ac:dyDescent="0.3">
      <c r="A44" s="18"/>
      <c r="B44" s="21"/>
      <c r="C44" s="21"/>
      <c r="D44" s="21"/>
      <c r="E44" s="21"/>
      <c r="F44" s="21"/>
      <c r="G44" s="21"/>
      <c r="H44" s="21"/>
      <c r="I44" s="20"/>
      <c r="K44" s="487"/>
      <c r="L44" s="487"/>
      <c r="M44" s="487"/>
      <c r="N44" s="487"/>
      <c r="O44" s="487"/>
      <c r="P44" s="487"/>
      <c r="Q44" s="487"/>
      <c r="R44" s="487"/>
      <c r="S44" s="487"/>
      <c r="T44" s="487"/>
    </row>
    <row r="45" spans="1:20" x14ac:dyDescent="0.3">
      <c r="A45" s="18"/>
      <c r="B45" s="190" t="s">
        <v>396</v>
      </c>
      <c r="C45" s="21"/>
      <c r="D45" s="101" t="s">
        <v>3528</v>
      </c>
      <c r="E45" s="21"/>
      <c r="F45" s="21"/>
      <c r="G45" s="21"/>
      <c r="H45" s="21"/>
      <c r="I45" s="20"/>
      <c r="K45" s="483" t="s">
        <v>323</v>
      </c>
      <c r="L45" s="483"/>
      <c r="M45" s="483" t="s">
        <v>1</v>
      </c>
      <c r="N45" s="483"/>
      <c r="O45" s="483"/>
      <c r="P45" s="483"/>
      <c r="Q45" s="483"/>
      <c r="R45" s="483"/>
      <c r="S45" s="483"/>
      <c r="T45" s="85" t="s">
        <v>324</v>
      </c>
    </row>
    <row r="46" spans="1:20" x14ac:dyDescent="0.3">
      <c r="A46" s="18"/>
      <c r="B46" s="79" t="s">
        <v>418</v>
      </c>
      <c r="C46" s="21"/>
      <c r="D46" s="30" t="str" cm="1">
        <f t="array" ref="D46">_xll.U.SET_CLICKVALS(B46,(B11:B14,B27:B30))</f>
        <v>MultiRange</v>
      </c>
      <c r="E46" s="21"/>
      <c r="F46" s="21"/>
      <c r="G46" s="21"/>
      <c r="H46" s="21"/>
      <c r="I46" s="20"/>
      <c r="K46" s="487" t="s">
        <v>517</v>
      </c>
      <c r="L46" s="487"/>
      <c r="M46" s="487" t="s">
        <v>3533</v>
      </c>
      <c r="N46" s="487"/>
      <c r="O46" s="487"/>
      <c r="P46" s="487"/>
      <c r="Q46" s="487"/>
      <c r="R46" s="487"/>
      <c r="S46" s="487"/>
      <c r="T46" s="509" t="s">
        <v>325</v>
      </c>
    </row>
    <row r="47" spans="1:20" x14ac:dyDescent="0.3">
      <c r="A47" s="18"/>
      <c r="B47" s="21"/>
      <c r="C47" s="21"/>
      <c r="D47" s="21"/>
      <c r="E47" s="21"/>
      <c r="F47" s="21"/>
      <c r="G47" s="21"/>
      <c r="H47" s="21"/>
      <c r="I47" s="20"/>
      <c r="K47" s="487"/>
      <c r="L47" s="487"/>
      <c r="M47" s="487"/>
      <c r="N47" s="487"/>
      <c r="O47" s="487"/>
      <c r="P47" s="487"/>
      <c r="Q47" s="487"/>
      <c r="R47" s="487"/>
      <c r="S47" s="487"/>
      <c r="T47" s="509"/>
    </row>
    <row r="48" spans="1:20" x14ac:dyDescent="0.3">
      <c r="A48" s="18"/>
      <c r="B48" s="21"/>
      <c r="C48" s="21"/>
      <c r="D48" s="21"/>
      <c r="E48" s="21"/>
      <c r="F48" s="21"/>
      <c r="G48" s="21"/>
      <c r="H48" s="21"/>
      <c r="I48" s="20"/>
      <c r="K48" s="487"/>
      <c r="L48" s="487"/>
      <c r="M48" s="487"/>
      <c r="N48" s="487"/>
      <c r="O48" s="487"/>
      <c r="P48" s="487"/>
      <c r="Q48" s="487"/>
      <c r="R48" s="487"/>
      <c r="S48" s="487"/>
      <c r="T48" s="509"/>
    </row>
    <row r="49" spans="1:20" x14ac:dyDescent="0.3">
      <c r="A49" s="18"/>
      <c r="B49" s="21"/>
      <c r="C49" s="21"/>
      <c r="D49" s="101" t="s">
        <v>3529</v>
      </c>
      <c r="E49" s="21"/>
      <c r="F49" s="21"/>
      <c r="G49" s="21"/>
      <c r="H49" s="21"/>
      <c r="I49" s="20"/>
      <c r="K49" s="126" t="s">
        <v>328</v>
      </c>
    </row>
    <row r="50" spans="1:20" x14ac:dyDescent="0.3">
      <c r="A50" s="18"/>
      <c r="B50" s="21"/>
      <c r="C50" s="21"/>
      <c r="D50" s="30" t="str" cm="1">
        <f t="array" ref="D50">_xll.U.GET_CLICKVAL(B46)</f>
        <v/>
      </c>
      <c r="E50" s="21"/>
      <c r="F50" s="21"/>
      <c r="G50" s="21"/>
      <c r="H50" s="21"/>
      <c r="I50" s="20"/>
    </row>
    <row r="51" spans="1:20" x14ac:dyDescent="0.3">
      <c r="A51" s="18"/>
      <c r="B51" s="21"/>
      <c r="C51" s="21"/>
      <c r="D51" s="21"/>
      <c r="E51" s="21"/>
      <c r="F51" s="21"/>
      <c r="G51" s="21"/>
      <c r="H51" s="21"/>
      <c r="I51" s="20"/>
    </row>
    <row r="52" spans="1:20" x14ac:dyDescent="0.3">
      <c r="A52" s="18"/>
      <c r="B52" s="21"/>
      <c r="C52" s="21"/>
      <c r="D52" s="21"/>
      <c r="E52" s="21"/>
      <c r="F52" s="21"/>
      <c r="G52" s="21"/>
      <c r="H52" s="21"/>
      <c r="I52" s="20"/>
      <c r="K52" s="486" t="s">
        <v>3534</v>
      </c>
      <c r="L52" s="486"/>
      <c r="M52" s="486"/>
      <c r="N52" s="486"/>
      <c r="O52" s="486"/>
      <c r="P52" s="486"/>
      <c r="Q52" s="486"/>
      <c r="R52" s="486"/>
      <c r="S52" s="486"/>
      <c r="T52" s="486"/>
    </row>
    <row r="53" spans="1:20" x14ac:dyDescent="0.3">
      <c r="A53" s="18"/>
      <c r="B53" s="21"/>
      <c r="C53" s="21"/>
      <c r="D53" s="21"/>
      <c r="E53" s="21"/>
      <c r="F53" s="21"/>
      <c r="G53" s="21"/>
      <c r="H53" s="21"/>
      <c r="I53" s="20"/>
      <c r="K53" s="487" t="s">
        <v>333</v>
      </c>
      <c r="L53" s="487"/>
      <c r="M53" s="487" t="s">
        <v>3535</v>
      </c>
      <c r="N53" s="487"/>
      <c r="O53" s="487"/>
      <c r="P53" s="487"/>
      <c r="Q53" s="487"/>
      <c r="R53" s="487"/>
      <c r="S53" s="487"/>
      <c r="T53" s="487"/>
    </row>
    <row r="54" spans="1:20" x14ac:dyDescent="0.3">
      <c r="A54" s="18"/>
      <c r="B54" s="21"/>
      <c r="C54" s="21"/>
      <c r="D54" s="21"/>
      <c r="E54" s="21"/>
      <c r="F54" s="21"/>
      <c r="G54" s="21"/>
      <c r="H54" s="21"/>
      <c r="I54" s="20"/>
      <c r="K54" s="487"/>
      <c r="L54" s="487"/>
      <c r="M54" s="487"/>
      <c r="N54" s="487"/>
      <c r="O54" s="487"/>
      <c r="P54" s="487"/>
      <c r="Q54" s="487"/>
      <c r="R54" s="487"/>
      <c r="S54" s="487"/>
      <c r="T54" s="487"/>
    </row>
    <row r="55" spans="1:20" x14ac:dyDescent="0.3">
      <c r="A55" s="18"/>
      <c r="B55" s="190" t="s">
        <v>897</v>
      </c>
      <c r="C55" s="21"/>
      <c r="D55" s="101" t="s">
        <v>3528</v>
      </c>
      <c r="E55" s="21"/>
      <c r="F55" s="21"/>
      <c r="G55" s="21"/>
      <c r="H55" s="21"/>
      <c r="I55" s="20"/>
      <c r="K55" s="487"/>
      <c r="L55" s="487"/>
      <c r="M55" s="487"/>
      <c r="N55" s="487"/>
      <c r="O55" s="487"/>
      <c r="P55" s="487"/>
      <c r="Q55" s="487"/>
      <c r="R55" s="487"/>
      <c r="S55" s="487"/>
      <c r="T55" s="487"/>
    </row>
    <row r="56" spans="1:20" x14ac:dyDescent="0.3">
      <c r="A56" s="18"/>
      <c r="B56" s="79" t="s">
        <v>399</v>
      </c>
      <c r="C56" s="21"/>
      <c r="D56" s="30" t="str" cm="1">
        <f t="array" ref="D56">_xll.U.SET_CLICKVALS(B55,B56:B58,0,1,"return(row)")</f>
        <v>Return Index</v>
      </c>
      <c r="E56" s="21"/>
      <c r="F56" s="21"/>
      <c r="G56" s="21"/>
      <c r="H56" s="21"/>
      <c r="I56" s="20"/>
      <c r="K56" s="483" t="s">
        <v>323</v>
      </c>
      <c r="L56" s="483"/>
      <c r="M56" s="483" t="s">
        <v>1</v>
      </c>
      <c r="N56" s="483"/>
      <c r="O56" s="483"/>
      <c r="P56" s="483"/>
      <c r="Q56" s="483"/>
      <c r="R56" s="483"/>
      <c r="S56" s="483"/>
      <c r="T56" s="85" t="s">
        <v>324</v>
      </c>
    </row>
    <row r="57" spans="1:20" x14ac:dyDescent="0.3">
      <c r="A57" s="18"/>
      <c r="B57" s="79" t="s">
        <v>895</v>
      </c>
      <c r="C57" s="21"/>
      <c r="D57" s="21"/>
      <c r="E57" s="21"/>
      <c r="F57" s="21"/>
      <c r="G57" s="21"/>
      <c r="H57" s="21"/>
      <c r="I57" s="20"/>
      <c r="K57" s="487" t="s">
        <v>517</v>
      </c>
      <c r="L57" s="487"/>
      <c r="M57" s="487" t="s">
        <v>3536</v>
      </c>
      <c r="N57" s="487"/>
      <c r="O57" s="487"/>
      <c r="P57" s="487"/>
      <c r="Q57" s="487"/>
      <c r="R57" s="487"/>
      <c r="S57" s="487"/>
      <c r="T57" s="509" t="s">
        <v>325</v>
      </c>
    </row>
    <row r="58" spans="1:20" x14ac:dyDescent="0.3">
      <c r="A58" s="18"/>
      <c r="B58" s="79" t="s">
        <v>896</v>
      </c>
      <c r="C58" s="21"/>
      <c r="D58" s="101" t="s">
        <v>3529</v>
      </c>
      <c r="E58" s="21"/>
      <c r="F58" s="21"/>
      <c r="G58" s="21"/>
      <c r="H58" s="21"/>
      <c r="I58" s="20"/>
      <c r="K58" s="487"/>
      <c r="L58" s="487"/>
      <c r="M58" s="487"/>
      <c r="N58" s="487"/>
      <c r="O58" s="487"/>
      <c r="P58" s="487"/>
      <c r="Q58" s="487"/>
      <c r="R58" s="487"/>
      <c r="S58" s="487"/>
      <c r="T58" s="509"/>
    </row>
    <row r="59" spans="1:20" x14ac:dyDescent="0.3">
      <c r="A59" s="18"/>
      <c r="B59" s="21"/>
      <c r="C59" s="21"/>
      <c r="D59" s="30" t="str" cm="1">
        <f t="array" ref="D59">_xll.U.GET_CLICKVAL(B55)</f>
        <v/>
      </c>
      <c r="E59" s="21"/>
      <c r="F59" s="21"/>
      <c r="G59" s="21"/>
      <c r="H59" s="21"/>
      <c r="I59" s="20"/>
      <c r="K59" s="487"/>
      <c r="L59" s="487"/>
      <c r="M59" s="487"/>
      <c r="N59" s="487"/>
      <c r="O59" s="487"/>
      <c r="P59" s="487"/>
      <c r="Q59" s="487"/>
      <c r="R59" s="487"/>
      <c r="S59" s="487"/>
      <c r="T59" s="509"/>
    </row>
    <row r="60" spans="1:20" x14ac:dyDescent="0.3">
      <c r="A60" s="18"/>
      <c r="B60" s="21"/>
      <c r="C60" s="21"/>
      <c r="D60" s="21"/>
      <c r="E60" s="21"/>
      <c r="F60" s="21"/>
      <c r="G60" s="21"/>
      <c r="H60" s="21"/>
      <c r="I60" s="20"/>
      <c r="K60" s="487" t="s">
        <v>792</v>
      </c>
      <c r="L60" s="487"/>
      <c r="M60" s="487" t="s">
        <v>3537</v>
      </c>
      <c r="N60" s="487"/>
      <c r="O60" s="487"/>
      <c r="P60" s="487"/>
      <c r="Q60" s="487"/>
      <c r="R60" s="487"/>
      <c r="S60" s="487"/>
      <c r="T60" s="509" t="s">
        <v>325</v>
      </c>
    </row>
    <row r="61" spans="1:20" x14ac:dyDescent="0.3">
      <c r="A61" s="18"/>
      <c r="B61" s="190" t="s">
        <v>1435</v>
      </c>
      <c r="C61" s="21"/>
      <c r="D61" s="85" t="s">
        <v>1436</v>
      </c>
      <c r="E61" s="21"/>
      <c r="F61" s="21"/>
      <c r="G61" s="21"/>
      <c r="H61" s="21"/>
      <c r="I61" s="20"/>
      <c r="K61" s="487"/>
      <c r="L61" s="487"/>
      <c r="M61" s="487"/>
      <c r="N61" s="487"/>
      <c r="O61" s="487"/>
      <c r="P61" s="487"/>
      <c r="Q61" s="487"/>
      <c r="R61" s="487"/>
      <c r="S61" s="487"/>
      <c r="T61" s="509"/>
    </row>
    <row r="62" spans="1:20" x14ac:dyDescent="0.3">
      <c r="A62" s="18"/>
      <c r="B62" s="94" cm="1">
        <f t="array" ref="B62">_xll.U.NOW()</f>
        <v>46145.893211805604</v>
      </c>
      <c r="C62" s="21"/>
      <c r="D62" s="94" t="str" cm="1">
        <f t="array" ref="D62">_xll.U.SET_CLICKVALS(B61,B62:B64,0,1,"return(calc)")</f>
        <v>Calc on Click</v>
      </c>
      <c r="E62" s="21"/>
      <c r="F62" s="21"/>
      <c r="G62" s="21"/>
      <c r="H62" s="21"/>
      <c r="I62" s="20"/>
      <c r="K62" s="487"/>
      <c r="L62" s="487"/>
      <c r="M62" s="487"/>
      <c r="N62" s="487"/>
      <c r="O62" s="487"/>
      <c r="P62" s="487"/>
      <c r="Q62" s="487"/>
      <c r="R62" s="487"/>
      <c r="S62" s="487"/>
      <c r="T62" s="509"/>
    </row>
    <row r="63" spans="1:20" ht="15" customHeight="1" x14ac:dyDescent="0.3">
      <c r="A63" s="18"/>
      <c r="B63" s="94" cm="1">
        <f t="array" ref="B63">_xll.U.NOW()</f>
        <v>46145.8932233796</v>
      </c>
      <c r="C63" s="21"/>
      <c r="D63" s="21"/>
      <c r="E63" s="21"/>
      <c r="F63" s="21"/>
      <c r="G63" s="21"/>
      <c r="H63" s="21"/>
      <c r="I63" s="20"/>
      <c r="K63" s="496" t="s">
        <v>2299</v>
      </c>
      <c r="L63" s="497"/>
      <c r="M63" s="496" t="s">
        <v>3114</v>
      </c>
      <c r="N63" s="502"/>
      <c r="O63" s="502"/>
      <c r="P63" s="502"/>
      <c r="Q63" s="502"/>
      <c r="R63" s="502"/>
      <c r="S63" s="497"/>
      <c r="T63" s="505" t="s">
        <v>326</v>
      </c>
    </row>
    <row r="64" spans="1:20" x14ac:dyDescent="0.3">
      <c r="A64" s="18"/>
      <c r="B64" s="94" cm="1">
        <f t="array" ref="B64">_xll.U.NOW()</f>
        <v>46145.893234953699</v>
      </c>
      <c r="C64" s="21"/>
      <c r="D64" s="21"/>
      <c r="E64" s="21"/>
      <c r="F64" s="21"/>
      <c r="G64" s="21"/>
      <c r="H64" s="21"/>
      <c r="I64" s="20"/>
      <c r="K64" s="498"/>
      <c r="L64" s="499"/>
      <c r="M64" s="498"/>
      <c r="N64" s="503"/>
      <c r="O64" s="503"/>
      <c r="P64" s="503"/>
      <c r="Q64" s="503"/>
      <c r="R64" s="503"/>
      <c r="S64" s="499"/>
      <c r="T64" s="506"/>
    </row>
    <row r="65" spans="1:20" x14ac:dyDescent="0.3">
      <c r="A65" s="18"/>
      <c r="B65" s="99"/>
      <c r="C65" s="21"/>
      <c r="D65" s="21"/>
      <c r="E65" s="21"/>
      <c r="F65" s="21"/>
      <c r="G65" s="21"/>
      <c r="H65" s="21"/>
      <c r="I65" s="20"/>
      <c r="K65" s="500"/>
      <c r="L65" s="501"/>
      <c r="M65" s="500"/>
      <c r="N65" s="504"/>
      <c r="O65" s="504"/>
      <c r="P65" s="504"/>
      <c r="Q65" s="504"/>
      <c r="R65" s="504"/>
      <c r="S65" s="501"/>
      <c r="T65" s="507"/>
    </row>
    <row r="66" spans="1:20" x14ac:dyDescent="0.3">
      <c r="A66" s="18"/>
      <c r="B66" s="21"/>
      <c r="C66" s="21"/>
      <c r="D66" s="21"/>
      <c r="E66" s="21"/>
      <c r="F66" s="21"/>
      <c r="G66" s="21"/>
      <c r="H66" s="21"/>
      <c r="I66" s="20"/>
      <c r="K66" s="126" t="s">
        <v>328</v>
      </c>
    </row>
    <row r="67" spans="1:20" x14ac:dyDescent="0.3">
      <c r="A67" s="18"/>
      <c r="B67" s="21"/>
      <c r="C67" s="21"/>
      <c r="D67" s="21"/>
      <c r="E67" s="21"/>
      <c r="F67" s="21"/>
      <c r="G67" s="21"/>
      <c r="H67" s="21"/>
      <c r="I67" s="20"/>
    </row>
    <row r="68" spans="1:20" x14ac:dyDescent="0.3">
      <c r="A68" s="18"/>
      <c r="B68" s="190" t="s">
        <v>1585</v>
      </c>
      <c r="C68" s="21"/>
      <c r="D68" s="101" t="s">
        <v>3528</v>
      </c>
      <c r="E68" s="21"/>
      <c r="F68" s="21"/>
      <c r="G68" s="21"/>
      <c r="H68" s="21"/>
      <c r="I68" s="20"/>
    </row>
    <row r="69" spans="1:20" x14ac:dyDescent="0.3">
      <c r="A69" s="18"/>
      <c r="B69" s="79" t="s">
        <v>1492</v>
      </c>
      <c r="C69" s="21"/>
      <c r="D69" s="30" t="str" cm="1">
        <f t="array" ref="D69">_xll.U.SET_CLICKVALS("using_ref",B73,,,,,TRUE)</f>
        <v>using_ref</v>
      </c>
      <c r="E69" s="21"/>
      <c r="F69" s="21"/>
      <c r="G69" s="21"/>
      <c r="H69" s="21"/>
      <c r="I69" s="20"/>
    </row>
    <row r="70" spans="1:20" x14ac:dyDescent="0.3">
      <c r="A70" s="18"/>
      <c r="B70" s="79">
        <v>123</v>
      </c>
      <c r="C70" s="21"/>
      <c r="D70" s="21"/>
      <c r="E70" s="21"/>
      <c r="F70" s="21"/>
      <c r="G70" s="21"/>
      <c r="H70" s="21"/>
      <c r="I70" s="20"/>
    </row>
    <row r="71" spans="1:20" x14ac:dyDescent="0.3">
      <c r="A71" s="18"/>
      <c r="B71" s="21"/>
      <c r="C71" s="21"/>
      <c r="D71" s="101" t="s">
        <v>3529</v>
      </c>
      <c r="E71" s="21"/>
      <c r="F71" s="21"/>
      <c r="G71" s="21"/>
      <c r="H71" s="21"/>
      <c r="I71" s="20"/>
    </row>
    <row r="72" spans="1:20" x14ac:dyDescent="0.3">
      <c r="A72" s="18"/>
      <c r="B72" s="190" t="s">
        <v>1586</v>
      </c>
      <c r="C72" s="21"/>
      <c r="D72" s="30" t="str" cm="1">
        <f t="array" ref="D72">_xll.U.GET_CLICKVAL(D69)</f>
        <v/>
      </c>
      <c r="E72" s="21"/>
      <c r="F72" s="21"/>
      <c r="G72" s="21"/>
      <c r="H72" s="21"/>
      <c r="I72" s="20"/>
    </row>
    <row r="73" spans="1:20" x14ac:dyDescent="0.3">
      <c r="A73" s="18"/>
      <c r="B73" s="79" t="str" cm="1">
        <f t="array" ref="B73">_xll.U.RANGE_REF(B69:B70)</f>
        <v>[REF]{{34856#2238066875056!R69C2:R70C2}}</v>
      </c>
      <c r="C73" s="21"/>
      <c r="D73" s="21"/>
      <c r="E73" s="21"/>
      <c r="F73" s="21"/>
      <c r="G73" s="21"/>
      <c r="H73" s="21"/>
      <c r="I73" s="20"/>
    </row>
    <row r="74" spans="1:20" x14ac:dyDescent="0.3">
      <c r="A74" s="18"/>
      <c r="B74" s="21"/>
      <c r="C74" s="21"/>
      <c r="D74" s="21"/>
      <c r="E74" s="21"/>
      <c r="F74" s="21"/>
      <c r="G74" s="21"/>
      <c r="H74" s="21"/>
      <c r="I74" s="20"/>
    </row>
    <row r="75" spans="1:20" x14ac:dyDescent="0.3">
      <c r="A75" s="18"/>
      <c r="B75" s="21"/>
      <c r="C75" s="21"/>
      <c r="D75" s="21"/>
      <c r="E75" s="21"/>
      <c r="F75" s="21"/>
      <c r="G75" s="21"/>
      <c r="H75" s="21"/>
      <c r="I75" s="20"/>
    </row>
    <row r="76" spans="1:20" x14ac:dyDescent="0.3">
      <c r="A76" s="18"/>
      <c r="B76" s="21"/>
      <c r="C76" s="21"/>
      <c r="D76" s="21"/>
      <c r="E76" s="21"/>
      <c r="F76" s="21"/>
      <c r="G76" s="21"/>
      <c r="H76" s="21"/>
      <c r="I76" s="20"/>
    </row>
    <row r="77" spans="1:20" x14ac:dyDescent="0.3">
      <c r="A77" s="18"/>
      <c r="B77" s="190" t="s">
        <v>1585</v>
      </c>
      <c r="C77" s="21"/>
      <c r="D77" s="101" t="s">
        <v>3528</v>
      </c>
      <c r="E77" s="21"/>
      <c r="F77" s="21"/>
      <c r="G77" s="21"/>
      <c r="H77" s="21"/>
      <c r="I77" s="20"/>
    </row>
    <row r="78" spans="1:20" x14ac:dyDescent="0.3">
      <c r="A78" s="18"/>
      <c r="B78" s="79">
        <v>1</v>
      </c>
      <c r="C78" s="21"/>
      <c r="D78" s="30" t="str" cm="1">
        <f t="array" ref="D78">_xll.U.SET_CLICKVALS("set_vals",B78:B80,,,,1,,,D81:D83)</f>
        <v>set_vals</v>
      </c>
      <c r="E78" s="21"/>
      <c r="F78" s="21"/>
      <c r="G78" s="21"/>
      <c r="H78" s="21"/>
      <c r="I78" s="20"/>
    </row>
    <row r="79" spans="1:20" x14ac:dyDescent="0.3">
      <c r="A79" s="18"/>
      <c r="B79" s="79">
        <v>2</v>
      </c>
      <c r="C79" s="21"/>
      <c r="D79" s="21"/>
      <c r="E79" s="21"/>
      <c r="F79" s="21"/>
      <c r="G79" s="21"/>
      <c r="H79" s="21"/>
      <c r="I79" s="20"/>
    </row>
    <row r="80" spans="1:20" x14ac:dyDescent="0.3">
      <c r="A80" s="18"/>
      <c r="B80" s="79">
        <v>3</v>
      </c>
      <c r="C80" s="21"/>
      <c r="D80" s="190" t="s">
        <v>1587</v>
      </c>
      <c r="E80" s="21"/>
      <c r="F80" s="21"/>
      <c r="G80" s="21"/>
      <c r="H80" s="21"/>
      <c r="I80" s="20"/>
    </row>
    <row r="81" spans="1:9" x14ac:dyDescent="0.3">
      <c r="A81" s="18"/>
      <c r="B81" s="21"/>
      <c r="C81" s="21"/>
      <c r="D81" s="270"/>
      <c r="E81" s="21"/>
      <c r="F81" s="21"/>
      <c r="G81" s="21"/>
      <c r="H81" s="21"/>
      <c r="I81" s="20"/>
    </row>
    <row r="82" spans="1:9" x14ac:dyDescent="0.3">
      <c r="A82" s="18"/>
      <c r="B82" s="21"/>
      <c r="C82" s="21"/>
      <c r="D82" s="270"/>
      <c r="E82" s="21"/>
      <c r="F82" s="21"/>
      <c r="G82" s="21"/>
      <c r="H82" s="21"/>
      <c r="I82" s="20"/>
    </row>
    <row r="83" spans="1:9" x14ac:dyDescent="0.3">
      <c r="A83" s="18"/>
      <c r="B83" s="21"/>
      <c r="C83" s="21"/>
      <c r="D83" s="270"/>
      <c r="E83" s="21"/>
      <c r="F83" s="21"/>
      <c r="G83" s="21"/>
      <c r="H83" s="21"/>
      <c r="I83" s="20"/>
    </row>
    <row r="84" spans="1:9" x14ac:dyDescent="0.3">
      <c r="A84" s="18"/>
      <c r="B84" s="21"/>
      <c r="C84" s="21"/>
      <c r="D84" s="21"/>
      <c r="E84" s="21"/>
      <c r="F84" s="21"/>
      <c r="G84" s="21"/>
      <c r="H84" s="21"/>
      <c r="I84" s="20"/>
    </row>
    <row r="85" spans="1:9" x14ac:dyDescent="0.3">
      <c r="A85" s="18"/>
      <c r="B85" s="21"/>
      <c r="C85" s="21"/>
      <c r="D85" s="21"/>
      <c r="E85" s="21"/>
      <c r="F85" s="21"/>
      <c r="G85" s="21"/>
      <c r="H85" s="21"/>
      <c r="I85" s="20"/>
    </row>
    <row r="86" spans="1:9" x14ac:dyDescent="0.3">
      <c r="A86" s="18"/>
      <c r="B86" s="21"/>
      <c r="C86" s="21"/>
      <c r="D86" s="21"/>
      <c r="E86" s="21"/>
      <c r="F86" s="21"/>
      <c r="G86" s="21"/>
      <c r="H86" s="21"/>
      <c r="I86" s="20"/>
    </row>
    <row r="87" spans="1:9" x14ac:dyDescent="0.3">
      <c r="A87" s="18"/>
      <c r="B87" s="21"/>
      <c r="C87" s="21"/>
      <c r="D87" s="101" t="s">
        <v>2905</v>
      </c>
      <c r="E87" s="21"/>
      <c r="F87" s="21"/>
      <c r="G87" s="21"/>
      <c r="H87" s="21"/>
      <c r="I87" s="20"/>
    </row>
    <row r="88" spans="1:9" x14ac:dyDescent="0.3">
      <c r="A88" s="18"/>
      <c r="B88" s="21"/>
      <c r="C88" s="21"/>
      <c r="D88" s="152" t="str" cm="1">
        <f t="array" ref="D88">_xll.U.SET_CLICKVALS("image_example",B87,1,,"return(calc)",,,"image",D91)</f>
        <v>image_example</v>
      </c>
      <c r="E88" s="21"/>
      <c r="F88" s="21"/>
      <c r="G88" s="21"/>
      <c r="H88" s="21"/>
      <c r="I88" s="20"/>
    </row>
    <row r="89" spans="1:9" x14ac:dyDescent="0.3">
      <c r="A89" s="18"/>
      <c r="B89" s="21"/>
      <c r="C89" s="21"/>
      <c r="D89" s="21"/>
      <c r="E89" s="21"/>
      <c r="F89" s="21"/>
      <c r="G89" s="21"/>
      <c r="H89" s="21"/>
      <c r="I89" s="20"/>
    </row>
    <row r="90" spans="1:9" x14ac:dyDescent="0.3">
      <c r="A90" s="18"/>
      <c r="B90" s="21"/>
      <c r="C90" s="21"/>
      <c r="D90" s="190" t="s">
        <v>263</v>
      </c>
      <c r="E90" s="21"/>
      <c r="F90" s="21"/>
      <c r="G90" s="21"/>
      <c r="H90" s="21"/>
      <c r="I90" s="20"/>
    </row>
    <row r="91" spans="1:9" x14ac:dyDescent="0.3">
      <c r="A91" s="18"/>
      <c r="B91" s="21"/>
      <c r="C91" s="21"/>
      <c r="D91" s="94" cm="1">
        <f t="array" ref="D91">_xll.U.NOW()</f>
        <v>46145.893208911999</v>
      </c>
      <c r="E91" s="21"/>
      <c r="F91" s="21"/>
      <c r="G91" s="21"/>
      <c r="H91" s="21"/>
      <c r="I91" s="20"/>
    </row>
    <row r="92" spans="1:9" x14ac:dyDescent="0.3">
      <c r="A92" s="18"/>
      <c r="B92" s="21"/>
      <c r="C92" s="21"/>
      <c r="D92" s="21"/>
      <c r="E92" s="21"/>
      <c r="F92" s="21"/>
      <c r="G92" s="21"/>
      <c r="H92" s="21"/>
      <c r="I92" s="20"/>
    </row>
    <row r="93" spans="1:9" x14ac:dyDescent="0.3">
      <c r="A93" s="18"/>
      <c r="B93" s="21"/>
      <c r="C93" s="21"/>
      <c r="D93" s="21"/>
      <c r="E93" s="21"/>
      <c r="F93" s="21"/>
      <c r="G93" s="21"/>
      <c r="H93" s="21"/>
      <c r="I93" s="20"/>
    </row>
    <row r="94" spans="1:9" x14ac:dyDescent="0.3">
      <c r="A94" s="18"/>
      <c r="B94" s="21"/>
      <c r="C94" s="21"/>
      <c r="D94" s="21"/>
      <c r="E94" s="21"/>
      <c r="F94" s="21"/>
      <c r="G94" s="21"/>
      <c r="H94" s="21"/>
      <c r="I94" s="20"/>
    </row>
    <row r="95" spans="1:9" x14ac:dyDescent="0.3">
      <c r="A95" s="18"/>
      <c r="B95" s="21"/>
      <c r="C95" s="21"/>
      <c r="D95" s="21"/>
      <c r="E95" s="21"/>
      <c r="F95" s="21"/>
      <c r="G95" s="21"/>
      <c r="H95" s="21"/>
      <c r="I95" s="20"/>
    </row>
    <row r="96" spans="1:9" x14ac:dyDescent="0.3">
      <c r="A96" s="18"/>
      <c r="B96" s="21"/>
      <c r="C96" s="21"/>
      <c r="D96" s="21"/>
      <c r="E96" s="21"/>
      <c r="F96" s="21"/>
      <c r="G96" s="21"/>
      <c r="H96" s="21"/>
      <c r="I96" s="20"/>
    </row>
    <row r="97" spans="1:9" x14ac:dyDescent="0.3">
      <c r="A97" s="18"/>
      <c r="B97" s="21"/>
      <c r="C97" s="21"/>
      <c r="D97" s="21"/>
      <c r="E97" s="21"/>
      <c r="F97" s="21"/>
      <c r="G97" s="21"/>
      <c r="H97" s="21"/>
      <c r="I97" s="20"/>
    </row>
    <row r="98" spans="1:9" x14ac:dyDescent="0.3">
      <c r="A98" s="18"/>
      <c r="B98" s="21"/>
      <c r="C98" s="21"/>
      <c r="D98" s="21"/>
      <c r="E98" s="21"/>
      <c r="F98" s="21"/>
      <c r="G98" s="21"/>
      <c r="H98" s="21"/>
      <c r="I98" s="20"/>
    </row>
    <row r="99" spans="1:9" x14ac:dyDescent="0.3">
      <c r="A99" s="18"/>
      <c r="B99" s="21"/>
      <c r="C99" s="21"/>
      <c r="D99" s="21"/>
      <c r="E99" s="21"/>
      <c r="F99" s="21"/>
      <c r="G99" s="21"/>
      <c r="H99" s="21"/>
      <c r="I99" s="20"/>
    </row>
    <row r="100" spans="1:9" x14ac:dyDescent="0.3">
      <c r="A100" s="18"/>
      <c r="B100" s="21"/>
      <c r="C100" s="21"/>
      <c r="D100" s="21"/>
      <c r="E100" s="21"/>
      <c r="F100" s="21"/>
      <c r="G100" s="21"/>
      <c r="H100" s="21"/>
      <c r="I100" s="20"/>
    </row>
    <row r="101" spans="1:9" x14ac:dyDescent="0.3">
      <c r="A101" s="18"/>
      <c r="B101" s="21"/>
      <c r="C101" s="21"/>
      <c r="D101" s="21"/>
      <c r="E101" s="21"/>
      <c r="F101" s="21"/>
      <c r="G101" s="21"/>
      <c r="H101" s="21"/>
      <c r="I101" s="20"/>
    </row>
    <row r="102" spans="1:9" x14ac:dyDescent="0.3">
      <c r="A102" s="18"/>
      <c r="B102" s="21"/>
      <c r="C102" s="21"/>
      <c r="D102" s="21"/>
      <c r="E102" s="21"/>
      <c r="F102" s="21"/>
      <c r="G102" s="21"/>
      <c r="H102" s="21"/>
      <c r="I102" s="20"/>
    </row>
    <row r="103" spans="1:9" x14ac:dyDescent="0.3">
      <c r="A103" s="18"/>
      <c r="B103" s="21"/>
      <c r="C103" s="21"/>
      <c r="D103" s="21"/>
      <c r="E103" s="21"/>
      <c r="F103" s="21"/>
      <c r="G103" s="21"/>
      <c r="H103" s="21"/>
      <c r="I103" s="20"/>
    </row>
    <row r="104" spans="1:9" x14ac:dyDescent="0.3">
      <c r="A104" s="18"/>
      <c r="B104" s="21"/>
      <c r="C104" s="21"/>
      <c r="D104" s="21"/>
      <c r="E104" s="21"/>
      <c r="F104" s="439" t="s">
        <v>2918</v>
      </c>
      <c r="G104" s="440" t="str" cm="1">
        <f t="array" ref="G104">_xll.U.SET_CLICKVALS("Hover_Toggle",C104,0,,{FALSE,TRUE},FALSE,,"image")</f>
        <v>Hover_Toggle</v>
      </c>
      <c r="H104" s="21"/>
      <c r="I104" s="20"/>
    </row>
    <row r="105" spans="1:9" x14ac:dyDescent="0.3">
      <c r="A105" s="18"/>
      <c r="B105" s="21"/>
      <c r="C105" s="21"/>
      <c r="D105" s="21"/>
      <c r="E105" s="21"/>
      <c r="F105" s="439" t="s">
        <v>2919</v>
      </c>
      <c r="G105" s="441" t="b" cm="1">
        <f t="array" ref="G105">_xll.U.GET_CLICKVAL("Hover_Toggle")</f>
        <v>0</v>
      </c>
      <c r="H105" s="21"/>
      <c r="I105" s="20"/>
    </row>
    <row r="106" spans="1:9" x14ac:dyDescent="0.3">
      <c r="A106" s="18"/>
      <c r="B106" s="21"/>
      <c r="C106" s="21"/>
      <c r="D106" s="21"/>
      <c r="E106" s="21"/>
      <c r="F106" s="439" t="s">
        <v>2920</v>
      </c>
      <c r="G106" s="440" t="str" cm="1">
        <f t="array" ref="G106">_xll.U.DO(_xll.U.UPDATE_IMAGE(C103,"visible="&amp;G105,"alttext=disable"),_xll.U.UPDATE_IMAGE(C103,"visible="&amp;NOT(G105),"alttext=enable"))</f>
        <v>Image Rectangle 6 updated</v>
      </c>
      <c r="H106" s="21"/>
      <c r="I106" s="20"/>
    </row>
    <row r="107" spans="1:9" ht="15" thickBot="1" x14ac:dyDescent="0.35">
      <c r="A107" s="18"/>
      <c r="B107" s="21"/>
      <c r="C107" s="21"/>
      <c r="D107" s="21"/>
      <c r="E107" s="21"/>
      <c r="F107" s="439" t="s">
        <v>2921</v>
      </c>
      <c r="G107" s="276" t="str" cm="1">
        <f t="array" ref="G107">IF(G105,"hover enabled",_xll.U.DISABLED("hover"))</f>
        <v>Disabled: HOVER</v>
      </c>
      <c r="H107" s="21"/>
      <c r="I107" s="20"/>
    </row>
    <row r="108" spans="1:9" x14ac:dyDescent="0.3">
      <c r="A108" s="18"/>
      <c r="B108" s="17"/>
      <c r="C108" s="19"/>
      <c r="D108" s="21"/>
      <c r="E108" s="21"/>
      <c r="F108" s="21"/>
      <c r="G108" s="21"/>
      <c r="H108" s="21"/>
      <c r="I108" s="20"/>
    </row>
    <row r="109" spans="1:9" x14ac:dyDescent="0.3">
      <c r="A109" s="18"/>
      <c r="B109" s="18"/>
      <c r="C109" s="20"/>
      <c r="D109" s="431" t="s">
        <v>2906</v>
      </c>
      <c r="E109" s="21"/>
      <c r="F109" s="21"/>
      <c r="G109" s="21"/>
      <c r="H109" s="21"/>
      <c r="I109" s="20"/>
    </row>
    <row r="110" spans="1:9" x14ac:dyDescent="0.3">
      <c r="A110" s="18"/>
      <c r="B110" s="18"/>
      <c r="C110" s="20"/>
      <c r="D110" s="433" t="str" cm="1">
        <f t="array" ref="D110">_xll.U.SET_CLICKVALS("hover_example",B108:C120,,,,"",,"hover")</f>
        <v>hover_example</v>
      </c>
      <c r="E110" s="21"/>
      <c r="F110" s="21"/>
      <c r="G110" s="21"/>
      <c r="H110" s="21"/>
      <c r="I110" s="20"/>
    </row>
    <row r="111" spans="1:9" x14ac:dyDescent="0.3">
      <c r="A111" s="18"/>
      <c r="B111" s="18"/>
      <c r="C111" s="20"/>
      <c r="D111" s="21"/>
      <c r="E111" s="21"/>
      <c r="F111" s="21"/>
      <c r="G111" s="21"/>
      <c r="H111" s="21"/>
      <c r="I111" s="20"/>
    </row>
    <row r="112" spans="1:9" x14ac:dyDescent="0.3">
      <c r="A112" s="18"/>
      <c r="B112" s="18"/>
      <c r="C112" s="20"/>
      <c r="D112" s="432" t="s">
        <v>2907</v>
      </c>
      <c r="E112" s="21"/>
      <c r="F112" s="21"/>
      <c r="G112" s="21"/>
      <c r="H112" s="21"/>
      <c r="I112" s="20"/>
    </row>
    <row r="113" spans="1:9" x14ac:dyDescent="0.3">
      <c r="A113" s="18"/>
      <c r="B113" s="18"/>
      <c r="C113" s="20"/>
      <c r="D113" s="437" t="str" cm="1">
        <f t="array" ref="D113">_xll.U.GET_CLICKVAL("hover_example")</f>
        <v/>
      </c>
      <c r="E113" s="21"/>
      <c r="F113" s="21"/>
      <c r="G113" s="21"/>
      <c r="H113" s="21"/>
      <c r="I113" s="20"/>
    </row>
    <row r="114" spans="1:9" x14ac:dyDescent="0.3">
      <c r="A114" s="18"/>
      <c r="B114" s="18"/>
      <c r="C114" s="20"/>
      <c r="D114" s="21"/>
      <c r="E114" s="21"/>
      <c r="F114" s="21"/>
      <c r="G114" s="21"/>
      <c r="H114" s="21"/>
      <c r="I114" s="20"/>
    </row>
    <row r="115" spans="1:9" x14ac:dyDescent="0.3">
      <c r="A115" s="18"/>
      <c r="B115" s="18"/>
      <c r="C115" s="20"/>
      <c r="D115" s="431" t="s">
        <v>2913</v>
      </c>
      <c r="E115" s="99"/>
      <c r="F115" s="21"/>
      <c r="G115" s="21"/>
      <c r="H115" s="21"/>
      <c r="I115" s="20"/>
    </row>
    <row r="116" spans="1:9" x14ac:dyDescent="0.3">
      <c r="A116" s="18"/>
      <c r="B116" s="18"/>
      <c r="C116" s="20"/>
      <c r="D116" s="438" t="str" cm="1">
        <f t="array" ref="D116">_xll.U.PRIOR_VALS(D113)</f>
        <v/>
      </c>
      <c r="E116" s="21"/>
      <c r="F116" s="21"/>
      <c r="G116" s="21"/>
      <c r="H116" s="21"/>
      <c r="I116" s="20"/>
    </row>
    <row r="117" spans="1:9" x14ac:dyDescent="0.3">
      <c r="A117" s="18"/>
      <c r="B117" s="434" t="s">
        <v>77</v>
      </c>
      <c r="C117" s="435">
        <v>1</v>
      </c>
      <c r="E117" s="21"/>
      <c r="F117" s="21"/>
      <c r="G117" s="21"/>
      <c r="H117" s="21"/>
      <c r="I117" s="20"/>
    </row>
    <row r="118" spans="1:9" x14ac:dyDescent="0.3">
      <c r="A118" s="18"/>
      <c r="B118" s="434" t="s">
        <v>78</v>
      </c>
      <c r="C118" s="435">
        <v>2</v>
      </c>
      <c r="D118" s="21"/>
      <c r="F118" s="21"/>
      <c r="G118" s="21"/>
      <c r="H118" s="21"/>
      <c r="I118" s="20"/>
    </row>
    <row r="119" spans="1:9" x14ac:dyDescent="0.3">
      <c r="A119" s="18"/>
      <c r="B119" s="434" t="s">
        <v>79</v>
      </c>
      <c r="C119" s="435">
        <v>3</v>
      </c>
      <c r="D119" s="21"/>
      <c r="E119" s="21"/>
      <c r="F119" s="21"/>
      <c r="G119" s="21"/>
      <c r="H119" s="21"/>
      <c r="I119" s="20"/>
    </row>
    <row r="120" spans="1:9" ht="15" thickBot="1" x14ac:dyDescent="0.35">
      <c r="A120" s="18"/>
      <c r="B120" s="22"/>
      <c r="C120" s="24"/>
      <c r="D120" s="21"/>
      <c r="E120" s="21"/>
      <c r="F120" s="21"/>
      <c r="G120" s="21"/>
      <c r="H120" s="21"/>
      <c r="I120" s="20"/>
    </row>
    <row r="121" spans="1:9" x14ac:dyDescent="0.3">
      <c r="A121" s="18"/>
      <c r="B121" s="21"/>
      <c r="C121" s="21"/>
      <c r="D121" s="21"/>
      <c r="E121" s="21"/>
      <c r="F121" s="21"/>
      <c r="G121" s="21"/>
      <c r="H121" s="21"/>
      <c r="I121" s="20"/>
    </row>
    <row r="122" spans="1:9" x14ac:dyDescent="0.3">
      <c r="A122" s="18"/>
      <c r="B122" s="268" t="s">
        <v>2911</v>
      </c>
      <c r="C122" s="21"/>
      <c r="D122" s="190" t="s">
        <v>2908</v>
      </c>
      <c r="F122" s="21"/>
      <c r="G122" s="21"/>
      <c r="H122" s="21"/>
      <c r="I122" s="20"/>
    </row>
    <row r="123" spans="1:9" x14ac:dyDescent="0.3">
      <c r="A123" s="18"/>
      <c r="B123" s="181" t="s">
        <v>2858</v>
      </c>
      <c r="C123" s="181" t="s">
        <v>2695</v>
      </c>
      <c r="D123" s="436" t="str" cm="1">
        <f t="array" ref="D123">IF(D113="Table 1",_xll.U.UPDATE_IMAGE(B111,B123:C124),IF(D116="Table 1",_xll.U.UPDATE_IMAGE(B111,B127:C128),"No update"))</f>
        <v>No update</v>
      </c>
      <c r="E123" s="21"/>
      <c r="F123" s="21"/>
      <c r="G123" s="21"/>
      <c r="H123" s="21"/>
      <c r="I123" s="20"/>
    </row>
    <row r="124" spans="1:9" x14ac:dyDescent="0.3">
      <c r="A124" s="18"/>
      <c r="B124" s="181" t="s">
        <v>2859</v>
      </c>
      <c r="C124" s="181" t="s">
        <v>2694</v>
      </c>
      <c r="D124" s="113" t="str" cm="1">
        <f t="array" ref="D124">IF(D113="Table 2",_xll.U.UPDATE_IMAGE(C111,B123:C124),IF(D116="Table 2",_xll.U.UPDATE_IMAGE(C111,B127:C128),"No update"))</f>
        <v>No update</v>
      </c>
      <c r="E124" s="21"/>
      <c r="F124" s="21"/>
      <c r="G124" s="21"/>
      <c r="H124" s="21"/>
      <c r="I124" s="20"/>
    </row>
    <row r="125" spans="1:9" x14ac:dyDescent="0.3">
      <c r="A125" s="18"/>
      <c r="B125" s="21"/>
      <c r="C125" s="21"/>
      <c r="D125" s="21"/>
      <c r="E125" s="21"/>
      <c r="F125" s="21"/>
      <c r="G125" s="21"/>
      <c r="H125" s="21"/>
      <c r="I125" s="20"/>
    </row>
    <row r="126" spans="1:9" x14ac:dyDescent="0.3">
      <c r="A126" s="18"/>
      <c r="B126" s="268" t="s">
        <v>2912</v>
      </c>
      <c r="C126" s="21"/>
      <c r="D126" s="21"/>
      <c r="E126" s="21"/>
      <c r="F126" s="21"/>
      <c r="G126" s="21"/>
      <c r="H126" s="21"/>
      <c r="I126" s="20"/>
    </row>
    <row r="127" spans="1:9" x14ac:dyDescent="0.3">
      <c r="A127" s="18"/>
      <c r="B127" s="181" t="s">
        <v>2858</v>
      </c>
      <c r="C127" s="181" t="s">
        <v>2909</v>
      </c>
      <c r="D127" s="21"/>
      <c r="E127" s="21"/>
      <c r="F127" s="21"/>
      <c r="G127" s="21"/>
      <c r="H127" s="21"/>
      <c r="I127" s="20"/>
    </row>
    <row r="128" spans="1:9" x14ac:dyDescent="0.3">
      <c r="A128" s="18"/>
      <c r="B128" s="181" t="s">
        <v>2859</v>
      </c>
      <c r="C128" s="181" t="s">
        <v>2910</v>
      </c>
      <c r="D128" s="21"/>
      <c r="E128" s="21"/>
      <c r="G128" s="21"/>
      <c r="H128" s="21"/>
      <c r="I128" s="20"/>
    </row>
    <row r="129" spans="1:9" x14ac:dyDescent="0.3">
      <c r="A129" s="18"/>
      <c r="B129" s="21"/>
      <c r="C129" s="21"/>
      <c r="D129" s="21"/>
      <c r="E129" s="21"/>
      <c r="F129" s="21"/>
      <c r="G129" s="21"/>
      <c r="H129" s="21"/>
      <c r="I129" s="20"/>
    </row>
    <row r="130" spans="1:9" x14ac:dyDescent="0.3">
      <c r="A130" s="18"/>
      <c r="B130" s="21"/>
      <c r="C130" s="21"/>
      <c r="D130" s="21"/>
      <c r="E130" s="21"/>
      <c r="F130" s="21"/>
      <c r="G130" s="21"/>
      <c r="H130" s="21"/>
      <c r="I130" s="20"/>
    </row>
    <row r="131" spans="1:9" ht="15" thickBot="1" x14ac:dyDescent="0.35">
      <c r="A131" s="18"/>
      <c r="B131" s="21"/>
      <c r="C131" s="21"/>
      <c r="D131" s="21"/>
      <c r="E131" s="21"/>
      <c r="F131" s="21"/>
      <c r="G131" s="21"/>
      <c r="H131" s="21"/>
      <c r="I131" s="20"/>
    </row>
    <row r="132" spans="1:9" x14ac:dyDescent="0.3">
      <c r="A132" s="18"/>
      <c r="B132" s="446"/>
      <c r="C132" s="447"/>
      <c r="D132" s="431" t="s">
        <v>2906</v>
      </c>
      <c r="E132" s="21"/>
      <c r="F132" s="21"/>
      <c r="G132" s="21"/>
      <c r="H132" s="21"/>
      <c r="I132" s="20"/>
    </row>
    <row r="133" spans="1:9" x14ac:dyDescent="0.3">
      <c r="A133" s="18"/>
      <c r="B133" s="448"/>
      <c r="C133" s="449"/>
      <c r="D133" s="433" t="str" cm="1">
        <f t="array" ref="D133">_xll.U.SET_CLICKVALS("hover_example_2",B132:C138,,,,"",,"hover(ignoreblanks,color=red,textcolor=white,lift)")</f>
        <v>hover_example_2</v>
      </c>
      <c r="E133" s="21"/>
      <c r="F133" s="21"/>
      <c r="G133" s="21"/>
      <c r="H133" s="21"/>
      <c r="I133" s="20"/>
    </row>
    <row r="134" spans="1:9" x14ac:dyDescent="0.3">
      <c r="A134" s="18"/>
      <c r="B134" s="448"/>
      <c r="C134" s="449"/>
      <c r="D134" s="21"/>
      <c r="E134" s="21"/>
      <c r="F134" s="21"/>
      <c r="G134" s="21"/>
      <c r="H134" s="21"/>
      <c r="I134" s="20"/>
    </row>
    <row r="135" spans="1:9" x14ac:dyDescent="0.3">
      <c r="A135" s="18"/>
      <c r="B135" s="448"/>
      <c r="C135" s="449"/>
      <c r="D135" s="21"/>
      <c r="E135" s="21"/>
      <c r="F135" s="21"/>
      <c r="G135" s="21"/>
      <c r="H135" s="21"/>
      <c r="I135" s="20"/>
    </row>
    <row r="136" spans="1:9" x14ac:dyDescent="0.3">
      <c r="A136" s="18"/>
      <c r="B136" s="448"/>
      <c r="C136" s="449"/>
      <c r="D136" s="21"/>
      <c r="E136" s="21"/>
      <c r="F136" s="21"/>
      <c r="G136" s="21"/>
      <c r="H136" s="21"/>
      <c r="I136" s="20"/>
    </row>
    <row r="137" spans="1:9" x14ac:dyDescent="0.3">
      <c r="A137" s="18"/>
      <c r="B137" s="450" t="s">
        <v>3053</v>
      </c>
      <c r="C137" s="451"/>
      <c r="D137" s="21"/>
      <c r="E137" s="21"/>
      <c r="F137" s="21"/>
      <c r="G137" s="21"/>
      <c r="H137" s="21"/>
      <c r="I137" s="20"/>
    </row>
    <row r="138" spans="1:9" ht="15" thickBot="1" x14ac:dyDescent="0.35">
      <c r="A138" s="18"/>
      <c r="B138" s="452"/>
      <c r="C138" s="453"/>
      <c r="D138" s="21"/>
      <c r="E138" s="21"/>
      <c r="F138" s="21"/>
      <c r="G138" s="21"/>
      <c r="H138" s="21"/>
      <c r="I138" s="20"/>
    </row>
    <row r="139" spans="1:9" x14ac:dyDescent="0.3">
      <c r="A139" s="18"/>
      <c r="B139" s="21"/>
      <c r="C139" s="21"/>
      <c r="D139" s="21"/>
      <c r="E139" s="21"/>
      <c r="F139" s="21"/>
      <c r="G139" s="21"/>
      <c r="H139" s="21"/>
      <c r="I139" s="20"/>
    </row>
    <row r="140" spans="1:9" x14ac:dyDescent="0.3">
      <c r="A140" s="18"/>
      <c r="B140" s="21"/>
      <c r="C140" s="21"/>
      <c r="D140" s="21"/>
      <c r="E140" s="21"/>
      <c r="F140" s="21"/>
      <c r="G140" s="21"/>
      <c r="H140" s="21"/>
      <c r="I140" s="20"/>
    </row>
    <row r="141" spans="1:9" x14ac:dyDescent="0.3">
      <c r="A141" s="18"/>
      <c r="B141" s="21"/>
      <c r="C141" s="21"/>
      <c r="D141" s="21"/>
      <c r="E141" s="21"/>
      <c r="F141" s="21"/>
      <c r="G141" s="21"/>
      <c r="H141" s="21"/>
      <c r="I141" s="20"/>
    </row>
    <row r="142" spans="1:9" x14ac:dyDescent="0.3">
      <c r="A142" s="18"/>
      <c r="B142" s="21"/>
      <c r="C142" s="21"/>
      <c r="D142" s="21"/>
      <c r="E142" s="21"/>
      <c r="F142" s="21"/>
      <c r="G142" s="21"/>
      <c r="H142" s="21"/>
      <c r="I142" s="20"/>
    </row>
    <row r="143" spans="1:9" x14ac:dyDescent="0.3">
      <c r="A143" s="18"/>
      <c r="B143" s="21"/>
      <c r="C143" s="21"/>
      <c r="D143" s="21"/>
      <c r="E143" s="21"/>
      <c r="F143" s="21"/>
      <c r="G143" s="21"/>
      <c r="H143" s="21"/>
      <c r="I143" s="20"/>
    </row>
    <row r="144" spans="1:9" x14ac:dyDescent="0.3">
      <c r="A144" s="18"/>
      <c r="B144" s="21"/>
      <c r="C144" s="21"/>
      <c r="D144" s="21"/>
      <c r="E144" s="21"/>
      <c r="F144" s="21"/>
      <c r="G144" s="21"/>
      <c r="H144" s="21"/>
      <c r="I144" s="20"/>
    </row>
    <row r="145" spans="1:9" x14ac:dyDescent="0.3">
      <c r="A145" s="18"/>
      <c r="B145" s="21"/>
      <c r="C145" s="21"/>
      <c r="D145" s="21"/>
      <c r="E145" s="21"/>
      <c r="F145" s="21"/>
      <c r="G145" s="21"/>
      <c r="H145" s="21"/>
      <c r="I145" s="20"/>
    </row>
    <row r="146" spans="1:9" x14ac:dyDescent="0.3">
      <c r="A146" s="18"/>
      <c r="B146" s="21"/>
      <c r="C146" s="21"/>
      <c r="D146" s="21"/>
      <c r="E146" s="21"/>
      <c r="F146" s="21"/>
      <c r="G146" s="21"/>
      <c r="H146" s="21"/>
      <c r="I146" s="20"/>
    </row>
    <row r="147" spans="1:9" x14ac:dyDescent="0.3">
      <c r="A147" s="18"/>
      <c r="B147" s="21"/>
      <c r="C147" s="21"/>
      <c r="D147" s="21"/>
      <c r="E147" s="21"/>
      <c r="F147" s="21"/>
      <c r="G147" s="21"/>
      <c r="H147" s="21"/>
      <c r="I147" s="20"/>
    </row>
    <row r="148" spans="1:9" x14ac:dyDescent="0.3">
      <c r="A148" s="18"/>
      <c r="B148" s="21"/>
      <c r="C148" s="21"/>
      <c r="D148" s="21"/>
      <c r="E148" s="21"/>
      <c r="F148" s="21"/>
      <c r="G148" s="21"/>
      <c r="H148" s="21"/>
      <c r="I148" s="20"/>
    </row>
    <row r="149" spans="1:9" x14ac:dyDescent="0.3">
      <c r="A149" s="18"/>
      <c r="B149" s="21"/>
      <c r="C149" s="21"/>
      <c r="D149" s="21"/>
      <c r="E149" s="21"/>
      <c r="F149" s="21"/>
      <c r="G149" s="21"/>
      <c r="H149" s="21"/>
      <c r="I149" s="20"/>
    </row>
    <row r="150" spans="1:9" x14ac:dyDescent="0.3">
      <c r="A150" s="18"/>
      <c r="B150" s="21"/>
      <c r="C150" s="21"/>
      <c r="D150" s="21"/>
      <c r="E150" s="21"/>
      <c r="F150" s="21"/>
      <c r="G150" s="21"/>
      <c r="H150" s="21"/>
      <c r="I150" s="20"/>
    </row>
    <row r="151" spans="1:9" x14ac:dyDescent="0.3">
      <c r="A151" s="18"/>
      <c r="B151" s="21"/>
      <c r="C151" s="21"/>
      <c r="D151" s="21"/>
      <c r="E151" s="21"/>
      <c r="F151" s="21"/>
      <c r="G151" s="21"/>
      <c r="H151" s="21"/>
      <c r="I151" s="20"/>
    </row>
    <row r="152" spans="1:9" x14ac:dyDescent="0.3">
      <c r="A152" s="18"/>
      <c r="B152" s="21"/>
      <c r="C152" s="21"/>
      <c r="D152" s="21"/>
      <c r="E152" s="21"/>
      <c r="F152" s="21"/>
      <c r="G152" s="21"/>
      <c r="H152" s="21"/>
      <c r="I152" s="20"/>
    </row>
    <row r="153" spans="1:9" x14ac:dyDescent="0.3">
      <c r="A153" s="18"/>
      <c r="B153" s="21"/>
      <c r="C153" s="21"/>
      <c r="D153" s="21"/>
      <c r="E153" s="21"/>
      <c r="F153" s="21"/>
      <c r="G153" s="21"/>
      <c r="H153" s="21"/>
      <c r="I153" s="20"/>
    </row>
    <row r="154" spans="1:9" x14ac:dyDescent="0.3">
      <c r="A154" s="18"/>
      <c r="B154" s="21"/>
      <c r="C154" s="21"/>
      <c r="D154" s="21"/>
      <c r="E154" s="21"/>
      <c r="F154" s="21"/>
      <c r="G154" s="21"/>
      <c r="H154" s="21"/>
      <c r="I154" s="20"/>
    </row>
    <row r="155" spans="1:9" x14ac:dyDescent="0.3">
      <c r="A155" s="18"/>
      <c r="B155" s="21"/>
      <c r="C155" s="21"/>
      <c r="D155" s="21"/>
      <c r="E155" s="21"/>
      <c r="F155" s="21"/>
      <c r="G155" s="21"/>
      <c r="H155" s="21"/>
      <c r="I155" s="20"/>
    </row>
    <row r="156" spans="1:9" x14ac:dyDescent="0.3">
      <c r="A156" s="18"/>
      <c r="B156" s="21"/>
      <c r="C156" s="21"/>
      <c r="D156" s="21"/>
      <c r="E156" s="21"/>
      <c r="F156" s="21"/>
      <c r="G156" s="21"/>
      <c r="H156" s="21"/>
      <c r="I156" s="20"/>
    </row>
    <row r="157" spans="1:9" x14ac:dyDescent="0.3">
      <c r="A157" s="18"/>
      <c r="B157" s="21"/>
      <c r="C157" s="21"/>
      <c r="D157" s="21"/>
      <c r="E157" s="21"/>
      <c r="F157" s="21"/>
      <c r="G157" s="21"/>
      <c r="H157" s="21"/>
      <c r="I157" s="20"/>
    </row>
    <row r="158" spans="1:9" x14ac:dyDescent="0.3">
      <c r="A158" s="18"/>
      <c r="B158" s="21"/>
      <c r="C158" s="21"/>
      <c r="D158" s="21"/>
      <c r="E158" s="21"/>
      <c r="F158" s="21"/>
      <c r="G158" s="21"/>
      <c r="H158" s="21"/>
      <c r="I158" s="20"/>
    </row>
    <row r="159" spans="1:9" x14ac:dyDescent="0.3">
      <c r="A159" s="18"/>
      <c r="B159" s="21"/>
      <c r="C159" s="21"/>
      <c r="D159" s="21"/>
      <c r="E159" s="21"/>
      <c r="F159" s="21"/>
      <c r="G159" s="21"/>
      <c r="H159" s="21"/>
      <c r="I159" s="20"/>
    </row>
    <row r="160" spans="1:9" x14ac:dyDescent="0.3">
      <c r="A160" s="18"/>
      <c r="B160" s="21"/>
      <c r="C160" s="21"/>
      <c r="D160" s="21"/>
      <c r="E160" s="21"/>
      <c r="F160" s="21"/>
      <c r="G160" s="21"/>
      <c r="H160" s="21"/>
      <c r="I160" s="20"/>
    </row>
    <row r="161" spans="1:9" x14ac:dyDescent="0.3">
      <c r="A161" s="18"/>
      <c r="B161" s="21"/>
      <c r="C161" s="21"/>
      <c r="D161" s="21"/>
      <c r="E161" s="21"/>
      <c r="F161" s="21"/>
      <c r="G161" s="21"/>
      <c r="H161" s="21"/>
      <c r="I161" s="20"/>
    </row>
    <row r="162" spans="1:9" x14ac:dyDescent="0.3">
      <c r="A162" s="18"/>
      <c r="B162" s="21"/>
      <c r="C162" s="21"/>
      <c r="D162" s="21"/>
      <c r="E162" s="21"/>
      <c r="F162" s="21"/>
      <c r="G162" s="21"/>
      <c r="H162" s="21"/>
      <c r="I162" s="20"/>
    </row>
    <row r="163" spans="1:9" ht="15" thickBot="1" x14ac:dyDescent="0.35">
      <c r="A163" s="18"/>
      <c r="B163" s="21"/>
      <c r="C163" s="21"/>
      <c r="D163" s="21"/>
      <c r="E163" s="21"/>
      <c r="F163" s="21"/>
      <c r="G163" s="21"/>
      <c r="H163" s="21"/>
      <c r="I163" s="20"/>
    </row>
    <row r="164" spans="1:9" ht="15" thickBot="1" x14ac:dyDescent="0.35">
      <c r="A164" s="581" t="s">
        <v>587</v>
      </c>
      <c r="B164" s="582"/>
      <c r="C164" s="582"/>
      <c r="D164" s="582"/>
      <c r="E164" s="582"/>
      <c r="F164" s="582"/>
      <c r="G164" s="582"/>
      <c r="H164" s="583"/>
      <c r="I164" s="20"/>
    </row>
    <row r="165" spans="1:9" x14ac:dyDescent="0.3">
      <c r="A165" s="18"/>
      <c r="B165" s="21"/>
      <c r="C165" s="21"/>
      <c r="D165" s="21"/>
      <c r="E165" s="21"/>
      <c r="F165" s="21"/>
      <c r="G165" s="21"/>
      <c r="H165" s="21"/>
      <c r="I165" s="20"/>
    </row>
    <row r="166" spans="1:9" x14ac:dyDescent="0.3">
      <c r="A166" s="18"/>
      <c r="B166" s="21"/>
      <c r="C166" s="21"/>
      <c r="D166" s="21"/>
      <c r="E166" s="21"/>
      <c r="F166" s="21"/>
      <c r="G166" s="21"/>
      <c r="H166" s="21"/>
      <c r="I166" s="20"/>
    </row>
    <row r="167" spans="1:9" x14ac:dyDescent="0.3">
      <c r="A167" s="18"/>
      <c r="B167" s="190" t="s">
        <v>396</v>
      </c>
      <c r="C167" s="21"/>
      <c r="D167" s="101" t="s">
        <v>3528</v>
      </c>
      <c r="E167" s="21"/>
      <c r="F167" s="21"/>
      <c r="G167" s="21"/>
      <c r="H167" s="21"/>
      <c r="I167" s="20"/>
    </row>
    <row r="168" spans="1:9" x14ac:dyDescent="0.3">
      <c r="A168" s="18"/>
      <c r="B168" s="79" t="s">
        <v>582</v>
      </c>
      <c r="C168" s="21"/>
      <c r="D168" s="146" t="str" cm="1">
        <f t="array" ref="D168">_xll.U.SET_CLICKVALS(B168,(B176,B177,B178),0,0,B171:B174,"Larry")</f>
        <v>Cycle_Names</v>
      </c>
      <c r="E168" s="21"/>
      <c r="F168" s="21"/>
      <c r="G168" s="21"/>
      <c r="H168" s="21"/>
      <c r="I168" s="20"/>
    </row>
    <row r="169" spans="1:9" x14ac:dyDescent="0.3">
      <c r="A169" s="18"/>
      <c r="B169" s="21"/>
      <c r="C169" s="21"/>
      <c r="D169" s="21"/>
      <c r="E169" s="21"/>
      <c r="F169" s="21"/>
      <c r="G169" s="21"/>
      <c r="H169" s="21"/>
      <c r="I169" s="20"/>
    </row>
    <row r="170" spans="1:9" x14ac:dyDescent="0.3">
      <c r="A170" s="18"/>
      <c r="B170" s="190" t="s">
        <v>394</v>
      </c>
      <c r="C170" s="21"/>
      <c r="D170" s="101" t="s">
        <v>3529</v>
      </c>
      <c r="E170" s="21"/>
      <c r="F170" s="21"/>
      <c r="G170" s="21"/>
      <c r="H170" s="21"/>
      <c r="I170" s="20"/>
    </row>
    <row r="171" spans="1:9" x14ac:dyDescent="0.3">
      <c r="A171" s="18"/>
      <c r="B171" s="79" t="s">
        <v>581</v>
      </c>
      <c r="C171" s="21"/>
      <c r="D171" s="30" t="str" cm="1">
        <f t="array" ref="D171">_xll.U.GET_CLICKVAL(B168)</f>
        <v>Larry</v>
      </c>
      <c r="E171" s="21"/>
      <c r="F171" s="21"/>
      <c r="G171" s="21"/>
      <c r="H171" s="21"/>
      <c r="I171" s="20"/>
    </row>
    <row r="172" spans="1:9" x14ac:dyDescent="0.3">
      <c r="A172" s="18"/>
      <c r="B172" s="79" t="s">
        <v>199</v>
      </c>
      <c r="C172" s="21"/>
      <c r="D172" s="21"/>
      <c r="E172" s="21"/>
      <c r="F172" s="21"/>
      <c r="G172" s="21"/>
      <c r="H172" s="21"/>
      <c r="I172" s="20"/>
    </row>
    <row r="173" spans="1:9" x14ac:dyDescent="0.3">
      <c r="A173" s="18"/>
      <c r="B173" s="79" t="s">
        <v>580</v>
      </c>
      <c r="C173" s="21"/>
      <c r="D173" s="21"/>
      <c r="E173" s="21"/>
      <c r="F173" s="21"/>
      <c r="G173" s="21"/>
      <c r="H173" s="21"/>
      <c r="I173" s="20"/>
    </row>
    <row r="174" spans="1:9" x14ac:dyDescent="0.3">
      <c r="A174" s="18"/>
      <c r="B174" s="79" t="s">
        <v>583</v>
      </c>
      <c r="C174" s="21"/>
      <c r="D174" s="21"/>
      <c r="E174" s="21"/>
      <c r="F174" s="21"/>
      <c r="G174" s="21"/>
      <c r="H174" s="21"/>
      <c r="I174" s="20"/>
    </row>
    <row r="175" spans="1:9" x14ac:dyDescent="0.3">
      <c r="A175" s="18"/>
      <c r="B175" s="21"/>
      <c r="C175" s="21"/>
      <c r="D175" s="21"/>
      <c r="E175" s="21"/>
      <c r="F175" s="21"/>
      <c r="G175" s="21"/>
      <c r="H175" s="21"/>
      <c r="I175" s="20"/>
    </row>
    <row r="176" spans="1:9" x14ac:dyDescent="0.3">
      <c r="A176" s="18"/>
      <c r="B176" s="147" t="s">
        <v>584</v>
      </c>
      <c r="C176" s="21"/>
      <c r="D176" s="21"/>
      <c r="E176" s="21"/>
      <c r="F176" s="21"/>
      <c r="G176" s="21"/>
      <c r="H176" s="21"/>
      <c r="I176" s="20"/>
    </row>
    <row r="177" spans="1:9" x14ac:dyDescent="0.3">
      <c r="A177" s="18"/>
      <c r="B177" s="148" t="s">
        <v>585</v>
      </c>
      <c r="C177" s="21"/>
      <c r="D177" s="21"/>
      <c r="E177" s="21"/>
      <c r="F177" s="21"/>
      <c r="G177" s="21"/>
      <c r="H177" s="21"/>
      <c r="I177" s="20"/>
    </row>
    <row r="178" spans="1:9" x14ac:dyDescent="0.3">
      <c r="A178" s="18"/>
      <c r="B178" s="149" t="s">
        <v>586</v>
      </c>
      <c r="C178" s="21"/>
      <c r="D178" s="21"/>
      <c r="E178" s="21"/>
      <c r="F178" s="21"/>
      <c r="G178" s="21"/>
      <c r="H178" s="21"/>
      <c r="I178" s="20"/>
    </row>
    <row r="179" spans="1:9" x14ac:dyDescent="0.3">
      <c r="A179" s="18"/>
      <c r="B179" s="21"/>
      <c r="C179" s="21"/>
      <c r="D179" s="21"/>
      <c r="E179" s="21"/>
      <c r="F179" s="21"/>
      <c r="G179" s="21"/>
      <c r="H179" s="21"/>
      <c r="I179" s="20"/>
    </row>
    <row r="180" spans="1:9" x14ac:dyDescent="0.3">
      <c r="A180" s="18"/>
      <c r="B180" s="21"/>
      <c r="C180" s="21"/>
      <c r="D180" s="21"/>
      <c r="E180" s="21"/>
      <c r="F180" s="21"/>
      <c r="G180" s="21"/>
      <c r="H180" s="21"/>
      <c r="I180" s="20"/>
    </row>
    <row r="181" spans="1:9" x14ac:dyDescent="0.3">
      <c r="A181" s="18"/>
      <c r="B181" s="190" t="s">
        <v>396</v>
      </c>
      <c r="C181" s="21"/>
      <c r="D181" s="101" t="s">
        <v>3528</v>
      </c>
      <c r="E181" s="21"/>
      <c r="F181" s="21"/>
      <c r="G181" s="21"/>
      <c r="H181" s="21"/>
      <c r="I181" s="20"/>
    </row>
    <row r="182" spans="1:9" x14ac:dyDescent="0.3">
      <c r="A182" s="18"/>
      <c r="B182" s="79" t="s">
        <v>576</v>
      </c>
      <c r="C182" s="21"/>
      <c r="D182" s="146" t="str" cm="1">
        <f t="array" ref="D182">_xll.U.SET_CLICKVALS(B182,D185,1,0,{TRUE,FALSE})</f>
        <v>TF_Toggle</v>
      </c>
      <c r="E182" s="21"/>
      <c r="F182" s="21"/>
      <c r="G182" s="21"/>
      <c r="H182" s="21"/>
      <c r="I182" s="20"/>
    </row>
    <row r="183" spans="1:9" x14ac:dyDescent="0.3">
      <c r="A183" s="18"/>
      <c r="B183" s="21"/>
      <c r="C183" s="21"/>
      <c r="D183" s="21"/>
      <c r="E183" s="21"/>
      <c r="F183" s="21"/>
      <c r="G183" s="21"/>
      <c r="H183" s="21"/>
      <c r="I183" s="20"/>
    </row>
    <row r="184" spans="1:9" x14ac:dyDescent="0.3">
      <c r="A184" s="18"/>
      <c r="B184" s="21"/>
      <c r="C184" s="21"/>
      <c r="D184" s="101" t="s">
        <v>577</v>
      </c>
      <c r="E184" s="21"/>
      <c r="F184" s="21"/>
      <c r="G184" s="21"/>
      <c r="H184" s="21"/>
      <c r="I184" s="20"/>
    </row>
    <row r="185" spans="1:9" x14ac:dyDescent="0.3">
      <c r="A185" s="18"/>
      <c r="B185" s="21"/>
      <c r="C185" s="21"/>
      <c r="D185" s="30"/>
      <c r="E185" s="21"/>
      <c r="F185" s="21"/>
      <c r="G185" s="21"/>
      <c r="H185" s="21"/>
      <c r="I185" s="20"/>
    </row>
    <row r="186" spans="1:9" x14ac:dyDescent="0.3">
      <c r="A186" s="18"/>
      <c r="B186" s="21"/>
      <c r="C186" s="21"/>
      <c r="D186" s="21"/>
      <c r="E186" s="21"/>
      <c r="F186" s="21"/>
      <c r="G186" s="21"/>
      <c r="H186" s="21"/>
      <c r="I186" s="20"/>
    </row>
    <row r="187" spans="1:9" x14ac:dyDescent="0.3">
      <c r="A187" s="18"/>
      <c r="B187" s="21"/>
      <c r="C187" s="21"/>
      <c r="D187" s="101" t="s">
        <v>3529</v>
      </c>
      <c r="E187" s="21"/>
      <c r="F187" s="21"/>
      <c r="G187" s="21"/>
      <c r="H187" s="21"/>
      <c r="I187" s="20"/>
    </row>
    <row r="188" spans="1:9" x14ac:dyDescent="0.3">
      <c r="A188" s="18"/>
      <c r="B188" s="21"/>
      <c r="C188" s="21"/>
      <c r="D188" s="30" t="b" cm="1">
        <f t="array" ref="D188">_xll.U.GET_CLICKVAL(B182)</f>
        <v>1</v>
      </c>
      <c r="E188" s="21"/>
      <c r="F188" s="21"/>
      <c r="G188" s="21"/>
      <c r="H188" s="21"/>
      <c r="I188" s="20"/>
    </row>
    <row r="189" spans="1:9" x14ac:dyDescent="0.3">
      <c r="A189" s="18"/>
      <c r="B189" s="21"/>
      <c r="C189" s="21"/>
      <c r="D189" s="21"/>
      <c r="E189" s="21"/>
      <c r="F189" s="21"/>
      <c r="G189" s="21"/>
      <c r="H189" s="21"/>
      <c r="I189" s="20"/>
    </row>
    <row r="190" spans="1:9" ht="15" thickBot="1" x14ac:dyDescent="0.35">
      <c r="A190" s="18"/>
      <c r="B190" s="21"/>
      <c r="C190" s="21"/>
      <c r="D190" s="21"/>
      <c r="E190" s="21"/>
      <c r="F190" s="21"/>
      <c r="G190" s="21"/>
      <c r="H190" s="21"/>
      <c r="I190" s="20"/>
    </row>
    <row r="191" spans="1:9" ht="15" thickBot="1" x14ac:dyDescent="0.35">
      <c r="A191" s="581" t="s">
        <v>588</v>
      </c>
      <c r="B191" s="582"/>
      <c r="C191" s="582"/>
      <c r="D191" s="582"/>
      <c r="E191" s="582"/>
      <c r="F191" s="582"/>
      <c r="G191" s="582"/>
      <c r="H191" s="583"/>
      <c r="I191" s="20"/>
    </row>
    <row r="192" spans="1:9" x14ac:dyDescent="0.3">
      <c r="A192" s="18"/>
      <c r="B192" s="21"/>
      <c r="C192" s="21"/>
      <c r="D192" s="21"/>
      <c r="E192" s="21"/>
      <c r="F192" s="21"/>
      <c r="G192" s="21"/>
      <c r="H192" s="21"/>
      <c r="I192" s="20"/>
    </row>
    <row r="193" spans="1:9" x14ac:dyDescent="0.3">
      <c r="A193" s="18"/>
      <c r="B193" s="21"/>
      <c r="C193" s="21"/>
      <c r="D193" s="21"/>
      <c r="E193" s="21"/>
      <c r="F193" s="21"/>
      <c r="G193" s="21"/>
      <c r="H193" s="21"/>
      <c r="I193" s="20"/>
    </row>
    <row r="194" spans="1:9" x14ac:dyDescent="0.3">
      <c r="A194" s="18"/>
      <c r="B194" s="190" t="s">
        <v>396</v>
      </c>
      <c r="C194" s="21"/>
      <c r="D194" s="101" t="s">
        <v>3528</v>
      </c>
      <c r="E194" s="21"/>
      <c r="F194" s="21"/>
      <c r="G194" s="21"/>
      <c r="H194" s="21"/>
      <c r="I194" s="20"/>
    </row>
    <row r="195" spans="1:9" x14ac:dyDescent="0.3">
      <c r="A195" s="18"/>
      <c r="B195" s="79" t="s">
        <v>976</v>
      </c>
      <c r="C195" s="21"/>
      <c r="D195" s="146" t="str" cm="1">
        <f t="array" ref="D195">_xll.U.SET_CLICKVALS(B195,(B197,B198,B199),0,1,100,5)</f>
        <v>Incrementor</v>
      </c>
      <c r="E195" s="21"/>
      <c r="F195" s="21"/>
      <c r="G195" s="21"/>
      <c r="H195" s="21"/>
      <c r="I195" s="20"/>
    </row>
    <row r="196" spans="1:9" x14ac:dyDescent="0.3">
      <c r="A196" s="18"/>
      <c r="B196" s="21"/>
      <c r="C196" s="21"/>
      <c r="D196" s="21"/>
      <c r="E196" s="21"/>
      <c r="F196" s="21"/>
      <c r="G196" s="21"/>
      <c r="H196" s="21"/>
      <c r="I196" s="20"/>
    </row>
    <row r="197" spans="1:9" x14ac:dyDescent="0.3">
      <c r="A197" s="18"/>
      <c r="B197" s="147" t="s">
        <v>181</v>
      </c>
      <c r="C197" s="21"/>
      <c r="D197" s="101" t="s">
        <v>3529</v>
      </c>
      <c r="E197" s="21"/>
      <c r="F197" s="21"/>
      <c r="G197" s="21"/>
      <c r="H197" s="21"/>
      <c r="I197" s="20"/>
    </row>
    <row r="198" spans="1:9" x14ac:dyDescent="0.3">
      <c r="A198" s="18"/>
      <c r="B198" s="148" t="s">
        <v>589</v>
      </c>
      <c r="C198" s="21"/>
      <c r="D198" s="30" cm="1">
        <f t="array" ref="D198">_xll.U.GET_CLICKVAL(B195)</f>
        <v>100</v>
      </c>
      <c r="E198" s="21"/>
      <c r="F198" s="21"/>
      <c r="G198" s="21"/>
      <c r="H198" s="21"/>
      <c r="I198" s="20"/>
    </row>
    <row r="199" spans="1:9" x14ac:dyDescent="0.3">
      <c r="A199" s="18"/>
      <c r="B199" s="149" t="s">
        <v>586</v>
      </c>
      <c r="C199" s="21"/>
      <c r="D199" s="21"/>
      <c r="E199" s="21"/>
      <c r="F199" s="21"/>
      <c r="G199" s="21"/>
      <c r="H199" s="21"/>
      <c r="I199" s="20"/>
    </row>
    <row r="200" spans="1:9" x14ac:dyDescent="0.3">
      <c r="A200" s="18"/>
      <c r="B200" s="21"/>
      <c r="C200" s="21"/>
      <c r="D200" s="21"/>
      <c r="E200" s="21"/>
      <c r="F200" s="21"/>
      <c r="G200" s="21"/>
      <c r="H200" s="21"/>
      <c r="I200" s="20"/>
    </row>
    <row r="201" spans="1:9" x14ac:dyDescent="0.3">
      <c r="A201" s="18"/>
      <c r="B201" s="21"/>
      <c r="C201" s="21"/>
      <c r="D201" s="21"/>
      <c r="E201" s="21"/>
      <c r="F201" s="21"/>
      <c r="G201" s="21"/>
      <c r="H201" s="21"/>
      <c r="I201" s="20"/>
    </row>
    <row r="202" spans="1:9" x14ac:dyDescent="0.3">
      <c r="A202" s="18"/>
      <c r="B202" s="21"/>
      <c r="C202" s="21"/>
      <c r="D202" s="21"/>
      <c r="E202" s="21"/>
      <c r="F202" s="21"/>
      <c r="G202" s="21"/>
      <c r="H202" s="21"/>
      <c r="I202" s="20"/>
    </row>
    <row r="203" spans="1:9" ht="15" thickBot="1" x14ac:dyDescent="0.35">
      <c r="A203" s="18"/>
      <c r="B203" s="21"/>
      <c r="C203" s="21"/>
      <c r="D203" s="21"/>
      <c r="E203" s="21"/>
      <c r="F203" s="21"/>
      <c r="G203" s="21"/>
      <c r="H203" s="21"/>
      <c r="I203" s="20"/>
    </row>
    <row r="204" spans="1:9" ht="15" thickBot="1" x14ac:dyDescent="0.35">
      <c r="A204" s="581" t="s">
        <v>790</v>
      </c>
      <c r="B204" s="582"/>
      <c r="C204" s="582"/>
      <c r="D204" s="582"/>
      <c r="E204" s="582"/>
      <c r="F204" s="582"/>
      <c r="G204" s="582"/>
      <c r="H204" s="583"/>
      <c r="I204" s="20"/>
    </row>
    <row r="205" spans="1:9" x14ac:dyDescent="0.3">
      <c r="A205" s="18"/>
      <c r="B205" s="21"/>
      <c r="C205" s="21"/>
      <c r="D205" s="21"/>
      <c r="E205" s="21"/>
      <c r="F205" s="21"/>
      <c r="G205" s="21"/>
      <c r="H205" s="21"/>
      <c r="I205" s="20"/>
    </row>
    <row r="206" spans="1:9" x14ac:dyDescent="0.3">
      <c r="A206" s="18"/>
      <c r="B206" s="21"/>
      <c r="C206" s="21"/>
      <c r="D206" s="21"/>
      <c r="E206" s="21"/>
      <c r="F206" s="21"/>
      <c r="G206" s="21"/>
      <c r="H206" s="21"/>
      <c r="I206" s="20"/>
    </row>
    <row r="207" spans="1:9" x14ac:dyDescent="0.3">
      <c r="A207" s="18"/>
      <c r="B207" s="190" t="s">
        <v>679</v>
      </c>
      <c r="C207" s="21"/>
      <c r="D207" s="101" t="s">
        <v>3538</v>
      </c>
      <c r="E207" s="21"/>
      <c r="F207" s="21"/>
      <c r="G207" s="21"/>
      <c r="H207" s="21"/>
      <c r="I207" s="20"/>
    </row>
    <row r="208" spans="1:9" x14ac:dyDescent="0.3">
      <c r="A208" s="18"/>
      <c r="B208" s="79" t="s">
        <v>791</v>
      </c>
      <c r="C208" s="21"/>
      <c r="D208" s="174" cm="1">
        <f t="array" ref="D208">_xll.U.OVERWRITE_CLICKVAL(B208,B211)</f>
        <v>46072.453056770835</v>
      </c>
      <c r="E208" s="21"/>
      <c r="F208" s="21"/>
      <c r="G208" s="21"/>
      <c r="H208" s="21"/>
      <c r="I208" s="20"/>
    </row>
    <row r="209" spans="1:9" x14ac:dyDescent="0.3">
      <c r="A209" s="18"/>
      <c r="B209" s="21"/>
      <c r="C209" s="21"/>
      <c r="D209" s="21"/>
      <c r="E209" s="21"/>
      <c r="F209" s="21"/>
      <c r="G209" s="21"/>
      <c r="H209" s="21"/>
      <c r="I209" s="20"/>
    </row>
    <row r="210" spans="1:9" x14ac:dyDescent="0.3">
      <c r="A210" s="18"/>
      <c r="B210" s="190" t="s">
        <v>17</v>
      </c>
      <c r="C210" s="21"/>
      <c r="D210" s="21"/>
      <c r="E210" s="21"/>
      <c r="F210" s="21"/>
      <c r="G210" s="21"/>
      <c r="H210" s="21"/>
      <c r="I210" s="20"/>
    </row>
    <row r="211" spans="1:9" x14ac:dyDescent="0.3">
      <c r="A211" s="18"/>
      <c r="B211" s="79" t="s">
        <v>39</v>
      </c>
      <c r="C211" s="21"/>
      <c r="D211" s="21"/>
      <c r="E211" s="21"/>
      <c r="F211" s="21"/>
      <c r="G211" s="21"/>
      <c r="H211" s="21"/>
      <c r="I211" s="20"/>
    </row>
    <row r="212" spans="1:9" x14ac:dyDescent="0.3">
      <c r="A212" s="18"/>
      <c r="B212" s="21"/>
      <c r="C212" s="21"/>
      <c r="D212" s="21"/>
      <c r="E212" s="21"/>
      <c r="F212" s="21"/>
      <c r="G212" s="21"/>
      <c r="H212" s="21"/>
      <c r="I212" s="20"/>
    </row>
    <row r="213" spans="1:9" x14ac:dyDescent="0.3">
      <c r="A213" s="18"/>
      <c r="B213" s="21"/>
      <c r="C213" s="21"/>
      <c r="D213" s="21"/>
      <c r="E213" s="21"/>
      <c r="F213" s="21"/>
      <c r="G213" s="21"/>
      <c r="H213" s="21"/>
      <c r="I213" s="20"/>
    </row>
    <row r="214" spans="1:9" x14ac:dyDescent="0.3">
      <c r="A214" s="18"/>
      <c r="B214" s="21"/>
      <c r="C214" s="21"/>
      <c r="D214" s="21"/>
      <c r="E214" s="21"/>
      <c r="F214" s="21"/>
      <c r="G214" s="21"/>
      <c r="H214" s="21"/>
      <c r="I214" s="20"/>
    </row>
    <row r="215" spans="1:9" x14ac:dyDescent="0.3">
      <c r="A215" s="18"/>
      <c r="B215" s="21"/>
      <c r="C215" s="21"/>
      <c r="D215" s="21"/>
      <c r="E215" s="21"/>
      <c r="F215" s="21"/>
      <c r="G215" s="21"/>
      <c r="H215" s="21"/>
      <c r="I215" s="20"/>
    </row>
    <row r="216" spans="1:9" x14ac:dyDescent="0.3">
      <c r="A216" s="18"/>
      <c r="B216" s="190" t="s">
        <v>2063</v>
      </c>
      <c r="C216" s="21"/>
      <c r="D216" s="101" t="s">
        <v>3538</v>
      </c>
      <c r="E216" s="21"/>
      <c r="F216" s="21"/>
      <c r="G216" s="21"/>
      <c r="H216" s="21"/>
      <c r="I216" s="20"/>
    </row>
    <row r="217" spans="1:9" x14ac:dyDescent="0.3">
      <c r="A217" s="18"/>
      <c r="B217" s="79" t="s">
        <v>2064</v>
      </c>
      <c r="C217" s="21"/>
      <c r="D217" s="342" cm="1">
        <f t="array" ref="D217">_xll.U.OVERWRITE_CLICKVAL(B195,B217)</f>
        <v>46072.453054027777</v>
      </c>
      <c r="E217" s="21"/>
      <c r="F217" s="21"/>
      <c r="G217" s="21"/>
      <c r="H217" s="21"/>
      <c r="I217" s="20"/>
    </row>
    <row r="218" spans="1:9" x14ac:dyDescent="0.3">
      <c r="A218" s="18"/>
      <c r="B218" s="21"/>
      <c r="C218" s="21"/>
      <c r="D218" s="21"/>
      <c r="E218" s="21"/>
      <c r="F218" s="21"/>
      <c r="G218" s="21"/>
      <c r="H218" s="21"/>
      <c r="I218" s="20"/>
    </row>
    <row r="219" spans="1:9" x14ac:dyDescent="0.3">
      <c r="A219" s="18"/>
      <c r="B219" s="21"/>
      <c r="C219" s="21"/>
      <c r="D219" s="21"/>
      <c r="E219" s="21"/>
      <c r="F219" s="21"/>
      <c r="G219" s="21"/>
      <c r="H219" s="21"/>
      <c r="I219" s="20"/>
    </row>
    <row r="220" spans="1:9" x14ac:dyDescent="0.3">
      <c r="A220" s="18"/>
      <c r="B220" s="21"/>
      <c r="C220" s="21"/>
      <c r="D220" s="21"/>
      <c r="E220" s="21"/>
      <c r="F220" s="21"/>
      <c r="G220" s="21"/>
      <c r="H220" s="21"/>
      <c r="I220" s="20"/>
    </row>
    <row r="221" spans="1:9" x14ac:dyDescent="0.3">
      <c r="A221" s="18"/>
      <c r="B221" s="21"/>
      <c r="C221" s="21"/>
      <c r="D221" s="21"/>
      <c r="E221" s="21"/>
      <c r="F221" s="21"/>
      <c r="G221" s="21"/>
      <c r="H221" s="21"/>
      <c r="I221" s="20"/>
    </row>
    <row r="222" spans="1:9" x14ac:dyDescent="0.3">
      <c r="A222" s="18"/>
      <c r="B222" s="21"/>
      <c r="C222" s="21"/>
      <c r="D222" s="21"/>
      <c r="E222" s="21"/>
      <c r="F222" s="21"/>
      <c r="G222" s="21"/>
      <c r="H222" s="21"/>
      <c r="I222" s="20"/>
    </row>
    <row r="223" spans="1:9" x14ac:dyDescent="0.3">
      <c r="A223" s="18"/>
      <c r="B223" s="21"/>
      <c r="C223" s="21"/>
      <c r="D223" s="21"/>
      <c r="E223" s="21"/>
      <c r="F223" s="21"/>
      <c r="G223" s="21"/>
      <c r="H223" s="21"/>
      <c r="I223" s="20"/>
    </row>
    <row r="224" spans="1:9" x14ac:dyDescent="0.3">
      <c r="A224" s="18"/>
      <c r="B224" s="21"/>
      <c r="C224" s="21"/>
      <c r="D224" s="21"/>
      <c r="E224" s="21"/>
      <c r="F224" s="21"/>
      <c r="G224" s="21"/>
      <c r="H224" s="21"/>
      <c r="I224" s="20"/>
    </row>
    <row r="225" spans="1:9" x14ac:dyDescent="0.3">
      <c r="A225" s="18"/>
      <c r="B225" s="21"/>
      <c r="C225" s="21"/>
      <c r="D225" s="21"/>
      <c r="E225" s="21"/>
      <c r="F225" s="21"/>
      <c r="G225" s="21"/>
      <c r="H225" s="21"/>
      <c r="I225" s="20"/>
    </row>
    <row r="226" spans="1:9" x14ac:dyDescent="0.3">
      <c r="A226" s="18"/>
      <c r="B226" s="21"/>
      <c r="C226" s="21"/>
      <c r="D226" s="21"/>
      <c r="E226" s="21"/>
      <c r="F226" s="21"/>
      <c r="G226" s="21"/>
      <c r="H226" s="21"/>
      <c r="I226" s="20"/>
    </row>
    <row r="227" spans="1:9" x14ac:dyDescent="0.3">
      <c r="A227" s="18"/>
      <c r="B227" s="21"/>
      <c r="C227" s="21"/>
      <c r="D227" s="21"/>
      <c r="E227" s="21"/>
      <c r="F227" s="21"/>
      <c r="G227" s="21"/>
      <c r="H227" s="21"/>
      <c r="I227" s="20"/>
    </row>
    <row r="228" spans="1:9" ht="15" thickBot="1" x14ac:dyDescent="0.35">
      <c r="A228" s="18"/>
      <c r="B228" s="21"/>
      <c r="C228" s="21"/>
      <c r="D228" s="21"/>
      <c r="E228" s="21"/>
      <c r="F228" s="21"/>
      <c r="G228" s="21"/>
      <c r="H228" s="21"/>
      <c r="I228" s="20"/>
    </row>
    <row r="229" spans="1:9" ht="15" thickBot="1" x14ac:dyDescent="0.35">
      <c r="A229" s="581" t="s">
        <v>2252</v>
      </c>
      <c r="B229" s="582"/>
      <c r="C229" s="582"/>
      <c r="D229" s="582"/>
      <c r="E229" s="582"/>
      <c r="F229" s="582"/>
      <c r="G229" s="582"/>
      <c r="H229" s="583"/>
      <c r="I229" s="20"/>
    </row>
    <row r="230" spans="1:9" x14ac:dyDescent="0.3">
      <c r="A230" s="18"/>
      <c r="B230" s="21"/>
      <c r="C230" s="21"/>
      <c r="D230" s="21"/>
      <c r="E230" s="21"/>
      <c r="F230" s="21"/>
      <c r="G230" s="21"/>
      <c r="H230" s="21"/>
      <c r="I230" s="20"/>
    </row>
    <row r="231" spans="1:9" x14ac:dyDescent="0.3">
      <c r="A231" s="18"/>
      <c r="B231" s="21"/>
      <c r="C231" s="21"/>
      <c r="D231" s="21"/>
      <c r="E231" s="21"/>
      <c r="F231" s="21"/>
      <c r="G231" s="21"/>
      <c r="H231" s="21"/>
      <c r="I231" s="20"/>
    </row>
    <row r="232" spans="1:9" x14ac:dyDescent="0.3">
      <c r="A232" s="18"/>
      <c r="B232" s="3" t="str">
        <f t="array" ref="B232:D245">_xll.U.GET_CLICKVAL()</f>
        <v>Workbook</v>
      </c>
      <c r="C232" s="3" t="str">
        <v>Name</v>
      </c>
      <c r="D232" s="3" t="str">
        <v>Value</v>
      </c>
      <c r="E232" s="21"/>
      <c r="F232" s="21"/>
      <c r="G232" s="21"/>
      <c r="H232" s="21"/>
      <c r="I232" s="20"/>
    </row>
    <row r="233" spans="1:9" x14ac:dyDescent="0.3">
      <c r="A233" s="18"/>
      <c r="B233" s="30" t="str">
        <v>U_USAGEEXAMPLES.XLSX</v>
      </c>
      <c r="C233" s="30" t="str">
        <v>BACK_NAV</v>
      </c>
      <c r="D233" s="30" t="str">
        <v/>
      </c>
      <c r="E233" s="21"/>
      <c r="F233" s="21"/>
      <c r="G233" s="21"/>
      <c r="H233" s="21"/>
      <c r="I233" s="20"/>
    </row>
    <row r="234" spans="1:9" x14ac:dyDescent="0.3">
      <c r="A234" s="18"/>
      <c r="B234" s="30" t="str">
        <v>U_USAGEEXAMPLES.XLSX</v>
      </c>
      <c r="C234" s="30" t="str">
        <v>CALC ON CLICK</v>
      </c>
      <c r="D234" s="30" t="str">
        <v/>
      </c>
      <c r="E234" s="21"/>
      <c r="F234" s="21"/>
      <c r="G234" s="21"/>
      <c r="H234" s="21"/>
      <c r="I234" s="20"/>
    </row>
    <row r="235" spans="1:9" x14ac:dyDescent="0.3">
      <c r="A235" s="18"/>
      <c r="B235" s="30" t="str">
        <v>U_USAGEEXAMPLES.XLSX</v>
      </c>
      <c r="C235" s="30" t="str">
        <v>CLICK TO NAVIGATE</v>
      </c>
      <c r="D235" s="30" t="str">
        <v/>
      </c>
      <c r="E235" s="21"/>
      <c r="F235" s="21"/>
      <c r="G235" s="21"/>
      <c r="H235" s="21"/>
      <c r="I235" s="20"/>
    </row>
    <row r="236" spans="1:9" x14ac:dyDescent="0.3">
      <c r="A236" s="18"/>
      <c r="B236" s="30" t="str">
        <v>U_USAGEEXAMPLES.XLSX</v>
      </c>
      <c r="C236" s="30" t="str">
        <v>CYCLE_NAMES</v>
      </c>
      <c r="D236" s="30" t="str">
        <v>Larry</v>
      </c>
      <c r="E236" s="21"/>
      <c r="F236" s="21"/>
      <c r="G236" s="21"/>
      <c r="H236" s="21"/>
      <c r="I236" s="20"/>
    </row>
    <row r="237" spans="1:9" x14ac:dyDescent="0.3">
      <c r="A237" s="18"/>
      <c r="B237" s="30" t="str">
        <v>U_USAGEEXAMPLES.XLSX</v>
      </c>
      <c r="C237" s="30" t="str">
        <v>HOVER_EXAMPLE</v>
      </c>
      <c r="D237" s="30" t="str">
        <v/>
      </c>
      <c r="E237" s="21"/>
      <c r="F237" s="21"/>
      <c r="G237" s="21"/>
      <c r="H237" s="21"/>
      <c r="I237" s="20"/>
    </row>
    <row r="238" spans="1:9" x14ac:dyDescent="0.3">
      <c r="A238" s="18"/>
      <c r="B238" s="30" t="str">
        <v>U_USAGEEXAMPLES.XLSX</v>
      </c>
      <c r="C238" s="30" t="str">
        <v>HOVER_EXAMPLE_2</v>
      </c>
      <c r="D238" s="30" t="str">
        <v/>
      </c>
      <c r="E238" s="21"/>
      <c r="F238" s="21"/>
      <c r="G238" s="21"/>
      <c r="H238" s="21"/>
      <c r="I238" s="20"/>
    </row>
    <row r="239" spans="1:9" x14ac:dyDescent="0.3">
      <c r="A239" s="18"/>
      <c r="B239" s="30" t="str">
        <v>U_USAGEEXAMPLES.XLSX</v>
      </c>
      <c r="C239" s="30" t="str">
        <v>HOVER_TOGGLE</v>
      </c>
      <c r="D239" s="30" t="b">
        <v>0</v>
      </c>
      <c r="E239" s="21"/>
      <c r="F239" s="21"/>
      <c r="G239" s="21"/>
      <c r="H239" s="21"/>
      <c r="I239" s="20"/>
    </row>
    <row r="240" spans="1:9" x14ac:dyDescent="0.3">
      <c r="A240" s="18"/>
      <c r="B240" s="30" t="str">
        <v>U_USAGEEXAMPLES.XLSX</v>
      </c>
      <c r="C240" s="30" t="str">
        <v>IMAGE_EXAMPLE</v>
      </c>
      <c r="D240" s="30" t="str">
        <v/>
      </c>
      <c r="E240" s="21"/>
      <c r="F240" s="21"/>
      <c r="G240" s="21"/>
      <c r="H240" s="21"/>
      <c r="I240" s="20"/>
    </row>
    <row r="241" spans="1:9" x14ac:dyDescent="0.3">
      <c r="A241" s="18"/>
      <c r="B241" s="30" t="str">
        <v>U_USAGEEXAMPLES.XLSX</v>
      </c>
      <c r="C241" s="30" t="str">
        <v>INCREMENTOR</v>
      </c>
      <c r="D241" s="30">
        <v>95</v>
      </c>
      <c r="E241" s="21"/>
      <c r="F241" s="21"/>
      <c r="G241" s="21"/>
      <c r="H241" s="21"/>
      <c r="I241" s="20"/>
    </row>
    <row r="242" spans="1:9" x14ac:dyDescent="0.3">
      <c r="A242" s="18"/>
      <c r="B242" s="30" t="str">
        <v>U_USAGEEXAMPLES.XLSX</v>
      </c>
      <c r="C242" s="30" t="str">
        <v>METHODS_NAV</v>
      </c>
      <c r="D242" s="30" t="str">
        <v/>
      </c>
      <c r="E242" s="21"/>
      <c r="F242" s="21"/>
      <c r="G242" s="21"/>
      <c r="H242" s="21"/>
      <c r="I242" s="20"/>
    </row>
    <row r="243" spans="1:9" x14ac:dyDescent="0.3">
      <c r="A243" s="18"/>
      <c r="B243" s="30" t="str">
        <v>U_USAGEEXAMPLES.XLSX</v>
      </c>
      <c r="C243" s="30" t="str">
        <v>MULTIRANGE</v>
      </c>
      <c r="D243" s="30" t="str">
        <v/>
      </c>
      <c r="E243" s="21"/>
      <c r="F243" s="21"/>
      <c r="G243" s="21"/>
      <c r="H243" s="21"/>
      <c r="I243" s="20"/>
    </row>
    <row r="244" spans="1:9" x14ac:dyDescent="0.3">
      <c r="A244" s="18"/>
      <c r="B244" s="30" t="str">
        <v>U_USAGEEXAMPLES.XLSX</v>
      </c>
      <c r="C244" s="30" t="str">
        <v>MY_CLICKVALS</v>
      </c>
      <c r="D244" s="30" t="str">
        <v>blah</v>
      </c>
      <c r="E244" s="21"/>
      <c r="F244" s="21"/>
      <c r="G244" s="21"/>
      <c r="H244" s="21"/>
      <c r="I244" s="20"/>
    </row>
    <row r="245" spans="1:9" x14ac:dyDescent="0.3">
      <c r="A245" s="18"/>
      <c r="B245" s="30" t="str">
        <v>U_USAGEEXAMPLES.XLSX</v>
      </c>
      <c r="C245" s="30" t="str">
        <v>PARAMS_NAV</v>
      </c>
      <c r="D245" s="30" t="str">
        <v/>
      </c>
      <c r="E245" s="21"/>
      <c r="F245" s="21"/>
      <c r="G245" s="21"/>
      <c r="H245" s="21"/>
      <c r="I245" s="20"/>
    </row>
    <row r="246" spans="1:9" x14ac:dyDescent="0.3">
      <c r="A246" s="18"/>
      <c r="B246" s="21"/>
      <c r="C246" s="21"/>
      <c r="D246" s="21"/>
      <c r="E246" s="21"/>
      <c r="F246" s="21"/>
      <c r="G246" s="21"/>
      <c r="H246" s="21"/>
      <c r="I246" s="20"/>
    </row>
    <row r="247" spans="1:9" x14ac:dyDescent="0.3">
      <c r="A247" s="18"/>
      <c r="B247" s="21"/>
      <c r="C247" s="21"/>
      <c r="D247" s="21"/>
      <c r="E247" s="21"/>
      <c r="F247" s="21"/>
      <c r="G247" s="21"/>
      <c r="H247" s="21"/>
      <c r="I247" s="20"/>
    </row>
    <row r="248" spans="1:9" ht="15" thickBot="1" x14ac:dyDescent="0.35">
      <c r="A248" s="22"/>
      <c r="B248" s="23"/>
      <c r="C248" s="23"/>
      <c r="D248" s="23"/>
      <c r="E248" s="23"/>
      <c r="F248" s="23"/>
      <c r="G248" s="23"/>
      <c r="H248" s="23"/>
      <c r="I248" s="24"/>
    </row>
  </sheetData>
  <mergeCells count="59">
    <mergeCell ref="K32:L34"/>
    <mergeCell ref="M32:S34"/>
    <mergeCell ref="T32:T34"/>
    <mergeCell ref="K46:L48"/>
    <mergeCell ref="M46:S48"/>
    <mergeCell ref="T46:T48"/>
    <mergeCell ref="K41:T41"/>
    <mergeCell ref="K42:L44"/>
    <mergeCell ref="M42:T44"/>
    <mergeCell ref="K45:L45"/>
    <mergeCell ref="M45:S45"/>
    <mergeCell ref="A204:H204"/>
    <mergeCell ref="K52:T52"/>
    <mergeCell ref="K53:L55"/>
    <mergeCell ref="M53:T55"/>
    <mergeCell ref="K56:L56"/>
    <mergeCell ref="M56:S56"/>
    <mergeCell ref="K57:L59"/>
    <mergeCell ref="M57:S59"/>
    <mergeCell ref="T57:T59"/>
    <mergeCell ref="K60:L62"/>
    <mergeCell ref="M60:S62"/>
    <mergeCell ref="T60:T62"/>
    <mergeCell ref="A164:H164"/>
    <mergeCell ref="K63:L65"/>
    <mergeCell ref="M63:S65"/>
    <mergeCell ref="T63:T65"/>
    <mergeCell ref="A3:H3"/>
    <mergeCell ref="K11:L13"/>
    <mergeCell ref="M11:S13"/>
    <mergeCell ref="T11:T13"/>
    <mergeCell ref="K23:L25"/>
    <mergeCell ref="M23:S25"/>
    <mergeCell ref="T23:T25"/>
    <mergeCell ref="K14:L16"/>
    <mergeCell ref="M14:S16"/>
    <mergeCell ref="T14:T16"/>
    <mergeCell ref="K17:L19"/>
    <mergeCell ref="M17:S19"/>
    <mergeCell ref="T17:T19"/>
    <mergeCell ref="K20:L22"/>
    <mergeCell ref="M20:S22"/>
    <mergeCell ref="T20:T22"/>
    <mergeCell ref="A229:H229"/>
    <mergeCell ref="K29:L31"/>
    <mergeCell ref="M29:S31"/>
    <mergeCell ref="T29:T31"/>
    <mergeCell ref="K6:T6"/>
    <mergeCell ref="K7:L9"/>
    <mergeCell ref="M7:T9"/>
    <mergeCell ref="K10:L10"/>
    <mergeCell ref="M10:S10"/>
    <mergeCell ref="K26:L28"/>
    <mergeCell ref="M26:S28"/>
    <mergeCell ref="T26:T28"/>
    <mergeCell ref="A191:H191"/>
    <mergeCell ref="K35:L37"/>
    <mergeCell ref="M35:S37"/>
    <mergeCell ref="T35:T37"/>
  </mergeCells>
  <conditionalFormatting sqref="B108:C120">
    <cfRule type="expression" dxfId="2" priority="2">
      <formula>NOT($G$105)</formula>
    </cfRule>
  </conditionalFormatting>
  <conditionalFormatting sqref="B117:C119">
    <cfRule type="expression" dxfId="1" priority="3">
      <formula>B117=$D$113</formula>
    </cfRule>
  </conditionalFormatting>
  <conditionalFormatting sqref="B132:C138">
    <cfRule type="expression" dxfId="0" priority="1">
      <formula>NOT($G$105)</formula>
    </cfRule>
  </conditionalFormatting>
  <pageMargins left="0.7" right="0.7" top="0.75" bottom="0.75" header="0.3" footer="0.3"/>
  <pageSetup orientation="portrait" r:id="rId1"/>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6"/>
  <dimension ref="A1:T158"/>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49.44140625" customWidth="1"/>
    <col min="4" max="4" width="29.44140625" bestFit="1" customWidth="1"/>
    <col min="5" max="6" width="20.5546875" customWidth="1"/>
    <col min="7" max="7" width="29.5546875" customWidth="1"/>
    <col min="8" max="9" width="20.5546875" customWidth="1"/>
    <col min="11" max="12" width="11.21875" customWidth="1"/>
    <col min="13" max="19" width="14.77734375" customWidth="1"/>
  </cols>
  <sheetData>
    <row r="1" spans="1:20" ht="34.5" customHeight="1" thickBot="1" x14ac:dyDescent="0.35">
      <c r="A1" s="292" t="s">
        <v>1580</v>
      </c>
      <c r="B1" s="473" t="e" vm="1">
        <v>#VALUE!</v>
      </c>
      <c r="C1" s="8" t="s">
        <v>1767</v>
      </c>
      <c r="D1" s="27"/>
      <c r="E1" s="16"/>
      <c r="F1" s="16"/>
      <c r="G1" s="16"/>
      <c r="H1" s="16"/>
      <c r="I1" s="19"/>
    </row>
    <row r="2" spans="1:20" ht="15" customHeight="1" x14ac:dyDescent="0.3">
      <c r="A2" s="18"/>
      <c r="B2" s="25"/>
      <c r="C2" s="25"/>
      <c r="D2" s="21"/>
      <c r="E2" s="21"/>
      <c r="F2" s="21"/>
      <c r="G2" s="21"/>
      <c r="H2" s="21"/>
      <c r="I2" s="20"/>
    </row>
    <row r="3" spans="1:20" ht="15" customHeight="1" x14ac:dyDescent="0.3">
      <c r="A3" s="18"/>
      <c r="B3" s="25"/>
      <c r="C3" s="25"/>
      <c r="D3" s="21"/>
      <c r="E3" s="21"/>
      <c r="F3" s="21"/>
      <c r="G3" s="21"/>
      <c r="H3" s="21"/>
      <c r="I3" s="20"/>
    </row>
    <row r="4" spans="1:20" ht="15" customHeight="1" x14ac:dyDescent="0.3">
      <c r="A4" s="18"/>
      <c r="B4" s="190" t="s">
        <v>1749</v>
      </c>
      <c r="C4" s="21"/>
      <c r="D4" s="101" t="s">
        <v>3539</v>
      </c>
      <c r="E4" s="21"/>
      <c r="F4" s="21"/>
      <c r="G4" s="21"/>
      <c r="H4" s="21"/>
      <c r="I4" s="20"/>
      <c r="K4" s="486" t="s">
        <v>3539</v>
      </c>
      <c r="L4" s="486"/>
      <c r="M4" s="486"/>
      <c r="N4" s="486"/>
      <c r="O4" s="486"/>
      <c r="P4" s="486"/>
      <c r="Q4" s="486"/>
      <c r="R4" s="486"/>
      <c r="S4" s="486"/>
      <c r="T4" s="486"/>
    </row>
    <row r="5" spans="1:20" ht="15" customHeight="1" x14ac:dyDescent="0.3">
      <c r="A5" s="18"/>
      <c r="B5" s="79" t="s">
        <v>1770</v>
      </c>
      <c r="C5" s="21"/>
      <c r="D5" s="30" t="str" cm="1">
        <f t="array" ref="D5">_xll.U.KEYBOARD_SHORTCUT(B5,B8)</f>
        <v>CTRL + ALT + C</v>
      </c>
      <c r="E5" s="21"/>
      <c r="F5" s="21"/>
      <c r="G5" s="21"/>
      <c r="H5" s="21"/>
      <c r="I5" s="20"/>
      <c r="K5" s="487" t="s">
        <v>333</v>
      </c>
      <c r="L5" s="487"/>
      <c r="M5" s="487" t="s">
        <v>1761</v>
      </c>
      <c r="N5" s="487"/>
      <c r="O5" s="487"/>
      <c r="P5" s="487"/>
      <c r="Q5" s="487"/>
      <c r="R5" s="487"/>
      <c r="S5" s="487"/>
      <c r="T5" s="487"/>
    </row>
    <row r="6" spans="1:20" x14ac:dyDescent="0.3">
      <c r="A6" s="18"/>
      <c r="B6" s="21"/>
      <c r="C6" s="21"/>
      <c r="D6" s="21"/>
      <c r="E6" s="21"/>
      <c r="F6" s="21"/>
      <c r="G6" s="21"/>
      <c r="H6" s="21"/>
      <c r="I6" s="20"/>
      <c r="K6" s="487"/>
      <c r="L6" s="487"/>
      <c r="M6" s="487"/>
      <c r="N6" s="487"/>
      <c r="O6" s="487"/>
      <c r="P6" s="487"/>
      <c r="Q6" s="487"/>
      <c r="R6" s="487"/>
      <c r="S6" s="487"/>
      <c r="T6" s="487"/>
    </row>
    <row r="7" spans="1:20" x14ac:dyDescent="0.3">
      <c r="A7" s="18"/>
      <c r="B7" s="190" t="s">
        <v>3540</v>
      </c>
      <c r="C7" s="21"/>
      <c r="D7" s="21"/>
      <c r="E7" s="21"/>
      <c r="F7" s="21"/>
      <c r="G7" s="21"/>
      <c r="H7" s="21"/>
      <c r="I7" s="20"/>
      <c r="K7" s="487"/>
      <c r="L7" s="487"/>
      <c r="M7" s="487"/>
      <c r="N7" s="487"/>
      <c r="O7" s="487"/>
      <c r="P7" s="487"/>
      <c r="Q7" s="487"/>
      <c r="R7" s="487"/>
      <c r="S7" s="487"/>
      <c r="T7" s="487"/>
    </row>
    <row r="8" spans="1:20" x14ac:dyDescent="0.3">
      <c r="A8" s="18"/>
      <c r="B8" s="307" cm="1">
        <f t="array" ref="B8">_xll.U.NOW()</f>
        <v>46145.893240740697</v>
      </c>
      <c r="C8" s="21"/>
      <c r="D8" s="21"/>
      <c r="E8" s="21"/>
      <c r="F8" s="21"/>
      <c r="G8" s="21"/>
      <c r="H8" s="21"/>
      <c r="I8" s="20"/>
      <c r="K8" s="483" t="s">
        <v>323</v>
      </c>
      <c r="L8" s="483"/>
      <c r="M8" s="483" t="s">
        <v>1</v>
      </c>
      <c r="N8" s="483"/>
      <c r="O8" s="483"/>
      <c r="P8" s="483"/>
      <c r="Q8" s="483"/>
      <c r="R8" s="483"/>
      <c r="S8" s="483"/>
      <c r="T8" s="85" t="s">
        <v>324</v>
      </c>
    </row>
    <row r="9" spans="1:20" x14ac:dyDescent="0.3">
      <c r="A9" s="18"/>
      <c r="B9" s="21"/>
      <c r="C9" s="21"/>
      <c r="D9" s="21"/>
      <c r="E9" s="21"/>
      <c r="F9" s="21"/>
      <c r="G9" s="21"/>
      <c r="H9" s="21"/>
      <c r="I9" s="20"/>
      <c r="K9" s="487" t="s">
        <v>1750</v>
      </c>
      <c r="L9" s="487"/>
      <c r="M9" s="487" t="s">
        <v>1766</v>
      </c>
      <c r="N9" s="487"/>
      <c r="O9" s="487"/>
      <c r="P9" s="487"/>
      <c r="Q9" s="487"/>
      <c r="R9" s="487"/>
      <c r="S9" s="487"/>
      <c r="T9" s="509" t="s">
        <v>325</v>
      </c>
    </row>
    <row r="10" spans="1:20" x14ac:dyDescent="0.3">
      <c r="A10" s="18"/>
      <c r="B10" s="21"/>
      <c r="C10" s="21"/>
      <c r="D10" s="21"/>
      <c r="E10" s="21"/>
      <c r="F10" s="21"/>
      <c r="G10" s="21"/>
      <c r="H10" s="21"/>
      <c r="I10" s="20"/>
      <c r="K10" s="487"/>
      <c r="L10" s="487"/>
      <c r="M10" s="487"/>
      <c r="N10" s="487"/>
      <c r="O10" s="487"/>
      <c r="P10" s="487"/>
      <c r="Q10" s="487"/>
      <c r="R10" s="487"/>
      <c r="S10" s="487"/>
      <c r="T10" s="509"/>
    </row>
    <row r="11" spans="1:20" x14ac:dyDescent="0.3">
      <c r="A11" s="18"/>
      <c r="B11" s="21"/>
      <c r="C11" s="21"/>
      <c r="D11" s="21"/>
      <c r="E11" s="21"/>
      <c r="F11" s="21"/>
      <c r="G11" s="21"/>
      <c r="H11" s="21"/>
      <c r="I11" s="20"/>
      <c r="K11" s="487"/>
      <c r="L11" s="487"/>
      <c r="M11" s="487"/>
      <c r="N11" s="487"/>
      <c r="O11" s="487"/>
      <c r="P11" s="487"/>
      <c r="Q11" s="487"/>
      <c r="R11" s="487"/>
      <c r="S11" s="487"/>
      <c r="T11" s="509"/>
    </row>
    <row r="12" spans="1:20" x14ac:dyDescent="0.3">
      <c r="A12" s="18"/>
      <c r="B12" s="21"/>
      <c r="C12" s="21"/>
      <c r="D12" s="21"/>
      <c r="E12" s="21"/>
      <c r="F12" s="21"/>
      <c r="G12" s="21"/>
      <c r="H12" s="21"/>
      <c r="I12" s="20"/>
      <c r="K12" s="487" t="s">
        <v>538</v>
      </c>
      <c r="L12" s="487"/>
      <c r="M12" s="487" t="s">
        <v>3716</v>
      </c>
      <c r="N12" s="487"/>
      <c r="O12" s="487"/>
      <c r="P12" s="487"/>
      <c r="Q12" s="487"/>
      <c r="R12" s="487"/>
      <c r="S12" s="487"/>
      <c r="T12" s="509" t="s">
        <v>325</v>
      </c>
    </row>
    <row r="13" spans="1:20" x14ac:dyDescent="0.3">
      <c r="A13" s="18"/>
      <c r="B13" s="21"/>
      <c r="C13" s="21"/>
      <c r="D13" s="21"/>
      <c r="E13" s="21"/>
      <c r="F13" s="21"/>
      <c r="G13" s="21"/>
      <c r="H13" s="21"/>
      <c r="I13" s="20"/>
      <c r="K13" s="487"/>
      <c r="L13" s="487"/>
      <c r="M13" s="487"/>
      <c r="N13" s="487"/>
      <c r="O13" s="487"/>
      <c r="P13" s="487"/>
      <c r="Q13" s="487"/>
      <c r="R13" s="487"/>
      <c r="S13" s="487"/>
      <c r="T13" s="509"/>
    </row>
    <row r="14" spans="1:20" x14ac:dyDescent="0.3">
      <c r="A14" s="18"/>
      <c r="B14" s="21"/>
      <c r="C14" s="21"/>
      <c r="D14" s="21"/>
      <c r="E14" s="21"/>
      <c r="F14" s="21"/>
      <c r="G14" s="21"/>
      <c r="H14" s="21"/>
      <c r="I14" s="20"/>
      <c r="K14" s="487"/>
      <c r="L14" s="487"/>
      <c r="M14" s="487"/>
      <c r="N14" s="487"/>
      <c r="O14" s="487"/>
      <c r="P14" s="487"/>
      <c r="Q14" s="487"/>
      <c r="R14" s="487"/>
      <c r="S14" s="487"/>
      <c r="T14" s="509"/>
    </row>
    <row r="15" spans="1:20" x14ac:dyDescent="0.3">
      <c r="A15" s="18"/>
      <c r="B15" s="21"/>
      <c r="C15" s="21"/>
      <c r="D15" s="21"/>
      <c r="E15" s="21"/>
      <c r="F15" s="21"/>
      <c r="G15" s="21"/>
      <c r="H15" s="21"/>
      <c r="I15" s="20"/>
      <c r="K15" s="484" t="s">
        <v>949</v>
      </c>
      <c r="L15" s="484"/>
      <c r="M15" s="484" t="s">
        <v>3717</v>
      </c>
      <c r="N15" s="484"/>
      <c r="O15" s="484"/>
      <c r="P15" s="484"/>
      <c r="Q15" s="484"/>
      <c r="R15" s="484"/>
      <c r="S15" s="484"/>
      <c r="T15" s="485" t="s">
        <v>326</v>
      </c>
    </row>
    <row r="16" spans="1:20" x14ac:dyDescent="0.3">
      <c r="A16" s="18"/>
      <c r="B16" s="21"/>
      <c r="C16" s="21"/>
      <c r="D16" s="21"/>
      <c r="E16" s="21"/>
      <c r="F16" s="21"/>
      <c r="G16" s="21"/>
      <c r="H16" s="21"/>
      <c r="I16" s="20"/>
      <c r="K16" s="484"/>
      <c r="L16" s="484"/>
      <c r="M16" s="484"/>
      <c r="N16" s="484"/>
      <c r="O16" s="484"/>
      <c r="P16" s="484"/>
      <c r="Q16" s="484"/>
      <c r="R16" s="484"/>
      <c r="S16" s="484"/>
      <c r="T16" s="485"/>
    </row>
    <row r="17" spans="1:20" ht="15" customHeight="1" x14ac:dyDescent="0.3">
      <c r="A17" s="18"/>
      <c r="B17" s="21"/>
      <c r="C17" s="21"/>
      <c r="D17" s="21"/>
      <c r="E17" s="21"/>
      <c r="F17" s="21"/>
      <c r="G17" s="21"/>
      <c r="H17" s="21"/>
      <c r="I17" s="20"/>
      <c r="K17" s="484"/>
      <c r="L17" s="484"/>
      <c r="M17" s="484"/>
      <c r="N17" s="484"/>
      <c r="O17" s="484"/>
      <c r="P17" s="484"/>
      <c r="Q17" s="484"/>
      <c r="R17" s="484"/>
      <c r="S17" s="484"/>
      <c r="T17" s="485"/>
    </row>
    <row r="18" spans="1:20" x14ac:dyDescent="0.3">
      <c r="A18" s="18"/>
      <c r="B18" s="21"/>
      <c r="C18" s="21"/>
      <c r="D18" s="21"/>
      <c r="E18" s="21"/>
      <c r="F18" s="21"/>
      <c r="G18" s="21"/>
      <c r="H18" s="21"/>
      <c r="I18" s="20"/>
      <c r="K18" s="484" t="s">
        <v>1751</v>
      </c>
      <c r="L18" s="484"/>
      <c r="M18" s="484" t="s">
        <v>1763</v>
      </c>
      <c r="N18" s="484"/>
      <c r="O18" s="484"/>
      <c r="P18" s="484"/>
      <c r="Q18" s="484"/>
      <c r="R18" s="484"/>
      <c r="S18" s="484"/>
      <c r="T18" s="485" t="s">
        <v>326</v>
      </c>
    </row>
    <row r="19" spans="1:20" x14ac:dyDescent="0.3">
      <c r="A19" s="18"/>
      <c r="B19" s="21"/>
      <c r="C19" s="21"/>
      <c r="D19" s="21"/>
      <c r="E19" s="21"/>
      <c r="F19" s="21"/>
      <c r="G19" s="21"/>
      <c r="H19" s="21"/>
      <c r="I19" s="20"/>
      <c r="K19" s="484"/>
      <c r="L19" s="484"/>
      <c r="M19" s="484"/>
      <c r="N19" s="484"/>
      <c r="O19" s="484"/>
      <c r="P19" s="484"/>
      <c r="Q19" s="484"/>
      <c r="R19" s="484"/>
      <c r="S19" s="484"/>
      <c r="T19" s="485"/>
    </row>
    <row r="20" spans="1:20" x14ac:dyDescent="0.3">
      <c r="A20" s="18"/>
      <c r="B20" s="21"/>
      <c r="C20" s="21"/>
      <c r="D20" s="21"/>
      <c r="E20" s="21"/>
      <c r="F20" s="21"/>
      <c r="G20" s="21"/>
      <c r="H20" s="21"/>
      <c r="I20" s="20"/>
      <c r="K20" s="484"/>
      <c r="L20" s="484"/>
      <c r="M20" s="484"/>
      <c r="N20" s="484"/>
      <c r="O20" s="484"/>
      <c r="P20" s="484"/>
      <c r="Q20" s="484"/>
      <c r="R20" s="484"/>
      <c r="S20" s="484"/>
      <c r="T20" s="485"/>
    </row>
    <row r="21" spans="1:20" x14ac:dyDescent="0.3">
      <c r="A21" s="18"/>
      <c r="B21" s="21"/>
      <c r="C21" s="21"/>
      <c r="D21" s="21"/>
      <c r="E21" s="21"/>
      <c r="F21" s="21"/>
      <c r="G21" s="21"/>
      <c r="H21" s="21"/>
      <c r="I21" s="20"/>
      <c r="K21" s="484" t="s">
        <v>1401</v>
      </c>
      <c r="L21" s="484"/>
      <c r="M21" s="484" t="s">
        <v>1764</v>
      </c>
      <c r="N21" s="484"/>
      <c r="O21" s="484"/>
      <c r="P21" s="484"/>
      <c r="Q21" s="484"/>
      <c r="R21" s="484"/>
      <c r="S21" s="484"/>
      <c r="T21" s="485" t="s">
        <v>326</v>
      </c>
    </row>
    <row r="22" spans="1:20" x14ac:dyDescent="0.3">
      <c r="A22" s="18"/>
      <c r="B22" s="21"/>
      <c r="C22" s="21"/>
      <c r="D22" s="21"/>
      <c r="E22" s="21"/>
      <c r="F22" s="21"/>
      <c r="G22" s="21"/>
      <c r="H22" s="21"/>
      <c r="I22" s="20"/>
      <c r="K22" s="484"/>
      <c r="L22" s="484"/>
      <c r="M22" s="484"/>
      <c r="N22" s="484"/>
      <c r="O22" s="484"/>
      <c r="P22" s="484"/>
      <c r="Q22" s="484"/>
      <c r="R22" s="484"/>
      <c r="S22" s="484"/>
      <c r="T22" s="485"/>
    </row>
    <row r="23" spans="1:20" x14ac:dyDescent="0.3">
      <c r="A23" s="18"/>
      <c r="B23" s="21"/>
      <c r="C23" s="21"/>
      <c r="D23" s="21"/>
      <c r="E23" s="21"/>
      <c r="F23" s="21"/>
      <c r="G23" s="21"/>
      <c r="H23" s="21"/>
      <c r="I23" s="20"/>
      <c r="K23" s="484"/>
      <c r="L23" s="484"/>
      <c r="M23" s="484"/>
      <c r="N23" s="484"/>
      <c r="O23" s="484"/>
      <c r="P23" s="484"/>
      <c r="Q23" s="484"/>
      <c r="R23" s="484"/>
      <c r="S23" s="484"/>
      <c r="T23" s="485"/>
    </row>
    <row r="24" spans="1:20" x14ac:dyDescent="0.3">
      <c r="A24" s="18"/>
      <c r="B24" s="190" t="s">
        <v>1749</v>
      </c>
      <c r="C24" s="21"/>
      <c r="D24" s="101" t="s">
        <v>3539</v>
      </c>
      <c r="E24" s="21"/>
      <c r="F24" s="21"/>
      <c r="G24" s="21"/>
      <c r="H24" s="21"/>
      <c r="I24" s="20"/>
      <c r="K24" s="484" t="s">
        <v>1752</v>
      </c>
      <c r="L24" s="484"/>
      <c r="M24" s="484" t="s">
        <v>1765</v>
      </c>
      <c r="N24" s="484"/>
      <c r="O24" s="484"/>
      <c r="P24" s="484"/>
      <c r="Q24" s="484"/>
      <c r="R24" s="484"/>
      <c r="S24" s="484"/>
      <c r="T24" s="485" t="s">
        <v>326</v>
      </c>
    </row>
    <row r="25" spans="1:20" x14ac:dyDescent="0.3">
      <c r="A25" s="18"/>
      <c r="B25" s="79" t="s">
        <v>1771</v>
      </c>
      <c r="C25" s="21"/>
      <c r="D25" s="30" t="str" cm="1">
        <f t="array" ref="D25">_xll.U.KEYBOARD_SHORTCUT(B25,B31,B28,TRUE)</f>
        <v>CTRL + ALT + T</v>
      </c>
      <c r="E25" s="21"/>
      <c r="F25" s="21"/>
      <c r="G25" s="21"/>
      <c r="H25" s="21"/>
      <c r="I25" s="20"/>
      <c r="K25" s="484"/>
      <c r="L25" s="484"/>
      <c r="M25" s="484"/>
      <c r="N25" s="484"/>
      <c r="O25" s="484"/>
      <c r="P25" s="484"/>
      <c r="Q25" s="484"/>
      <c r="R25" s="484"/>
      <c r="S25" s="484"/>
      <c r="T25" s="485"/>
    </row>
    <row r="26" spans="1:20" x14ac:dyDescent="0.3">
      <c r="A26" s="18"/>
      <c r="B26" s="21"/>
      <c r="C26" s="21"/>
      <c r="D26" s="21"/>
      <c r="E26" s="21"/>
      <c r="F26" s="21"/>
      <c r="G26" s="21"/>
      <c r="H26" s="21"/>
      <c r="I26" s="20"/>
      <c r="K26" s="484"/>
      <c r="L26" s="484"/>
      <c r="M26" s="484"/>
      <c r="N26" s="484"/>
      <c r="O26" s="484"/>
      <c r="P26" s="484"/>
      <c r="Q26" s="484"/>
      <c r="R26" s="484"/>
      <c r="S26" s="484"/>
      <c r="T26" s="485"/>
    </row>
    <row r="27" spans="1:20" x14ac:dyDescent="0.3">
      <c r="A27" s="18"/>
      <c r="B27" s="190" t="s">
        <v>1755</v>
      </c>
      <c r="C27" s="21"/>
      <c r="D27" s="21"/>
      <c r="E27" s="21"/>
      <c r="F27" s="21"/>
      <c r="G27" s="21"/>
      <c r="H27" s="21"/>
      <c r="I27" s="20"/>
      <c r="K27" s="484" t="s">
        <v>3096</v>
      </c>
      <c r="L27" s="484"/>
      <c r="M27" s="484" t="s">
        <v>3097</v>
      </c>
      <c r="N27" s="484"/>
      <c r="O27" s="484"/>
      <c r="P27" s="484"/>
      <c r="Q27" s="484"/>
      <c r="R27" s="484"/>
      <c r="S27" s="484"/>
      <c r="T27" s="485" t="s">
        <v>326</v>
      </c>
    </row>
    <row r="28" spans="1:20" x14ac:dyDescent="0.3">
      <c r="A28" s="18"/>
      <c r="B28" s="308" cm="1">
        <f t="array" ref="B28">_xll.U.DO(_xll.U.RAND(1,1000),_xll.U.NOW(3))</f>
        <v>312</v>
      </c>
      <c r="C28" s="21"/>
      <c r="D28" s="21"/>
      <c r="E28" s="21"/>
      <c r="F28" s="21"/>
      <c r="G28" s="21"/>
      <c r="H28" s="21"/>
      <c r="I28" s="20"/>
      <c r="K28" s="484"/>
      <c r="L28" s="484"/>
      <c r="M28" s="484"/>
      <c r="N28" s="484"/>
      <c r="O28" s="484"/>
      <c r="P28" s="484"/>
      <c r="Q28" s="484"/>
      <c r="R28" s="484"/>
      <c r="S28" s="484"/>
      <c r="T28" s="485"/>
    </row>
    <row r="29" spans="1:20" x14ac:dyDescent="0.3">
      <c r="A29" s="18"/>
      <c r="B29" s="21"/>
      <c r="C29" s="21"/>
      <c r="D29" s="21"/>
      <c r="E29" s="21"/>
      <c r="F29" s="21"/>
      <c r="G29" s="21"/>
      <c r="H29" s="21"/>
      <c r="I29" s="20"/>
      <c r="K29" s="484"/>
      <c r="L29" s="484"/>
      <c r="M29" s="484"/>
      <c r="N29" s="484"/>
      <c r="O29" s="484"/>
      <c r="P29" s="484"/>
      <c r="Q29" s="484"/>
      <c r="R29" s="484"/>
      <c r="S29" s="484"/>
      <c r="T29" s="485"/>
    </row>
    <row r="30" spans="1:20" x14ac:dyDescent="0.3">
      <c r="A30" s="18"/>
      <c r="B30" s="190" t="s">
        <v>1756</v>
      </c>
      <c r="C30" s="21"/>
      <c r="D30" s="21"/>
      <c r="E30" s="21"/>
      <c r="F30" s="21"/>
      <c r="G30" s="21"/>
      <c r="H30" s="21"/>
      <c r="I30" s="20"/>
      <c r="K30" s="126" t="s">
        <v>328</v>
      </c>
    </row>
    <row r="31" spans="1:20" x14ac:dyDescent="0.3">
      <c r="A31" s="18"/>
      <c r="B31" s="80">
        <v>257</v>
      </c>
      <c r="C31" s="21"/>
      <c r="D31" s="21"/>
      <c r="E31" s="21"/>
      <c r="F31" s="21"/>
      <c r="G31" s="21"/>
      <c r="H31" s="21"/>
      <c r="I31" s="20"/>
    </row>
    <row r="32" spans="1:20" x14ac:dyDescent="0.3">
      <c r="A32" s="18"/>
      <c r="B32" s="21"/>
      <c r="C32" s="21"/>
      <c r="D32" s="21"/>
      <c r="E32" s="21"/>
      <c r="F32" s="21"/>
      <c r="G32" s="21"/>
      <c r="H32" s="21"/>
      <c r="I32" s="20"/>
    </row>
    <row r="33" spans="1:9" x14ac:dyDescent="0.3">
      <c r="A33" s="18"/>
      <c r="B33" s="21"/>
      <c r="C33" s="21"/>
      <c r="D33" s="21"/>
      <c r="E33" s="21"/>
      <c r="F33" s="21"/>
      <c r="G33" s="21"/>
      <c r="H33" s="21"/>
      <c r="I33" s="20"/>
    </row>
    <row r="34" spans="1:9" x14ac:dyDescent="0.3">
      <c r="A34" s="18"/>
      <c r="B34" s="21"/>
      <c r="C34" s="21"/>
      <c r="D34" s="21"/>
      <c r="E34" s="21"/>
      <c r="F34" s="21"/>
      <c r="G34" s="21"/>
      <c r="H34" s="21"/>
      <c r="I34" s="20"/>
    </row>
    <row r="35" spans="1:9" x14ac:dyDescent="0.3">
      <c r="A35" s="18"/>
      <c r="B35" s="21"/>
      <c r="C35" s="21"/>
      <c r="D35" s="21"/>
      <c r="E35" s="21"/>
      <c r="F35" s="21"/>
      <c r="G35" s="21"/>
      <c r="H35" s="21"/>
      <c r="I35" s="20"/>
    </row>
    <row r="36" spans="1:9" x14ac:dyDescent="0.3">
      <c r="A36" s="18"/>
      <c r="B36" s="21"/>
      <c r="C36" s="21"/>
      <c r="D36" s="21"/>
      <c r="E36" s="21"/>
      <c r="F36" s="21"/>
      <c r="G36" s="21"/>
      <c r="H36" s="21"/>
      <c r="I36" s="20"/>
    </row>
    <row r="37" spans="1:9" x14ac:dyDescent="0.3">
      <c r="A37" s="18"/>
      <c r="B37" s="21"/>
      <c r="C37" s="21"/>
      <c r="D37" s="21"/>
      <c r="E37" s="21"/>
      <c r="F37" s="21"/>
      <c r="G37" s="21"/>
      <c r="H37" s="21"/>
      <c r="I37" s="20"/>
    </row>
    <row r="38" spans="1:9" x14ac:dyDescent="0.3">
      <c r="A38" s="18"/>
      <c r="B38" s="21"/>
      <c r="C38" s="21"/>
      <c r="D38" s="21"/>
      <c r="E38" s="21"/>
      <c r="F38" s="21"/>
      <c r="G38" s="21"/>
      <c r="H38" s="21"/>
      <c r="I38" s="20"/>
    </row>
    <row r="39" spans="1:9" x14ac:dyDescent="0.3">
      <c r="A39" s="18"/>
      <c r="B39" s="21"/>
      <c r="C39" s="21"/>
      <c r="D39" s="21"/>
      <c r="E39" s="21"/>
      <c r="F39" s="21"/>
      <c r="G39" s="21"/>
      <c r="H39" s="21"/>
      <c r="I39" s="20"/>
    </row>
    <row r="40" spans="1:9" x14ac:dyDescent="0.3">
      <c r="A40" s="18"/>
      <c r="B40" s="21"/>
      <c r="C40" s="21"/>
      <c r="D40" s="21"/>
      <c r="E40" s="21"/>
      <c r="F40" s="21"/>
      <c r="G40" s="21"/>
      <c r="H40" s="21"/>
      <c r="I40" s="20"/>
    </row>
    <row r="41" spans="1:9" x14ac:dyDescent="0.3">
      <c r="A41" s="18"/>
      <c r="B41" s="21"/>
      <c r="C41" s="21"/>
      <c r="D41" s="21"/>
      <c r="E41" s="21"/>
      <c r="F41" s="21"/>
      <c r="G41" s="21"/>
      <c r="H41" s="21"/>
      <c r="I41" s="20"/>
    </row>
    <row r="42" spans="1:9" x14ac:dyDescent="0.3">
      <c r="A42" s="18"/>
      <c r="B42" s="21"/>
      <c r="C42" s="21"/>
      <c r="D42" s="21"/>
      <c r="E42" s="21"/>
      <c r="F42" s="21"/>
      <c r="G42" s="21"/>
      <c r="H42" s="21"/>
      <c r="I42" s="20"/>
    </row>
    <row r="43" spans="1:9" x14ac:dyDescent="0.3">
      <c r="A43" s="18"/>
      <c r="B43" s="21"/>
      <c r="C43" s="21"/>
      <c r="D43" s="21"/>
      <c r="E43" s="21"/>
      <c r="F43" s="21"/>
      <c r="G43" s="21"/>
      <c r="H43" s="21"/>
      <c r="I43" s="20"/>
    </row>
    <row r="44" spans="1:9" x14ac:dyDescent="0.3">
      <c r="A44" s="18"/>
      <c r="B44" s="21"/>
      <c r="C44" s="21"/>
      <c r="D44" s="21"/>
      <c r="E44" s="21"/>
      <c r="F44" s="21"/>
      <c r="G44" s="21"/>
      <c r="H44" s="21"/>
      <c r="I44" s="20"/>
    </row>
    <row r="45" spans="1:9" x14ac:dyDescent="0.3">
      <c r="A45" s="18"/>
      <c r="B45" s="21"/>
      <c r="C45" s="21"/>
      <c r="D45" s="21"/>
      <c r="E45" s="21"/>
      <c r="F45" s="21"/>
      <c r="G45" s="21"/>
      <c r="H45" s="21"/>
      <c r="I45" s="20"/>
    </row>
    <row r="46" spans="1:9" x14ac:dyDescent="0.3">
      <c r="A46" s="18"/>
      <c r="B46" s="190" t="s">
        <v>1749</v>
      </c>
      <c r="C46" s="21"/>
      <c r="D46" s="101" t="s">
        <v>3539</v>
      </c>
      <c r="E46" s="21"/>
      <c r="F46" s="21"/>
      <c r="G46" s="21"/>
      <c r="H46" s="21"/>
      <c r="I46" s="20"/>
    </row>
    <row r="47" spans="1:9" x14ac:dyDescent="0.3">
      <c r="A47" s="18"/>
      <c r="B47" s="79" t="s">
        <v>1769</v>
      </c>
      <c r="C47" s="21"/>
      <c r="D47" s="152" t="str" cm="1">
        <f t="array" ref="D47">_xll.U.KEYBOARD_SHORTCUT(B47,B50&amp;"",B28,,TRUE)</f>
        <v>CTRL + ALT + K</v>
      </c>
      <c r="E47" s="21"/>
      <c r="F47" s="21"/>
      <c r="G47" s="21"/>
      <c r="H47" s="21"/>
      <c r="I47" s="20"/>
    </row>
    <row r="48" spans="1:9" x14ac:dyDescent="0.3">
      <c r="A48" s="18"/>
      <c r="B48" s="21"/>
      <c r="C48" s="21"/>
      <c r="D48" s="21"/>
      <c r="E48" s="21"/>
      <c r="F48" s="21"/>
      <c r="G48" s="21"/>
      <c r="H48" s="21"/>
      <c r="I48" s="20"/>
    </row>
    <row r="49" spans="1:9" x14ac:dyDescent="0.3">
      <c r="A49" s="18"/>
      <c r="B49" s="190" t="s">
        <v>1757</v>
      </c>
      <c r="C49" s="21"/>
      <c r="D49" s="21"/>
      <c r="E49" s="21"/>
      <c r="F49" s="21"/>
      <c r="G49" s="21"/>
      <c r="H49" s="21"/>
      <c r="I49" s="20"/>
    </row>
    <row r="50" spans="1:9" ht="15" customHeight="1" x14ac:dyDescent="0.3">
      <c r="A50" s="18"/>
      <c r="B50" s="79" t="s">
        <v>1758</v>
      </c>
      <c r="C50" s="21"/>
      <c r="D50" s="21"/>
      <c r="E50" s="21"/>
      <c r="F50" s="21"/>
      <c r="G50" s="21"/>
      <c r="H50" s="21"/>
      <c r="I50" s="20"/>
    </row>
    <row r="51" spans="1:9" x14ac:dyDescent="0.3">
      <c r="A51" s="18"/>
      <c r="B51" s="21"/>
      <c r="C51" s="21"/>
      <c r="D51" s="21"/>
      <c r="E51" s="21"/>
      <c r="F51" s="21"/>
      <c r="G51" s="21"/>
      <c r="H51" s="21"/>
      <c r="I51" s="20"/>
    </row>
    <row r="52" spans="1:9" ht="15" customHeight="1" x14ac:dyDescent="0.3">
      <c r="A52" s="18"/>
      <c r="B52" s="190" t="s">
        <v>3541</v>
      </c>
      <c r="C52" s="21"/>
      <c r="D52" s="21"/>
      <c r="E52" s="21"/>
      <c r="F52" s="21"/>
      <c r="G52" s="21"/>
      <c r="H52" s="21"/>
      <c r="I52" s="20"/>
    </row>
    <row r="53" spans="1:9" x14ac:dyDescent="0.3">
      <c r="A53" s="18"/>
      <c r="B53" s="308" t="str" cm="1">
        <f t="array" ref="B53">_xll.U.GET_CLICKVAL(B50)</f>
        <v/>
      </c>
      <c r="C53" s="21"/>
      <c r="D53" s="21"/>
      <c r="E53" s="21"/>
      <c r="F53" s="21"/>
      <c r="G53" s="21"/>
      <c r="H53" s="21"/>
      <c r="I53" s="20"/>
    </row>
    <row r="54" spans="1:9" x14ac:dyDescent="0.3">
      <c r="A54" s="18"/>
      <c r="B54" s="21"/>
      <c r="C54" s="21"/>
      <c r="D54" s="21"/>
      <c r="E54" s="21"/>
      <c r="F54" s="21"/>
      <c r="G54" s="21"/>
      <c r="H54" s="21"/>
      <c r="I54" s="20"/>
    </row>
    <row r="55" spans="1:9" x14ac:dyDescent="0.3">
      <c r="A55" s="18"/>
      <c r="B55" s="21"/>
      <c r="C55" s="21"/>
      <c r="D55" s="21"/>
      <c r="E55" s="21"/>
      <c r="F55" s="21"/>
      <c r="G55" s="21"/>
      <c r="H55" s="21"/>
      <c r="I55" s="20"/>
    </row>
    <row r="56" spans="1:9" x14ac:dyDescent="0.3">
      <c r="A56" s="18"/>
      <c r="B56" s="21"/>
      <c r="C56" s="21"/>
      <c r="D56" s="21"/>
      <c r="E56" s="21"/>
      <c r="F56" s="21"/>
      <c r="G56" s="21"/>
      <c r="H56" s="21"/>
      <c r="I56" s="20"/>
    </row>
    <row r="57" spans="1:9" x14ac:dyDescent="0.3">
      <c r="A57" s="18"/>
      <c r="B57" s="21"/>
      <c r="C57" s="21"/>
      <c r="D57" s="21"/>
      <c r="E57" s="21"/>
      <c r="F57" s="21"/>
      <c r="G57" s="21"/>
      <c r="H57" s="21"/>
      <c r="I57" s="20"/>
    </row>
    <row r="58" spans="1:9" x14ac:dyDescent="0.3">
      <c r="A58" s="18"/>
      <c r="B58" s="21"/>
      <c r="C58" s="21"/>
      <c r="D58" s="21"/>
      <c r="E58" s="21"/>
      <c r="F58" s="21"/>
      <c r="G58" s="21"/>
      <c r="H58" s="21"/>
      <c r="I58" s="20"/>
    </row>
    <row r="59" spans="1:9" x14ac:dyDescent="0.3">
      <c r="A59" s="18"/>
      <c r="B59" s="21"/>
      <c r="C59" s="21"/>
      <c r="D59" s="21"/>
      <c r="E59" s="21"/>
      <c r="F59" s="21"/>
      <c r="G59" s="21"/>
      <c r="H59" s="21"/>
      <c r="I59" s="20"/>
    </row>
    <row r="60" spans="1:9" x14ac:dyDescent="0.3">
      <c r="A60" s="18"/>
      <c r="B60" s="21"/>
      <c r="C60" s="21"/>
      <c r="D60" s="21"/>
      <c r="E60" s="21"/>
      <c r="F60" s="21"/>
      <c r="G60" s="21"/>
      <c r="H60" s="21"/>
      <c r="I60" s="20"/>
    </row>
    <row r="61" spans="1:9" x14ac:dyDescent="0.3">
      <c r="A61" s="18"/>
      <c r="B61" s="21"/>
      <c r="C61" s="21"/>
      <c r="D61" s="21"/>
      <c r="E61" s="21"/>
      <c r="F61" s="21"/>
      <c r="G61" s="21"/>
      <c r="H61" s="21"/>
      <c r="I61" s="20"/>
    </row>
    <row r="62" spans="1:9" x14ac:dyDescent="0.3">
      <c r="A62" s="18"/>
      <c r="B62" s="21"/>
      <c r="C62" s="21"/>
      <c r="D62" s="21"/>
      <c r="E62" s="21"/>
      <c r="F62" s="21"/>
      <c r="G62" s="21"/>
      <c r="H62" s="21"/>
      <c r="I62" s="20"/>
    </row>
    <row r="63" spans="1:9" x14ac:dyDescent="0.3">
      <c r="A63" s="18"/>
      <c r="B63" s="21"/>
      <c r="C63" s="21"/>
      <c r="D63" s="21"/>
      <c r="E63" s="21"/>
      <c r="F63" s="21"/>
      <c r="G63" s="21"/>
      <c r="H63" s="21"/>
      <c r="I63" s="20"/>
    </row>
    <row r="64" spans="1:9" x14ac:dyDescent="0.3">
      <c r="A64" s="18"/>
      <c r="B64" s="21"/>
      <c r="C64" s="21"/>
      <c r="D64" s="21"/>
      <c r="E64" s="21"/>
      <c r="F64" s="21"/>
      <c r="G64" s="21"/>
      <c r="H64" s="21"/>
      <c r="I64" s="20"/>
    </row>
    <row r="65" spans="1:9" x14ac:dyDescent="0.3">
      <c r="A65" s="18"/>
      <c r="B65" s="21"/>
      <c r="C65" s="21"/>
      <c r="D65" s="21"/>
      <c r="E65" s="21"/>
      <c r="F65" s="21"/>
      <c r="G65" s="21"/>
      <c r="H65" s="21"/>
      <c r="I65" s="20"/>
    </row>
    <row r="66" spans="1:9" x14ac:dyDescent="0.3">
      <c r="A66" s="18"/>
      <c r="B66" s="21"/>
      <c r="C66" s="21"/>
      <c r="D66" s="21"/>
      <c r="E66" s="21"/>
      <c r="F66" s="21"/>
      <c r="G66" s="21"/>
      <c r="H66" s="21"/>
      <c r="I66" s="20"/>
    </row>
    <row r="67" spans="1:9" x14ac:dyDescent="0.3">
      <c r="A67" s="18"/>
      <c r="B67" s="21"/>
      <c r="C67" s="21"/>
      <c r="D67" s="21"/>
      <c r="E67" s="21"/>
      <c r="F67" s="21"/>
      <c r="G67" s="21"/>
      <c r="H67" s="21"/>
      <c r="I67" s="20"/>
    </row>
    <row r="68" spans="1:9" x14ac:dyDescent="0.3">
      <c r="A68" s="18"/>
      <c r="B68" s="21"/>
      <c r="C68" s="21"/>
      <c r="D68" s="21"/>
      <c r="E68" s="21"/>
      <c r="F68" s="21"/>
      <c r="G68" s="21"/>
      <c r="H68" s="21"/>
      <c r="I68" s="20"/>
    </row>
    <row r="69" spans="1:9" x14ac:dyDescent="0.3">
      <c r="A69" s="18"/>
      <c r="B69" s="21"/>
      <c r="C69" s="21"/>
      <c r="D69" s="21"/>
      <c r="E69" s="21"/>
      <c r="F69" s="21"/>
      <c r="G69" s="21"/>
      <c r="H69" s="21"/>
      <c r="I69" s="20"/>
    </row>
    <row r="70" spans="1:9" x14ac:dyDescent="0.3">
      <c r="A70" s="18"/>
      <c r="B70" s="21"/>
      <c r="C70" s="21"/>
      <c r="D70" s="21"/>
      <c r="E70" s="21"/>
      <c r="F70" s="21"/>
      <c r="G70" s="21"/>
      <c r="H70" s="21"/>
      <c r="I70" s="20"/>
    </row>
    <row r="71" spans="1:9" x14ac:dyDescent="0.3">
      <c r="A71" s="18"/>
      <c r="B71" s="21"/>
      <c r="C71" s="21"/>
      <c r="D71" s="21"/>
      <c r="E71" s="21"/>
      <c r="F71" s="21"/>
      <c r="G71" s="21"/>
      <c r="H71" s="21"/>
      <c r="I71" s="20"/>
    </row>
    <row r="72" spans="1:9" x14ac:dyDescent="0.3">
      <c r="A72" s="18"/>
      <c r="B72" s="21"/>
      <c r="C72" s="21"/>
      <c r="D72" s="21"/>
      <c r="F72" s="21"/>
      <c r="G72" s="21"/>
      <c r="H72" s="21"/>
      <c r="I72" s="20"/>
    </row>
    <row r="73" spans="1:9" x14ac:dyDescent="0.3">
      <c r="A73" s="18"/>
      <c r="B73" s="21"/>
      <c r="C73" s="21"/>
      <c r="D73" s="21"/>
      <c r="E73" s="21"/>
      <c r="F73" s="21"/>
      <c r="G73" s="21"/>
      <c r="H73" s="21"/>
      <c r="I73" s="20"/>
    </row>
    <row r="74" spans="1:9" x14ac:dyDescent="0.3">
      <c r="A74" s="18"/>
      <c r="B74" s="21"/>
      <c r="C74" s="21"/>
      <c r="D74" s="21"/>
      <c r="E74" s="21"/>
      <c r="F74" s="21"/>
      <c r="G74" s="21"/>
      <c r="H74" s="21"/>
      <c r="I74" s="20"/>
    </row>
    <row r="75" spans="1:9" x14ac:dyDescent="0.3">
      <c r="A75" s="18"/>
      <c r="B75" s="21"/>
      <c r="C75" s="21"/>
      <c r="D75" s="21"/>
      <c r="E75" s="21"/>
      <c r="F75" s="21"/>
      <c r="G75" s="21"/>
      <c r="H75" s="21"/>
      <c r="I75" s="20"/>
    </row>
    <row r="76" spans="1:9" x14ac:dyDescent="0.3">
      <c r="A76" s="18"/>
      <c r="B76" s="21"/>
      <c r="C76" s="21"/>
      <c r="D76" s="21"/>
      <c r="E76" s="21"/>
      <c r="F76" s="21"/>
      <c r="G76" s="21"/>
      <c r="H76" s="21"/>
      <c r="I76" s="20"/>
    </row>
    <row r="77" spans="1:9" x14ac:dyDescent="0.3">
      <c r="A77" s="18"/>
      <c r="B77" s="21"/>
      <c r="C77" s="21"/>
      <c r="D77" s="21"/>
      <c r="E77" s="21"/>
      <c r="F77" s="21"/>
      <c r="G77" s="21"/>
      <c r="H77" s="21"/>
      <c r="I77" s="20"/>
    </row>
    <row r="78" spans="1:9" ht="15" customHeight="1" x14ac:dyDescent="0.3">
      <c r="A78" s="18"/>
      <c r="B78" s="21"/>
      <c r="C78" s="21"/>
      <c r="D78" s="21"/>
      <c r="E78" s="21"/>
      <c r="F78" s="21"/>
      <c r="G78" s="21"/>
      <c r="H78" s="21"/>
      <c r="I78" s="20"/>
    </row>
    <row r="79" spans="1:9" ht="15" customHeight="1" x14ac:dyDescent="0.3">
      <c r="A79" s="18"/>
      <c r="B79" s="21"/>
      <c r="C79" s="21"/>
      <c r="D79" s="21"/>
      <c r="E79" s="21"/>
      <c r="F79" s="21"/>
      <c r="G79" s="21"/>
      <c r="H79" s="21"/>
      <c r="I79" s="20"/>
    </row>
    <row r="80" spans="1:9" ht="15" customHeight="1" x14ac:dyDescent="0.3">
      <c r="A80" s="18"/>
      <c r="B80" s="21"/>
      <c r="C80" s="21"/>
      <c r="D80" s="21"/>
      <c r="E80" s="21"/>
      <c r="F80" s="21"/>
      <c r="G80" s="21"/>
      <c r="H80" s="21"/>
      <c r="I80" s="20"/>
    </row>
    <row r="81" spans="1:9" ht="15" customHeight="1" x14ac:dyDescent="0.3">
      <c r="A81" s="18"/>
      <c r="B81" s="21"/>
      <c r="C81" s="21"/>
      <c r="D81" s="21"/>
      <c r="E81" s="21"/>
      <c r="F81" s="21"/>
      <c r="G81" s="21"/>
      <c r="H81" s="21"/>
      <c r="I81" s="20"/>
    </row>
    <row r="82" spans="1:9" ht="15" customHeight="1" x14ac:dyDescent="0.3">
      <c r="A82" s="18"/>
      <c r="B82" s="190" t="s">
        <v>1749</v>
      </c>
      <c r="C82" s="21"/>
      <c r="D82" s="101" t="s">
        <v>3539</v>
      </c>
      <c r="E82" s="21"/>
      <c r="F82" s="21"/>
      <c r="G82" s="21"/>
      <c r="H82" s="21"/>
      <c r="I82" s="20"/>
    </row>
    <row r="83" spans="1:9" ht="15" customHeight="1" x14ac:dyDescent="0.3">
      <c r="A83" s="18"/>
      <c r="B83" s="79" t="s">
        <v>1769</v>
      </c>
      <c r="C83" s="21"/>
      <c r="D83" s="152" t="str" cm="1">
        <f t="array" ref="D83">_xll.U.KEYBOARD_SHORTCUT(B83,B89,B86,,,B89)</f>
        <v>CTRL + ALT + K</v>
      </c>
      <c r="E83" s="21"/>
      <c r="F83" s="21"/>
      <c r="G83" s="21"/>
      <c r="H83" s="21"/>
      <c r="I83" s="20"/>
    </row>
    <row r="84" spans="1:9" ht="15" customHeight="1" x14ac:dyDescent="0.3">
      <c r="A84" s="18"/>
      <c r="B84" s="21"/>
      <c r="C84" s="21"/>
      <c r="D84" s="21"/>
      <c r="E84" s="21"/>
      <c r="F84" s="21"/>
      <c r="G84" s="21"/>
      <c r="H84" s="21"/>
      <c r="I84" s="20"/>
    </row>
    <row r="85" spans="1:9" ht="15" customHeight="1" x14ac:dyDescent="0.3">
      <c r="A85" s="18"/>
      <c r="B85" s="190" t="s">
        <v>1755</v>
      </c>
      <c r="C85" s="21"/>
      <c r="D85" s="21"/>
      <c r="E85" s="21"/>
      <c r="F85" s="21"/>
      <c r="G85" s="21"/>
      <c r="H85" s="21"/>
      <c r="I85" s="20"/>
    </row>
    <row r="86" spans="1:9" ht="15" customHeight="1" x14ac:dyDescent="0.3">
      <c r="A86" s="18"/>
      <c r="B86" s="308" cm="1">
        <f t="array" ref="B86">_xll.U.DO(_xll.U.RAND(1,1000),_xll.U.NOW(3))</f>
        <v>543</v>
      </c>
      <c r="C86" s="21"/>
      <c r="D86" s="21"/>
      <c r="E86" s="21"/>
      <c r="F86" s="21"/>
      <c r="G86" s="21"/>
      <c r="H86" s="21"/>
      <c r="I86" s="20"/>
    </row>
    <row r="87" spans="1:9" ht="15" customHeight="1" x14ac:dyDescent="0.3">
      <c r="A87" s="18"/>
      <c r="B87" s="21"/>
      <c r="C87" s="21"/>
      <c r="D87" s="21"/>
      <c r="E87" s="21"/>
      <c r="F87" s="21"/>
      <c r="G87" s="21"/>
      <c r="H87" s="21"/>
      <c r="I87" s="20"/>
    </row>
    <row r="88" spans="1:9" ht="15" customHeight="1" x14ac:dyDescent="0.3">
      <c r="A88" s="18"/>
      <c r="B88" s="190" t="s">
        <v>1756</v>
      </c>
      <c r="C88" s="21"/>
      <c r="D88" s="21"/>
      <c r="E88" s="21"/>
      <c r="F88" s="21"/>
      <c r="G88" s="21"/>
      <c r="H88" s="21"/>
      <c r="I88" s="20"/>
    </row>
    <row r="89" spans="1:9" ht="15" customHeight="1" x14ac:dyDescent="0.3">
      <c r="A89" s="18"/>
      <c r="B89" s="80">
        <v>260</v>
      </c>
      <c r="C89" s="21"/>
      <c r="D89" s="21"/>
      <c r="E89" s="21"/>
      <c r="F89" s="21"/>
      <c r="G89" s="21"/>
      <c r="H89" s="21"/>
      <c r="I89" s="20"/>
    </row>
    <row r="90" spans="1:9" ht="15" customHeight="1" x14ac:dyDescent="0.3">
      <c r="A90" s="18"/>
      <c r="B90" s="21"/>
      <c r="C90" s="21"/>
      <c r="D90" s="21"/>
      <c r="E90" s="21"/>
      <c r="F90" s="21"/>
      <c r="G90" s="21"/>
      <c r="H90" s="21"/>
      <c r="I90" s="20"/>
    </row>
    <row r="91" spans="1:9" ht="15" customHeight="1" x14ac:dyDescent="0.3">
      <c r="A91" s="18"/>
      <c r="B91" s="21"/>
      <c r="C91" s="21"/>
      <c r="D91" s="21"/>
      <c r="E91" s="21"/>
      <c r="F91" s="21"/>
      <c r="G91" s="21"/>
      <c r="H91" s="21"/>
      <c r="I91" s="20"/>
    </row>
    <row r="92" spans="1:9" ht="15" customHeight="1" x14ac:dyDescent="0.3">
      <c r="A92" s="18"/>
      <c r="B92" s="21"/>
      <c r="C92" s="21"/>
      <c r="D92" s="21"/>
      <c r="E92" s="21"/>
      <c r="F92" s="21"/>
      <c r="G92" s="21"/>
      <c r="H92" s="21"/>
      <c r="I92" s="20"/>
    </row>
    <row r="93" spans="1:9" ht="15" customHeight="1" x14ac:dyDescent="0.3">
      <c r="A93" s="18"/>
      <c r="B93" s="21"/>
      <c r="C93" s="21"/>
      <c r="D93" s="21"/>
      <c r="E93" s="21"/>
      <c r="F93" s="21"/>
      <c r="G93" s="21"/>
      <c r="H93" s="21"/>
      <c r="I93" s="20"/>
    </row>
    <row r="94" spans="1:9" ht="15" customHeight="1" x14ac:dyDescent="0.3">
      <c r="A94" s="18"/>
      <c r="B94" s="21"/>
      <c r="C94" s="21"/>
      <c r="D94" s="21"/>
      <c r="E94" s="21"/>
      <c r="F94" s="21"/>
      <c r="G94" s="21"/>
      <c r="H94" s="21"/>
      <c r="I94" s="20"/>
    </row>
    <row r="95" spans="1:9" ht="15" customHeight="1" x14ac:dyDescent="0.3">
      <c r="A95" s="18"/>
      <c r="B95" s="21"/>
      <c r="C95" s="21"/>
      <c r="D95" s="21"/>
      <c r="E95" s="21"/>
      <c r="F95" s="21"/>
      <c r="G95" s="21"/>
      <c r="H95" s="21"/>
      <c r="I95" s="20"/>
    </row>
    <row r="96" spans="1:9" ht="15" customHeight="1" x14ac:dyDescent="0.3">
      <c r="A96" s="18"/>
      <c r="B96" s="21"/>
      <c r="C96" s="21"/>
      <c r="D96" s="21"/>
      <c r="E96" s="21"/>
      <c r="F96" s="21"/>
      <c r="G96" s="21"/>
      <c r="H96" s="21"/>
      <c r="I96" s="20"/>
    </row>
    <row r="97" spans="1:9" ht="15" customHeight="1" x14ac:dyDescent="0.3">
      <c r="A97" s="18"/>
      <c r="B97" s="21"/>
      <c r="C97" s="21"/>
      <c r="D97" s="21"/>
      <c r="E97" s="21"/>
      <c r="F97" s="21"/>
      <c r="G97" s="21"/>
      <c r="H97" s="21"/>
      <c r="I97" s="20"/>
    </row>
    <row r="98" spans="1:9" x14ac:dyDescent="0.3">
      <c r="A98" s="18"/>
      <c r="B98" s="21"/>
      <c r="C98" s="21"/>
      <c r="D98" s="21"/>
      <c r="E98" s="21"/>
      <c r="F98" s="21"/>
      <c r="G98" s="21"/>
      <c r="H98" s="21"/>
      <c r="I98" s="20"/>
    </row>
    <row r="99" spans="1:9" x14ac:dyDescent="0.3">
      <c r="A99" s="18"/>
      <c r="B99" s="21"/>
      <c r="C99" s="21"/>
      <c r="D99" s="21"/>
      <c r="E99" s="21"/>
      <c r="F99" s="21"/>
      <c r="G99" s="21"/>
      <c r="H99" s="21"/>
      <c r="I99" s="20"/>
    </row>
    <row r="100" spans="1:9" x14ac:dyDescent="0.3">
      <c r="A100" s="18"/>
      <c r="B100" s="21"/>
      <c r="C100" s="21"/>
      <c r="D100" s="21"/>
      <c r="E100" s="21"/>
      <c r="F100" s="21"/>
      <c r="G100" s="21"/>
      <c r="H100" s="21"/>
      <c r="I100" s="20"/>
    </row>
    <row r="101" spans="1:9" x14ac:dyDescent="0.3">
      <c r="A101" s="18"/>
      <c r="B101" s="21"/>
      <c r="C101" s="21"/>
      <c r="D101" s="21"/>
      <c r="E101" s="21"/>
      <c r="F101" s="21"/>
      <c r="G101" s="21"/>
      <c r="H101" s="21"/>
      <c r="I101" s="20"/>
    </row>
    <row r="102" spans="1:9" x14ac:dyDescent="0.3">
      <c r="A102" s="18"/>
      <c r="B102" s="21"/>
      <c r="C102" s="21"/>
      <c r="D102" s="190" t="s">
        <v>1754</v>
      </c>
      <c r="E102" s="21"/>
      <c r="F102" s="21"/>
      <c r="G102" s="21"/>
      <c r="H102" s="21"/>
      <c r="I102" s="20"/>
    </row>
    <row r="103" spans="1:9" x14ac:dyDescent="0.3">
      <c r="A103" s="18"/>
      <c r="B103" s="21"/>
      <c r="C103" s="21"/>
      <c r="D103" s="146" t="str" cm="1">
        <f t="array" ref="D103">_xll.U.KEYBOARD_SHORTCUT("LAST")</f>
        <v>CTRL + S</v>
      </c>
      <c r="E103" s="21"/>
      <c r="F103" s="21"/>
      <c r="G103" s="21"/>
      <c r="H103" s="21"/>
      <c r="I103" s="20"/>
    </row>
    <row r="104" spans="1:9" ht="15" customHeight="1" x14ac:dyDescent="0.3">
      <c r="A104" s="18"/>
      <c r="B104" s="21"/>
      <c r="C104" s="21"/>
      <c r="D104" s="21"/>
      <c r="E104" s="21"/>
      <c r="F104" s="21"/>
      <c r="G104" s="21"/>
      <c r="H104" s="21"/>
      <c r="I104" s="20"/>
    </row>
    <row r="105" spans="1:9" x14ac:dyDescent="0.3">
      <c r="A105" s="18"/>
      <c r="B105" s="21"/>
      <c r="C105" s="21"/>
      <c r="D105" s="21"/>
      <c r="E105" s="21"/>
      <c r="F105" s="21"/>
      <c r="G105" s="21"/>
      <c r="H105" s="21"/>
      <c r="I105" s="20"/>
    </row>
    <row r="106" spans="1:9" x14ac:dyDescent="0.3">
      <c r="A106" s="18"/>
      <c r="B106" s="21"/>
      <c r="C106" s="21"/>
      <c r="D106" s="21"/>
      <c r="E106" s="21"/>
      <c r="F106" s="21"/>
      <c r="G106" s="21"/>
      <c r="H106" s="21"/>
      <c r="I106" s="20"/>
    </row>
    <row r="107" spans="1:9" x14ac:dyDescent="0.3">
      <c r="A107" s="18"/>
      <c r="B107" s="21"/>
      <c r="C107" s="21"/>
      <c r="D107" s="21"/>
      <c r="E107" s="21"/>
      <c r="F107" s="21"/>
      <c r="G107" s="21"/>
      <c r="H107" s="21"/>
      <c r="I107" s="20"/>
    </row>
    <row r="108" spans="1:9" ht="15" customHeight="1" x14ac:dyDescent="0.3">
      <c r="A108" s="18"/>
      <c r="B108" s="21"/>
      <c r="C108" s="21"/>
      <c r="D108" s="21"/>
      <c r="E108" s="21"/>
      <c r="F108" s="21"/>
      <c r="G108" s="21"/>
      <c r="H108" s="21"/>
      <c r="I108" s="20"/>
    </row>
    <row r="109" spans="1:9" x14ac:dyDescent="0.3">
      <c r="A109" s="18"/>
      <c r="B109" s="21"/>
      <c r="C109" s="21"/>
      <c r="D109" s="21"/>
      <c r="E109" s="21"/>
      <c r="F109" s="21"/>
      <c r="G109" s="21"/>
      <c r="H109" s="21"/>
      <c r="I109" s="20"/>
    </row>
    <row r="110" spans="1:9" x14ac:dyDescent="0.3">
      <c r="A110" s="18"/>
      <c r="B110" s="21"/>
      <c r="C110" s="21"/>
      <c r="D110" s="21"/>
      <c r="E110" s="21"/>
      <c r="F110" s="21"/>
      <c r="G110" s="21"/>
      <c r="H110" s="21"/>
      <c r="I110" s="20"/>
    </row>
    <row r="111" spans="1:9" ht="15" customHeight="1" x14ac:dyDescent="0.3">
      <c r="A111" s="18"/>
      <c r="B111" s="21"/>
      <c r="C111" s="21"/>
      <c r="D111" s="21"/>
      <c r="E111" s="21"/>
      <c r="F111" s="21"/>
      <c r="G111" s="21"/>
      <c r="H111" s="21"/>
      <c r="I111" s="20"/>
    </row>
    <row r="112" spans="1:9" x14ac:dyDescent="0.3">
      <c r="A112" s="18"/>
      <c r="B112" s="21"/>
      <c r="C112" s="21"/>
      <c r="D112" s="21"/>
      <c r="E112" s="21"/>
      <c r="F112" s="21"/>
      <c r="G112" s="21"/>
      <c r="H112" s="21"/>
      <c r="I112" s="20"/>
    </row>
    <row r="113" spans="1:9" x14ac:dyDescent="0.3">
      <c r="A113" s="18"/>
      <c r="B113" s="21"/>
      <c r="C113" s="21"/>
      <c r="D113" s="21"/>
      <c r="E113" s="21"/>
      <c r="F113" s="21"/>
      <c r="G113" s="21"/>
      <c r="H113" s="21"/>
      <c r="I113" s="20"/>
    </row>
    <row r="114" spans="1:9" x14ac:dyDescent="0.3">
      <c r="A114" s="18"/>
      <c r="B114" s="21"/>
      <c r="C114" s="21"/>
      <c r="D114" s="21"/>
      <c r="E114" s="21"/>
      <c r="F114" s="21"/>
      <c r="G114" s="21"/>
      <c r="H114" s="21"/>
      <c r="I114" s="20"/>
    </row>
    <row r="115" spans="1:9" x14ac:dyDescent="0.3">
      <c r="A115" s="18"/>
      <c r="B115" s="21"/>
      <c r="C115" s="21"/>
      <c r="D115" s="21"/>
      <c r="E115" s="21"/>
      <c r="F115" s="21"/>
      <c r="G115" s="21"/>
      <c r="H115" s="21"/>
      <c r="I115" s="20"/>
    </row>
    <row r="116" spans="1:9" x14ac:dyDescent="0.3">
      <c r="A116" s="18"/>
      <c r="B116" s="21"/>
      <c r="C116" s="21"/>
      <c r="D116" s="21"/>
      <c r="E116" s="21"/>
      <c r="F116" s="21"/>
      <c r="G116" s="21"/>
      <c r="H116" s="21"/>
      <c r="I116" s="20"/>
    </row>
    <row r="117" spans="1:9" x14ac:dyDescent="0.3">
      <c r="A117" s="18"/>
      <c r="B117" s="21"/>
      <c r="C117" s="21"/>
      <c r="D117" s="21"/>
      <c r="E117" s="21"/>
      <c r="F117" s="21"/>
      <c r="G117" s="21"/>
      <c r="H117" s="21"/>
      <c r="I117" s="20"/>
    </row>
    <row r="118" spans="1:9" x14ac:dyDescent="0.3">
      <c r="A118" s="18"/>
      <c r="B118" s="21"/>
      <c r="C118" s="21"/>
      <c r="D118" s="21"/>
      <c r="E118" s="21"/>
      <c r="F118" s="21"/>
      <c r="G118" s="21"/>
      <c r="H118" s="21"/>
      <c r="I118" s="20"/>
    </row>
    <row r="119" spans="1:9" x14ac:dyDescent="0.3">
      <c r="A119" s="18"/>
      <c r="B119" s="21"/>
      <c r="C119" s="21"/>
      <c r="D119" s="21"/>
      <c r="E119" s="21"/>
      <c r="F119" s="21"/>
      <c r="G119" s="21"/>
      <c r="H119" s="21"/>
      <c r="I119" s="20"/>
    </row>
    <row r="120" spans="1:9" x14ac:dyDescent="0.3">
      <c r="A120" s="18"/>
      <c r="B120" s="190" t="s">
        <v>1759</v>
      </c>
      <c r="C120" s="21"/>
      <c r="D120" s="101" t="s">
        <v>3539</v>
      </c>
      <c r="E120" s="21"/>
      <c r="F120" s="21"/>
      <c r="G120" s="21"/>
      <c r="H120" s="21"/>
      <c r="I120" s="20"/>
    </row>
    <row r="121" spans="1:9" x14ac:dyDescent="0.3">
      <c r="A121" s="18"/>
      <c r="B121" s="79" t="s">
        <v>1772</v>
      </c>
      <c r="C121" s="21"/>
      <c r="D121" s="30" t="str" cm="1">
        <f t="array" ref="D121">_xll.U.KEYBOARD_SHORTCUT(B121,B124,"time()",,TRUE)</f>
        <v>ESC - SETNOW - ESC</v>
      </c>
      <c r="E121" s="21"/>
      <c r="F121" s="21"/>
      <c r="G121" s="21"/>
      <c r="H121" s="21"/>
      <c r="I121" s="20"/>
    </row>
    <row r="122" spans="1:9" x14ac:dyDescent="0.3">
      <c r="A122" s="18"/>
      <c r="B122" s="21"/>
      <c r="C122" s="21"/>
      <c r="D122" s="21"/>
      <c r="E122" s="21"/>
      <c r="F122" s="21"/>
      <c r="G122" s="21"/>
      <c r="H122" s="21"/>
      <c r="I122" s="20"/>
    </row>
    <row r="123" spans="1:9" x14ac:dyDescent="0.3">
      <c r="A123" s="18"/>
      <c r="B123" s="190" t="s">
        <v>1760</v>
      </c>
      <c r="C123" s="21"/>
      <c r="D123" s="21"/>
      <c r="E123" s="21"/>
      <c r="F123" s="21"/>
      <c r="G123" s="21"/>
      <c r="H123" s="21"/>
      <c r="I123" s="20"/>
    </row>
    <row r="124" spans="1:9" x14ac:dyDescent="0.3">
      <c r="A124" s="18"/>
      <c r="B124" s="307">
        <v>44615.628118101849</v>
      </c>
      <c r="C124" s="21"/>
      <c r="D124" s="21"/>
      <c r="E124" s="21"/>
      <c r="F124" s="21"/>
      <c r="G124" s="21"/>
      <c r="H124" s="21"/>
      <c r="I124" s="20"/>
    </row>
    <row r="125" spans="1:9" x14ac:dyDescent="0.3">
      <c r="A125" s="18"/>
      <c r="B125" s="21"/>
      <c r="C125" s="21"/>
      <c r="D125" s="21"/>
      <c r="E125" s="21"/>
      <c r="F125" s="21"/>
      <c r="G125" s="21"/>
      <c r="H125" s="21"/>
      <c r="I125" s="20"/>
    </row>
    <row r="126" spans="1:9" x14ac:dyDescent="0.3">
      <c r="A126" s="18"/>
      <c r="B126" s="21"/>
      <c r="C126" s="21"/>
      <c r="D126" s="21"/>
      <c r="E126" s="21"/>
      <c r="F126" s="21"/>
      <c r="G126" s="21"/>
      <c r="H126" s="21"/>
      <c r="I126" s="20"/>
    </row>
    <row r="127" spans="1:9" x14ac:dyDescent="0.3">
      <c r="A127" s="18"/>
      <c r="B127" s="21"/>
      <c r="C127" s="21"/>
      <c r="D127" s="21"/>
      <c r="E127" s="21"/>
      <c r="F127" s="21"/>
      <c r="G127" s="21"/>
      <c r="H127" s="21"/>
      <c r="I127" s="20"/>
    </row>
    <row r="128" spans="1:9" x14ac:dyDescent="0.3">
      <c r="A128" s="18"/>
      <c r="B128" s="21"/>
      <c r="C128" s="21"/>
      <c r="D128" s="21"/>
      <c r="E128" s="21"/>
      <c r="F128" s="21"/>
      <c r="G128" s="21"/>
      <c r="H128" s="21"/>
      <c r="I128" s="20"/>
    </row>
    <row r="129" spans="1:9" x14ac:dyDescent="0.3">
      <c r="A129" s="18"/>
      <c r="B129" s="21"/>
      <c r="C129" s="21"/>
      <c r="D129" s="21"/>
      <c r="E129" s="21"/>
      <c r="F129" s="21"/>
      <c r="G129" s="21"/>
      <c r="H129" s="21"/>
      <c r="I129" s="20"/>
    </row>
    <row r="130" spans="1:9" x14ac:dyDescent="0.3">
      <c r="A130" s="18"/>
      <c r="B130" s="21"/>
      <c r="C130" s="21"/>
      <c r="D130" s="21"/>
      <c r="E130" s="21"/>
      <c r="F130" s="21"/>
      <c r="G130" s="21"/>
      <c r="H130" s="21"/>
      <c r="I130" s="20"/>
    </row>
    <row r="131" spans="1:9" x14ac:dyDescent="0.3">
      <c r="A131" s="18"/>
      <c r="B131" s="21"/>
      <c r="C131" s="21"/>
      <c r="D131" s="21"/>
      <c r="E131" s="21"/>
      <c r="F131" s="21"/>
      <c r="G131" s="21"/>
      <c r="H131" s="21"/>
      <c r="I131" s="20"/>
    </row>
    <row r="132" spans="1:9" x14ac:dyDescent="0.3">
      <c r="A132" s="18"/>
      <c r="B132" s="21"/>
      <c r="C132" s="21"/>
      <c r="D132" s="21"/>
      <c r="E132" s="21"/>
      <c r="F132" s="21"/>
      <c r="G132" s="21"/>
      <c r="H132" s="21"/>
      <c r="I132" s="20"/>
    </row>
    <row r="133" spans="1:9" x14ac:dyDescent="0.3">
      <c r="A133" s="18"/>
      <c r="B133" s="21"/>
      <c r="C133" s="21"/>
      <c r="D133" s="21"/>
      <c r="E133" s="21"/>
      <c r="F133" s="21"/>
      <c r="G133" s="21"/>
      <c r="H133" s="21"/>
      <c r="I133" s="20"/>
    </row>
    <row r="134" spans="1:9" x14ac:dyDescent="0.3">
      <c r="A134" s="18"/>
      <c r="B134" s="21"/>
      <c r="C134" s="21"/>
      <c r="D134" s="21"/>
      <c r="E134" s="21"/>
      <c r="F134" s="21"/>
      <c r="G134" s="21"/>
      <c r="H134" s="21"/>
      <c r="I134" s="20"/>
    </row>
    <row r="135" spans="1:9" x14ac:dyDescent="0.3">
      <c r="A135" s="18"/>
      <c r="B135" s="21"/>
      <c r="C135" s="21"/>
      <c r="D135" s="21"/>
      <c r="E135" s="21"/>
      <c r="F135" s="21"/>
      <c r="G135" s="21"/>
      <c r="H135" s="21"/>
      <c r="I135" s="20"/>
    </row>
    <row r="136" spans="1:9" x14ac:dyDescent="0.3">
      <c r="A136" s="18"/>
      <c r="B136" s="21"/>
      <c r="C136" s="21"/>
      <c r="D136" s="21"/>
      <c r="E136" s="21"/>
      <c r="F136" s="21"/>
      <c r="G136" s="21"/>
      <c r="H136" s="21"/>
      <c r="I136" s="20"/>
    </row>
    <row r="137" spans="1:9" x14ac:dyDescent="0.3">
      <c r="A137" s="18"/>
      <c r="B137" s="21"/>
      <c r="C137" s="21"/>
      <c r="D137" s="21"/>
      <c r="E137" s="21"/>
      <c r="F137" s="21"/>
      <c r="G137" s="21"/>
      <c r="H137" s="21"/>
      <c r="I137" s="20"/>
    </row>
    <row r="138" spans="1:9" x14ac:dyDescent="0.3">
      <c r="A138" s="18"/>
      <c r="B138" s="21"/>
      <c r="C138" s="21"/>
      <c r="D138" s="21"/>
      <c r="E138" s="21"/>
      <c r="F138" s="21"/>
      <c r="G138" s="21"/>
      <c r="H138" s="21"/>
      <c r="I138" s="20"/>
    </row>
    <row r="139" spans="1:9" x14ac:dyDescent="0.3">
      <c r="A139" s="18"/>
      <c r="B139" s="21"/>
      <c r="C139" s="21"/>
      <c r="D139" s="21"/>
      <c r="E139" s="21"/>
      <c r="F139" s="21"/>
      <c r="G139" s="21"/>
      <c r="H139" s="21"/>
      <c r="I139" s="20"/>
    </row>
    <row r="140" spans="1:9" x14ac:dyDescent="0.3">
      <c r="A140" s="18"/>
      <c r="B140" s="21"/>
      <c r="C140" s="21"/>
      <c r="D140" s="21"/>
      <c r="E140" s="21"/>
      <c r="F140" s="21"/>
      <c r="G140" s="21"/>
      <c r="H140" s="21"/>
      <c r="I140" s="20"/>
    </row>
    <row r="141" spans="1:9" x14ac:dyDescent="0.3">
      <c r="A141" s="18"/>
      <c r="B141" s="21"/>
      <c r="C141" s="21"/>
      <c r="D141" s="21"/>
      <c r="E141" s="21"/>
      <c r="F141" s="21"/>
      <c r="G141" s="21"/>
      <c r="H141" s="21"/>
      <c r="I141" s="20"/>
    </row>
    <row r="142" spans="1:9" x14ac:dyDescent="0.3">
      <c r="A142" s="18"/>
      <c r="B142" s="21"/>
      <c r="C142" s="21"/>
      <c r="D142" s="21"/>
      <c r="E142" s="21"/>
      <c r="F142" s="21"/>
      <c r="G142" s="21"/>
      <c r="H142" s="21"/>
      <c r="I142" s="20"/>
    </row>
    <row r="143" spans="1:9" x14ac:dyDescent="0.3">
      <c r="A143" s="18"/>
      <c r="B143" s="21"/>
      <c r="C143" s="21"/>
      <c r="D143" s="21"/>
      <c r="E143" s="21"/>
      <c r="F143" s="21"/>
      <c r="G143" s="21"/>
      <c r="H143" s="21"/>
      <c r="I143" s="20"/>
    </row>
    <row r="144" spans="1:9" x14ac:dyDescent="0.3">
      <c r="A144" s="18"/>
      <c r="B144" s="21"/>
      <c r="C144" s="21"/>
      <c r="D144" s="21"/>
      <c r="E144" s="21"/>
      <c r="F144" s="21"/>
      <c r="G144" s="21"/>
      <c r="H144" s="21"/>
      <c r="I144" s="20"/>
    </row>
    <row r="145" spans="1:9" x14ac:dyDescent="0.3">
      <c r="A145" s="18"/>
      <c r="B145" s="21"/>
      <c r="C145" s="21"/>
      <c r="D145" s="21"/>
      <c r="E145" s="21"/>
      <c r="F145" s="21"/>
      <c r="G145" s="21"/>
      <c r="H145" s="21"/>
      <c r="I145" s="20"/>
    </row>
    <row r="146" spans="1:9" x14ac:dyDescent="0.3">
      <c r="A146" s="18"/>
      <c r="B146" s="3" t="str">
        <f t="array" ref="B146:H154">_xll.U.PAD(_xll.U.KEYBOARD_SHORTCUT())</f>
        <v>Keys</v>
      </c>
      <c r="C146" s="3" t="str">
        <v>Type</v>
      </c>
      <c r="D146" s="3" t="str">
        <v>NumTargets</v>
      </c>
      <c r="E146" s="3" t="str">
        <v>Select</v>
      </c>
      <c r="F146" s="3" t="str">
        <v>Scope</v>
      </c>
      <c r="G146" s="3" t="str">
        <v>Replace</v>
      </c>
      <c r="H146" s="3" t="str">
        <v>Workbook</v>
      </c>
      <c r="I146" s="20"/>
    </row>
    <row r="147" spans="1:9" x14ac:dyDescent="0.3">
      <c r="A147" s="18"/>
      <c r="B147" s="30" t="str">
        <v/>
      </c>
      <c r="C147" s="30" t="str">
        <v>Last</v>
      </c>
      <c r="D147" s="30">
        <v>0</v>
      </c>
      <c r="E147" s="30" t="b">
        <v>0</v>
      </c>
      <c r="F147" s="30" t="str">
        <v>Local</v>
      </c>
      <c r="G147" s="30" t="b">
        <v>0</v>
      </c>
      <c r="H147" s="30" t="str">
        <v>U_UsageExamples.xlsx</v>
      </c>
      <c r="I147" s="20"/>
    </row>
    <row r="148" spans="1:9" x14ac:dyDescent="0.3">
      <c r="A148" s="18"/>
      <c r="B148" s="30" t="str">
        <v>CTRL + ALT + C</v>
      </c>
      <c r="C148" s="30" t="str">
        <v>Calc Range</v>
      </c>
      <c r="D148" s="30">
        <v>1</v>
      </c>
      <c r="E148" s="30" t="b">
        <v>0</v>
      </c>
      <c r="F148" s="30" t="str">
        <v>Local</v>
      </c>
      <c r="G148" s="30" t="b">
        <v>0</v>
      </c>
      <c r="H148" s="30" t="str">
        <v>U_UsageExamples.xlsx</v>
      </c>
      <c r="I148" s="20"/>
    </row>
    <row r="149" spans="1:9" x14ac:dyDescent="0.3">
      <c r="A149" s="18"/>
      <c r="B149" s="30" t="str">
        <v>CTRL + ALT + K</v>
      </c>
      <c r="C149" s="30" t="str">
        <v>Paste Values</v>
      </c>
      <c r="D149" s="30">
        <v>1</v>
      </c>
      <c r="E149" s="30" t="b">
        <v>0</v>
      </c>
      <c r="F149" s="30" t="str">
        <v>Local; Selection=[REF]{{36292#2249199282384!R89C2}}</v>
      </c>
      <c r="G149" s="30" t="b">
        <v>0</v>
      </c>
      <c r="H149" s="30" t="str">
        <v>U_UsageExamples.xlsx</v>
      </c>
      <c r="I149" s="20"/>
    </row>
    <row r="150" spans="1:9" x14ac:dyDescent="0.3">
      <c r="A150" s="18"/>
      <c r="B150" s="30" t="str">
        <v>CTRL + ALT + T</v>
      </c>
      <c r="C150" s="30" t="str">
        <v>Paste Values</v>
      </c>
      <c r="D150" s="30">
        <v>1</v>
      </c>
      <c r="E150" s="30" t="b">
        <v>1</v>
      </c>
      <c r="F150" s="30" t="str">
        <v>Local</v>
      </c>
      <c r="G150" s="30" t="b">
        <v>0</v>
      </c>
      <c r="H150" s="30" t="str">
        <v>U_UsageExamples.xlsx</v>
      </c>
      <c r="I150" s="20"/>
    </row>
    <row r="151" spans="1:9" x14ac:dyDescent="0.3">
      <c r="A151" s="18"/>
      <c r="B151" s="30" t="str">
        <v>ESC - SETNOW - ESC</v>
      </c>
      <c r="C151" s="30" t="str">
        <v>Paste Values</v>
      </c>
      <c r="D151" s="30">
        <v>1</v>
      </c>
      <c r="E151" s="30" t="b">
        <v>0</v>
      </c>
      <c r="F151" s="30" t="str">
        <v>Global</v>
      </c>
      <c r="G151" s="30" t="b">
        <v>0</v>
      </c>
      <c r="H151" s="30" t="str">
        <v>U_UsageExamples.xlsx</v>
      </c>
      <c r="I151" s="20"/>
    </row>
    <row r="152" spans="1:9" x14ac:dyDescent="0.3">
      <c r="A152" s="18"/>
      <c r="B152" s="30" t="str">
        <v>CTRL + ALT + K</v>
      </c>
      <c r="C152" s="30" t="str">
        <v>Set ClickVal</v>
      </c>
      <c r="D152" s="30">
        <v>0</v>
      </c>
      <c r="E152" s="30" t="b">
        <v>0</v>
      </c>
      <c r="F152" s="30" t="str">
        <v>Global</v>
      </c>
      <c r="G152" s="30" t="b">
        <v>0</v>
      </c>
      <c r="H152" s="30" t="str">
        <v>U_UsageExamples.xlsx</v>
      </c>
      <c r="I152" s="20"/>
    </row>
    <row r="153" spans="1:9" x14ac:dyDescent="0.3">
      <c r="A153" s="18"/>
      <c r="B153" s="30" t="str">
        <v/>
      </c>
      <c r="C153" s="30" t="str">
        <v/>
      </c>
      <c r="D153" s="30" t="str">
        <v/>
      </c>
      <c r="E153" s="30" t="str">
        <v/>
      </c>
      <c r="F153" s="30" t="str">
        <v/>
      </c>
      <c r="G153" s="30" t="str">
        <v/>
      </c>
      <c r="H153" s="30" t="str">
        <v/>
      </c>
      <c r="I153" s="20"/>
    </row>
    <row r="154" spans="1:9" x14ac:dyDescent="0.3">
      <c r="A154" s="18"/>
      <c r="B154" s="30" t="str">
        <v/>
      </c>
      <c r="C154" s="30" t="str">
        <v/>
      </c>
      <c r="D154" s="30" t="str">
        <v/>
      </c>
      <c r="E154" s="30" t="str">
        <v/>
      </c>
      <c r="F154" s="30" t="str">
        <v/>
      </c>
      <c r="G154" s="30" t="str">
        <v/>
      </c>
      <c r="H154" s="30" t="str">
        <v/>
      </c>
      <c r="I154" s="20"/>
    </row>
    <row r="155" spans="1:9" x14ac:dyDescent="0.3">
      <c r="A155" s="18"/>
      <c r="B155" s="21"/>
      <c r="C155" s="21"/>
      <c r="D155" s="21"/>
      <c r="E155" s="21"/>
      <c r="F155" s="21"/>
      <c r="G155" s="21"/>
      <c r="H155" s="21"/>
      <c r="I155" s="20"/>
    </row>
    <row r="156" spans="1:9" x14ac:dyDescent="0.3">
      <c r="A156" s="18"/>
      <c r="B156" s="21"/>
      <c r="C156" s="21"/>
      <c r="D156" s="21"/>
      <c r="E156" s="21"/>
      <c r="F156" s="21"/>
      <c r="G156" s="21"/>
      <c r="H156" s="21"/>
      <c r="I156" s="20"/>
    </row>
    <row r="157" spans="1:9" x14ac:dyDescent="0.3">
      <c r="A157" s="18"/>
      <c r="B157" s="21"/>
      <c r="C157" s="21"/>
      <c r="D157" s="21"/>
      <c r="E157" s="21"/>
      <c r="F157" s="21"/>
      <c r="G157" s="21"/>
      <c r="H157" s="21"/>
      <c r="I157" s="20"/>
    </row>
    <row r="158" spans="1:9" ht="15" thickBot="1" x14ac:dyDescent="0.35">
      <c r="A158" s="22"/>
      <c r="B158" s="23"/>
      <c r="C158" s="23"/>
      <c r="D158" s="23"/>
      <c r="E158" s="23"/>
      <c r="F158" s="23"/>
      <c r="G158" s="23"/>
      <c r="H158" s="23"/>
      <c r="I158" s="24"/>
    </row>
  </sheetData>
  <mergeCells count="26">
    <mergeCell ref="K27:L29"/>
    <mergeCell ref="M27:S29"/>
    <mergeCell ref="T27:T29"/>
    <mergeCell ref="K4:T4"/>
    <mergeCell ref="K5:L7"/>
    <mergeCell ref="M5:T7"/>
    <mergeCell ref="K8:L8"/>
    <mergeCell ref="M8:S8"/>
    <mergeCell ref="K9:L11"/>
    <mergeCell ref="M9:S11"/>
    <mergeCell ref="T9:T11"/>
    <mergeCell ref="K12:L14"/>
    <mergeCell ref="M12:S14"/>
    <mergeCell ref="T12:T14"/>
    <mergeCell ref="K15:L17"/>
    <mergeCell ref="M15:S17"/>
    <mergeCell ref="K24:L26"/>
    <mergeCell ref="M24:S26"/>
    <mergeCell ref="T24:T26"/>
    <mergeCell ref="T15:T17"/>
    <mergeCell ref="K18:L20"/>
    <mergeCell ref="M18:S20"/>
    <mergeCell ref="T18:T20"/>
    <mergeCell ref="K21:L23"/>
    <mergeCell ref="M21:S23"/>
    <mergeCell ref="T21:T23"/>
  </mergeCells>
  <pageMargins left="0.7" right="0.7" top="0.75" bottom="0.75" header="0.3" footer="0.3"/>
  <pageSetup orientation="portrait" r:id="rId1"/>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A592C-D4B3-40FE-A11B-DF80DC9664E3}">
  <sheetPr codeName="Sheet47"/>
  <dimension ref="A1:X93"/>
  <sheetViews>
    <sheetView workbookViewId="0">
      <pane ySplit="1" topLeftCell="A2" activePane="bottomLeft" state="frozen"/>
      <selection pane="bottomLeft" activeCell="A2" sqref="A2"/>
    </sheetView>
  </sheetViews>
  <sheetFormatPr defaultColWidth="9.21875" defaultRowHeight="14.4" x14ac:dyDescent="0.3"/>
  <cols>
    <col min="2" max="2" width="28.21875" customWidth="1"/>
    <col min="3" max="3" width="22.5546875" customWidth="1"/>
    <col min="4" max="4" width="29.44140625" bestFit="1" customWidth="1"/>
    <col min="5" max="6" width="20.5546875" customWidth="1"/>
    <col min="7" max="7" width="19.21875" customWidth="1"/>
    <col min="8" max="8" width="15.5546875" customWidth="1"/>
    <col min="9" max="9" width="24.77734375" bestFit="1" customWidth="1"/>
    <col min="10" max="10" width="20.5546875" customWidth="1"/>
    <col min="11" max="13" width="10.77734375" customWidth="1"/>
    <col min="15" max="16" width="11.21875" customWidth="1"/>
    <col min="17" max="23" width="14" customWidth="1"/>
  </cols>
  <sheetData>
    <row r="1" spans="1:24" ht="34.5" customHeight="1" thickBot="1" x14ac:dyDescent="0.35">
      <c r="A1" s="292" t="s">
        <v>1580</v>
      </c>
      <c r="B1" s="473" t="e" vm="1">
        <v>#VALUE!</v>
      </c>
      <c r="C1" s="8" t="s">
        <v>2590</v>
      </c>
      <c r="D1" s="27"/>
      <c r="E1" s="16"/>
      <c r="F1" s="16"/>
      <c r="G1" s="16"/>
      <c r="H1" s="16"/>
      <c r="I1" s="16"/>
      <c r="J1" s="16"/>
      <c r="K1" s="16"/>
      <c r="L1" s="16"/>
      <c r="M1" s="19"/>
    </row>
    <row r="2" spans="1:24" ht="15" customHeight="1" x14ac:dyDescent="0.3">
      <c r="A2" s="18"/>
      <c r="B2" s="25"/>
      <c r="C2" s="25"/>
      <c r="D2" s="21"/>
      <c r="E2" s="21"/>
      <c r="F2" s="21"/>
      <c r="G2" s="21"/>
      <c r="H2" s="21"/>
      <c r="I2" s="21"/>
      <c r="J2" s="21"/>
      <c r="K2" s="21"/>
      <c r="L2" s="21"/>
      <c r="M2" s="20"/>
    </row>
    <row r="3" spans="1:24" ht="15" customHeight="1" x14ac:dyDescent="0.3">
      <c r="A3" s="18"/>
      <c r="B3" s="190" t="s">
        <v>3071</v>
      </c>
      <c r="C3" s="79" t="b">
        <v>0</v>
      </c>
      <c r="D3" s="21"/>
      <c r="E3" s="21"/>
      <c r="F3" s="21"/>
      <c r="G3" s="21"/>
      <c r="H3" s="21"/>
      <c r="I3" s="21"/>
      <c r="J3" s="21"/>
      <c r="K3" s="21"/>
      <c r="L3" s="21"/>
      <c r="M3" s="20"/>
    </row>
    <row r="4" spans="1:24" ht="15" customHeight="1" x14ac:dyDescent="0.3">
      <c r="A4" s="18"/>
      <c r="B4" s="25"/>
      <c r="C4" s="25"/>
      <c r="D4" s="21"/>
      <c r="E4" s="21"/>
      <c r="F4" s="21"/>
      <c r="G4" s="21"/>
      <c r="H4" s="21"/>
      <c r="I4" s="21"/>
      <c r="J4" s="21"/>
      <c r="K4" s="21"/>
      <c r="L4" s="21"/>
      <c r="M4" s="20"/>
    </row>
    <row r="5" spans="1:24" ht="15" customHeight="1" x14ac:dyDescent="0.3">
      <c r="A5" s="18"/>
      <c r="B5" s="25"/>
      <c r="C5" s="25"/>
      <c r="D5" s="21"/>
      <c r="E5" s="21"/>
      <c r="F5" s="21"/>
      <c r="G5" s="21"/>
      <c r="H5" s="21"/>
      <c r="I5" s="21"/>
      <c r="J5" s="21"/>
      <c r="K5" s="21"/>
      <c r="L5" s="21"/>
      <c r="M5" s="20"/>
    </row>
    <row r="6" spans="1:24" ht="15" customHeight="1" x14ac:dyDescent="0.3">
      <c r="A6" s="18"/>
      <c r="B6" s="25"/>
      <c r="C6" s="25"/>
      <c r="D6" s="21"/>
      <c r="E6" s="21"/>
      <c r="F6" s="21"/>
      <c r="G6" s="21"/>
      <c r="H6" s="21"/>
      <c r="I6" s="21"/>
      <c r="J6" s="21"/>
      <c r="K6" s="21"/>
      <c r="L6" s="21"/>
      <c r="M6" s="20"/>
    </row>
    <row r="7" spans="1:24" ht="15" customHeight="1" x14ac:dyDescent="0.3">
      <c r="A7" s="18"/>
      <c r="B7" s="190" t="s">
        <v>2592</v>
      </c>
      <c r="C7" s="21"/>
      <c r="D7" s="101" t="s">
        <v>3542</v>
      </c>
      <c r="E7" s="21"/>
      <c r="F7" s="21"/>
      <c r="G7" s="21"/>
      <c r="H7" s="21"/>
      <c r="I7" s="21"/>
      <c r="J7" s="21"/>
      <c r="K7" s="21"/>
      <c r="L7" s="21"/>
      <c r="M7" s="20"/>
      <c r="O7" s="486" t="s">
        <v>3542</v>
      </c>
      <c r="P7" s="486"/>
      <c r="Q7" s="486"/>
      <c r="R7" s="486"/>
      <c r="S7" s="486"/>
      <c r="T7" s="486"/>
      <c r="U7" s="486"/>
      <c r="V7" s="486"/>
      <c r="W7" s="486"/>
      <c r="X7" s="486"/>
    </row>
    <row r="8" spans="1:24" ht="15" customHeight="1" x14ac:dyDescent="0.3">
      <c r="A8" s="18"/>
      <c r="B8" s="79" t="s">
        <v>2593</v>
      </c>
      <c r="C8" s="21"/>
      <c r="D8" s="94" t="str" cm="1">
        <f t="array" ref="D8">IF($C$3,_xll.U.LISTEN(B8,B11),"Not enabled")</f>
        <v>Not enabled</v>
      </c>
      <c r="E8" s="21"/>
      <c r="F8" s="21"/>
      <c r="G8" s="21"/>
      <c r="H8" s="21"/>
      <c r="I8" s="21"/>
      <c r="J8" s="21"/>
      <c r="K8" s="21"/>
      <c r="L8" s="21"/>
      <c r="M8" s="20"/>
      <c r="O8" s="487" t="s">
        <v>333</v>
      </c>
      <c r="P8" s="487"/>
      <c r="Q8" s="487" t="s">
        <v>2591</v>
      </c>
      <c r="R8" s="487"/>
      <c r="S8" s="487"/>
      <c r="T8" s="487"/>
      <c r="U8" s="487"/>
      <c r="V8" s="487"/>
      <c r="W8" s="487"/>
      <c r="X8" s="487"/>
    </row>
    <row r="9" spans="1:24" x14ac:dyDescent="0.3">
      <c r="A9" s="18"/>
      <c r="B9" s="21"/>
      <c r="C9" s="21"/>
      <c r="D9" s="21"/>
      <c r="E9" s="21"/>
      <c r="F9" s="21"/>
      <c r="G9" s="21"/>
      <c r="H9" s="21"/>
      <c r="I9" s="21"/>
      <c r="J9" s="21"/>
      <c r="K9" s="21"/>
      <c r="L9" s="21"/>
      <c r="M9" s="20"/>
      <c r="O9" s="487"/>
      <c r="P9" s="487"/>
      <c r="Q9" s="487"/>
      <c r="R9" s="487"/>
      <c r="S9" s="487"/>
      <c r="T9" s="487"/>
      <c r="U9" s="487"/>
      <c r="V9" s="487"/>
      <c r="W9" s="487"/>
      <c r="X9" s="487"/>
    </row>
    <row r="10" spans="1:24" x14ac:dyDescent="0.3">
      <c r="A10" s="18"/>
      <c r="B10" s="190" t="s">
        <v>3540</v>
      </c>
      <c r="C10" s="21"/>
      <c r="D10" s="21"/>
      <c r="E10" s="21"/>
      <c r="F10" s="21"/>
      <c r="G10" s="21"/>
      <c r="H10" s="21"/>
      <c r="I10" s="21"/>
      <c r="J10" s="21"/>
      <c r="K10" s="21"/>
      <c r="L10" s="21"/>
      <c r="M10" s="20"/>
      <c r="O10" s="487"/>
      <c r="P10" s="487"/>
      <c r="Q10" s="487"/>
      <c r="R10" s="487"/>
      <c r="S10" s="487"/>
      <c r="T10" s="487"/>
      <c r="U10" s="487"/>
      <c r="V10" s="487"/>
      <c r="W10" s="487"/>
      <c r="X10" s="487"/>
    </row>
    <row r="11" spans="1:24" x14ac:dyDescent="0.3">
      <c r="A11" s="18"/>
      <c r="B11" s="307" cm="1">
        <f t="array" ref="B11">_xll.U.NOW()</f>
        <v>46145.893226273103</v>
      </c>
      <c r="C11" s="21"/>
      <c r="D11" s="21"/>
      <c r="E11" s="21"/>
      <c r="F11" s="21"/>
      <c r="G11" s="21"/>
      <c r="H11" s="21"/>
      <c r="I11" s="21"/>
      <c r="J11" s="21"/>
      <c r="K11" s="21"/>
      <c r="L11" s="21"/>
      <c r="M11" s="20"/>
      <c r="O11" s="483" t="s">
        <v>323</v>
      </c>
      <c r="P11" s="483"/>
      <c r="Q11" s="483" t="s">
        <v>1</v>
      </c>
      <c r="R11" s="483"/>
      <c r="S11" s="483"/>
      <c r="T11" s="483"/>
      <c r="U11" s="483"/>
      <c r="V11" s="483"/>
      <c r="W11" s="483"/>
      <c r="X11" s="85" t="s">
        <v>324</v>
      </c>
    </row>
    <row r="12" spans="1:24" x14ac:dyDescent="0.3">
      <c r="A12" s="18"/>
      <c r="B12" s="21"/>
      <c r="C12" s="21"/>
      <c r="D12" s="21"/>
      <c r="E12" s="21"/>
      <c r="F12" s="21"/>
      <c r="G12" s="21"/>
      <c r="H12" s="21"/>
      <c r="I12" s="21"/>
      <c r="J12" s="21"/>
      <c r="K12" s="21"/>
      <c r="L12" s="21"/>
      <c r="M12" s="20"/>
      <c r="O12" s="487" t="s">
        <v>2594</v>
      </c>
      <c r="P12" s="487"/>
      <c r="Q12" s="487" t="s">
        <v>2602</v>
      </c>
      <c r="R12" s="487"/>
      <c r="S12" s="487"/>
      <c r="T12" s="487"/>
      <c r="U12" s="487"/>
      <c r="V12" s="487"/>
      <c r="W12" s="487"/>
      <c r="X12" s="509" t="s">
        <v>325</v>
      </c>
    </row>
    <row r="13" spans="1:24" x14ac:dyDescent="0.3">
      <c r="A13" s="18"/>
      <c r="B13" s="21"/>
      <c r="C13" s="21"/>
      <c r="D13" s="21"/>
      <c r="E13" s="21"/>
      <c r="F13" s="21"/>
      <c r="G13" s="21"/>
      <c r="H13" s="21"/>
      <c r="I13" s="21"/>
      <c r="J13" s="21"/>
      <c r="K13" s="21"/>
      <c r="L13" s="21"/>
      <c r="M13" s="20"/>
      <c r="O13" s="487"/>
      <c r="P13" s="487"/>
      <c r="Q13" s="487"/>
      <c r="R13" s="487"/>
      <c r="S13" s="487"/>
      <c r="T13" s="487"/>
      <c r="U13" s="487"/>
      <c r="V13" s="487"/>
      <c r="W13" s="487"/>
      <c r="X13" s="509"/>
    </row>
    <row r="14" spans="1:24" x14ac:dyDescent="0.3">
      <c r="A14" s="18"/>
      <c r="B14" s="21"/>
      <c r="C14" s="21"/>
      <c r="D14" s="21"/>
      <c r="E14" s="21"/>
      <c r="F14" s="21"/>
      <c r="G14" s="21"/>
      <c r="H14" s="21"/>
      <c r="I14" s="21"/>
      <c r="J14" s="21"/>
      <c r="K14" s="21"/>
      <c r="L14" s="21"/>
      <c r="M14" s="20"/>
      <c r="O14" s="487"/>
      <c r="P14" s="487"/>
      <c r="Q14" s="487"/>
      <c r="R14" s="487"/>
      <c r="S14" s="487"/>
      <c r="T14" s="487"/>
      <c r="U14" s="487"/>
      <c r="V14" s="487"/>
      <c r="W14" s="487"/>
      <c r="X14" s="509"/>
    </row>
    <row r="15" spans="1:24" x14ac:dyDescent="0.3">
      <c r="A15" s="18"/>
      <c r="B15" s="21"/>
      <c r="C15" s="21"/>
      <c r="D15" s="21"/>
      <c r="E15" s="21"/>
      <c r="F15" s="21"/>
      <c r="G15" s="21"/>
      <c r="H15" s="21"/>
      <c r="I15" s="21"/>
      <c r="J15" s="21"/>
      <c r="K15" s="21"/>
      <c r="L15" s="21"/>
      <c r="M15" s="20"/>
      <c r="O15" s="487" t="s">
        <v>538</v>
      </c>
      <c r="P15" s="487"/>
      <c r="Q15" s="487" t="s">
        <v>2596</v>
      </c>
      <c r="R15" s="487"/>
      <c r="S15" s="487"/>
      <c r="T15" s="487"/>
      <c r="U15" s="487"/>
      <c r="V15" s="487"/>
      <c r="W15" s="487"/>
      <c r="X15" s="509" t="s">
        <v>325</v>
      </c>
    </row>
    <row r="16" spans="1:24" x14ac:dyDescent="0.3">
      <c r="A16" s="18"/>
      <c r="B16" s="21"/>
      <c r="C16" s="21"/>
      <c r="D16" s="21"/>
      <c r="E16" s="21"/>
      <c r="F16" s="21"/>
      <c r="G16" s="21"/>
      <c r="H16" s="21"/>
      <c r="I16" s="21"/>
      <c r="J16" s="21"/>
      <c r="K16" s="21"/>
      <c r="L16" s="21"/>
      <c r="M16" s="20"/>
      <c r="O16" s="487"/>
      <c r="P16" s="487"/>
      <c r="Q16" s="487"/>
      <c r="R16" s="487"/>
      <c r="S16" s="487"/>
      <c r="T16" s="487"/>
      <c r="U16" s="487"/>
      <c r="V16" s="487"/>
      <c r="W16" s="487"/>
      <c r="X16" s="509"/>
    </row>
    <row r="17" spans="1:24" x14ac:dyDescent="0.3">
      <c r="A17" s="18"/>
      <c r="B17" s="21"/>
      <c r="C17" s="21"/>
      <c r="D17" s="21"/>
      <c r="E17" s="21"/>
      <c r="F17" s="21"/>
      <c r="G17" s="21"/>
      <c r="H17" s="21"/>
      <c r="I17" s="21"/>
      <c r="J17" s="21"/>
      <c r="K17" s="21"/>
      <c r="L17" s="21"/>
      <c r="M17" s="20"/>
      <c r="O17" s="487"/>
      <c r="P17" s="487"/>
      <c r="Q17" s="487"/>
      <c r="R17" s="487"/>
      <c r="S17" s="487"/>
      <c r="T17" s="487"/>
      <c r="U17" s="487"/>
      <c r="V17" s="487"/>
      <c r="W17" s="487"/>
      <c r="X17" s="509"/>
    </row>
    <row r="18" spans="1:24" x14ac:dyDescent="0.3">
      <c r="A18" s="18"/>
      <c r="B18" s="21"/>
      <c r="C18" s="21"/>
      <c r="D18" s="21"/>
      <c r="E18" s="21"/>
      <c r="F18" s="21"/>
      <c r="G18" s="21"/>
      <c r="H18" s="21"/>
      <c r="I18" s="21"/>
      <c r="J18" s="21"/>
      <c r="K18" s="21"/>
      <c r="L18" s="21"/>
      <c r="M18" s="20"/>
      <c r="O18" s="484" t="s">
        <v>949</v>
      </c>
      <c r="P18" s="484"/>
      <c r="Q18" s="484" t="s">
        <v>1762</v>
      </c>
      <c r="R18" s="484"/>
      <c r="S18" s="484"/>
      <c r="T18" s="484"/>
      <c r="U18" s="484"/>
      <c r="V18" s="484"/>
      <c r="W18" s="484"/>
      <c r="X18" s="485" t="s">
        <v>326</v>
      </c>
    </row>
    <row r="19" spans="1:24" x14ac:dyDescent="0.3">
      <c r="A19" s="18"/>
      <c r="B19" s="21"/>
      <c r="C19" s="21"/>
      <c r="D19" s="21"/>
      <c r="E19" s="21"/>
      <c r="F19" s="21"/>
      <c r="G19" s="21"/>
      <c r="H19" s="21"/>
      <c r="I19" s="21"/>
      <c r="J19" s="21"/>
      <c r="K19" s="21"/>
      <c r="L19" s="21"/>
      <c r="M19" s="20"/>
      <c r="O19" s="484"/>
      <c r="P19" s="484"/>
      <c r="Q19" s="484"/>
      <c r="R19" s="484"/>
      <c r="S19" s="484"/>
      <c r="T19" s="484"/>
      <c r="U19" s="484"/>
      <c r="V19" s="484"/>
      <c r="W19" s="484"/>
      <c r="X19" s="485"/>
    </row>
    <row r="20" spans="1:24" ht="15" customHeight="1" x14ac:dyDescent="0.3">
      <c r="A20" s="18"/>
      <c r="B20" s="21"/>
      <c r="C20" s="21"/>
      <c r="D20" s="21"/>
      <c r="E20" s="21"/>
      <c r="F20" s="21"/>
      <c r="G20" s="21"/>
      <c r="H20" s="21"/>
      <c r="I20" s="21"/>
      <c r="J20" s="21"/>
      <c r="K20" s="21"/>
      <c r="L20" s="21"/>
      <c r="M20" s="20"/>
      <c r="O20" s="484"/>
      <c r="P20" s="484"/>
      <c r="Q20" s="484"/>
      <c r="R20" s="484"/>
      <c r="S20" s="484"/>
      <c r="T20" s="484"/>
      <c r="U20" s="484"/>
      <c r="V20" s="484"/>
      <c r="W20" s="484"/>
      <c r="X20" s="485"/>
    </row>
    <row r="21" spans="1:24" x14ac:dyDescent="0.3">
      <c r="A21" s="18"/>
      <c r="B21" s="190" t="s">
        <v>2592</v>
      </c>
      <c r="C21" s="21"/>
      <c r="D21" s="101" t="s">
        <v>3542</v>
      </c>
      <c r="E21" s="21"/>
      <c r="F21" s="21"/>
      <c r="G21" s="21"/>
      <c r="H21" s="21"/>
      <c r="I21" s="21"/>
      <c r="J21" s="21"/>
      <c r="K21" s="21"/>
      <c r="L21" s="21"/>
      <c r="M21" s="20"/>
      <c r="O21" s="484" t="s">
        <v>1751</v>
      </c>
      <c r="P21" s="484"/>
      <c r="Q21" s="484" t="s">
        <v>1763</v>
      </c>
      <c r="R21" s="484"/>
      <c r="S21" s="484"/>
      <c r="T21" s="484"/>
      <c r="U21" s="484"/>
      <c r="V21" s="484"/>
      <c r="W21" s="484"/>
      <c r="X21" s="485" t="s">
        <v>326</v>
      </c>
    </row>
    <row r="22" spans="1:24" x14ac:dyDescent="0.3">
      <c r="A22" s="18"/>
      <c r="B22" s="79" t="s">
        <v>2630</v>
      </c>
      <c r="C22" s="21"/>
      <c r="D22" s="94" t="str" cm="1">
        <f t="array" ref="D22">IF($C$3,_xll.U.LISTEN(B22,B28,B25,TRUE),"Not enabled")</f>
        <v>Not enabled</v>
      </c>
      <c r="E22" s="21"/>
      <c r="F22" s="21"/>
      <c r="G22" s="21"/>
      <c r="H22" s="21"/>
      <c r="I22" s="21"/>
      <c r="J22" s="21"/>
      <c r="K22" s="21"/>
      <c r="L22" s="21"/>
      <c r="M22" s="20"/>
      <c r="O22" s="484"/>
      <c r="P22" s="484"/>
      <c r="Q22" s="484"/>
      <c r="R22" s="484"/>
      <c r="S22" s="484"/>
      <c r="T22" s="484"/>
      <c r="U22" s="484"/>
      <c r="V22" s="484"/>
      <c r="W22" s="484"/>
      <c r="X22" s="485"/>
    </row>
    <row r="23" spans="1:24" x14ac:dyDescent="0.3">
      <c r="A23" s="18"/>
      <c r="B23" s="21"/>
      <c r="C23" s="21"/>
      <c r="D23" s="21"/>
      <c r="E23" s="21"/>
      <c r="F23" s="21"/>
      <c r="G23" s="21"/>
      <c r="H23" s="21"/>
      <c r="I23" s="21"/>
      <c r="J23" s="21"/>
      <c r="K23" s="21"/>
      <c r="L23" s="21"/>
      <c r="M23" s="20"/>
      <c r="O23" s="484"/>
      <c r="P23" s="484"/>
      <c r="Q23" s="484"/>
      <c r="R23" s="484"/>
      <c r="S23" s="484"/>
      <c r="T23" s="484"/>
      <c r="U23" s="484"/>
      <c r="V23" s="484"/>
      <c r="W23" s="484"/>
      <c r="X23" s="485"/>
    </row>
    <row r="24" spans="1:24" x14ac:dyDescent="0.3">
      <c r="A24" s="18"/>
      <c r="B24" s="190" t="s">
        <v>1755</v>
      </c>
      <c r="C24" s="21"/>
      <c r="D24" s="21"/>
      <c r="E24" s="21"/>
      <c r="F24" s="21"/>
      <c r="G24" s="21"/>
      <c r="H24" s="21"/>
      <c r="I24" s="21"/>
      <c r="J24" s="21"/>
      <c r="K24" s="21"/>
      <c r="L24" s="21"/>
      <c r="M24" s="20"/>
      <c r="O24" s="484" t="s">
        <v>2600</v>
      </c>
      <c r="P24" s="484"/>
      <c r="Q24" s="484" t="s">
        <v>2603</v>
      </c>
      <c r="R24" s="484"/>
      <c r="S24" s="484"/>
      <c r="T24" s="484"/>
      <c r="U24" s="484"/>
      <c r="V24" s="484"/>
      <c r="W24" s="484"/>
      <c r="X24" s="485" t="s">
        <v>326</v>
      </c>
    </row>
    <row r="25" spans="1:24" x14ac:dyDescent="0.3">
      <c r="A25" s="18"/>
      <c r="B25" s="391" t="str" cm="1">
        <f t="array" ref="B25">"Copied at "&amp;TEXT(_xll.U.TIME(3),"HH:MM:SS")</f>
        <v>Copied at 21:29:30</v>
      </c>
      <c r="C25" s="21"/>
      <c r="D25" s="21"/>
      <c r="E25" s="21"/>
      <c r="F25" s="21"/>
      <c r="G25" s="21"/>
      <c r="H25" s="21"/>
      <c r="I25" s="21"/>
      <c r="J25" s="21"/>
      <c r="K25" s="21"/>
      <c r="L25" s="21"/>
      <c r="M25" s="20"/>
      <c r="O25" s="484"/>
      <c r="P25" s="484"/>
      <c r="Q25" s="484"/>
      <c r="R25" s="484"/>
      <c r="S25" s="484"/>
      <c r="T25" s="484"/>
      <c r="U25" s="484"/>
      <c r="V25" s="484"/>
      <c r="W25" s="484"/>
      <c r="X25" s="485"/>
    </row>
    <row r="26" spans="1:24" x14ac:dyDescent="0.3">
      <c r="A26" s="18"/>
      <c r="B26" s="21"/>
      <c r="C26" s="21"/>
      <c r="D26" s="21"/>
      <c r="E26" s="21"/>
      <c r="F26" s="21"/>
      <c r="G26" s="21"/>
      <c r="H26" s="21"/>
      <c r="I26" s="21"/>
      <c r="J26" s="21"/>
      <c r="K26" s="21"/>
      <c r="L26" s="21"/>
      <c r="M26" s="20"/>
      <c r="O26" s="484"/>
      <c r="P26" s="484"/>
      <c r="Q26" s="484"/>
      <c r="R26" s="484"/>
      <c r="S26" s="484"/>
      <c r="T26" s="484"/>
      <c r="U26" s="484"/>
      <c r="V26" s="484"/>
      <c r="W26" s="484"/>
      <c r="X26" s="485"/>
    </row>
    <row r="27" spans="1:24" x14ac:dyDescent="0.3">
      <c r="A27" s="18"/>
      <c r="B27" s="190" t="s">
        <v>1756</v>
      </c>
      <c r="C27" s="21"/>
      <c r="D27" s="21"/>
      <c r="E27" s="21"/>
      <c r="F27" s="21"/>
      <c r="G27" s="21"/>
      <c r="H27" s="21"/>
      <c r="I27" s="21"/>
      <c r="J27" s="21"/>
      <c r="K27" s="21"/>
      <c r="L27" s="21"/>
      <c r="M27" s="20"/>
      <c r="O27" s="484" t="s">
        <v>2595</v>
      </c>
      <c r="P27" s="484"/>
      <c r="Q27" s="484" t="s">
        <v>2597</v>
      </c>
      <c r="R27" s="484"/>
      <c r="S27" s="484"/>
      <c r="T27" s="484"/>
      <c r="U27" s="484"/>
      <c r="V27" s="484"/>
      <c r="W27" s="484"/>
      <c r="X27" s="485" t="s">
        <v>326</v>
      </c>
    </row>
    <row r="28" spans="1:24" x14ac:dyDescent="0.3">
      <c r="A28" s="18"/>
      <c r="B28" s="391" t="s">
        <v>3070</v>
      </c>
      <c r="C28" s="21"/>
      <c r="D28" s="21"/>
      <c r="E28" s="21"/>
      <c r="F28" s="21"/>
      <c r="G28" s="21"/>
      <c r="H28" s="21"/>
      <c r="I28" s="21"/>
      <c r="J28" s="21"/>
      <c r="K28" s="21"/>
      <c r="L28" s="21"/>
      <c r="M28" s="20"/>
      <c r="O28" s="484"/>
      <c r="P28" s="484"/>
      <c r="Q28" s="484"/>
      <c r="R28" s="484"/>
      <c r="S28" s="484"/>
      <c r="T28" s="484"/>
      <c r="U28" s="484"/>
      <c r="V28" s="484"/>
      <c r="W28" s="484"/>
      <c r="X28" s="485"/>
    </row>
    <row r="29" spans="1:24" x14ac:dyDescent="0.3">
      <c r="A29" s="18"/>
      <c r="B29" s="21"/>
      <c r="C29" s="21"/>
      <c r="D29" s="21"/>
      <c r="E29" s="21"/>
      <c r="F29" s="21"/>
      <c r="G29" s="21"/>
      <c r="H29" s="21"/>
      <c r="I29" s="21"/>
      <c r="J29" s="21"/>
      <c r="K29" s="21"/>
      <c r="L29" s="21"/>
      <c r="M29" s="20"/>
      <c r="O29" s="484"/>
      <c r="P29" s="484"/>
      <c r="Q29" s="484"/>
      <c r="R29" s="484"/>
      <c r="S29" s="484"/>
      <c r="T29" s="484"/>
      <c r="U29" s="484"/>
      <c r="V29" s="484"/>
      <c r="W29" s="484"/>
      <c r="X29" s="485"/>
    </row>
    <row r="30" spans="1:24" x14ac:dyDescent="0.3">
      <c r="A30" s="18"/>
      <c r="B30" s="21"/>
      <c r="C30" s="21"/>
      <c r="D30" s="21"/>
      <c r="E30" s="21"/>
      <c r="F30" s="21"/>
      <c r="G30" s="21"/>
      <c r="H30" s="21"/>
      <c r="I30" s="21"/>
      <c r="J30" s="21"/>
      <c r="K30" s="21"/>
      <c r="L30" s="21"/>
      <c r="M30" s="20"/>
      <c r="O30" s="126" t="s">
        <v>328</v>
      </c>
    </row>
    <row r="31" spans="1:24" x14ac:dyDescent="0.3">
      <c r="A31" s="18"/>
      <c r="B31" s="21"/>
      <c r="C31" s="21"/>
      <c r="D31" s="21"/>
      <c r="E31" s="21"/>
      <c r="F31" s="21"/>
      <c r="G31" s="21"/>
      <c r="H31" s="21"/>
      <c r="I31" s="21"/>
      <c r="J31" s="21"/>
      <c r="K31" s="21"/>
      <c r="L31" s="21"/>
      <c r="M31" s="20"/>
    </row>
    <row r="32" spans="1:24" x14ac:dyDescent="0.3">
      <c r="A32" s="18"/>
      <c r="B32" s="21"/>
      <c r="C32" s="21"/>
      <c r="D32" s="21"/>
      <c r="E32" s="21"/>
      <c r="F32" s="21"/>
      <c r="G32" s="21"/>
      <c r="H32" s="21"/>
      <c r="I32" s="21"/>
      <c r="J32" s="21"/>
      <c r="K32" s="21"/>
      <c r="L32" s="21"/>
      <c r="M32" s="20"/>
    </row>
    <row r="33" spans="1:13" x14ac:dyDescent="0.3">
      <c r="A33" s="18"/>
      <c r="B33" s="21"/>
      <c r="C33" s="21"/>
      <c r="D33" s="21"/>
      <c r="E33" s="21"/>
      <c r="F33" s="21"/>
      <c r="G33" s="21"/>
      <c r="H33" s="21"/>
      <c r="I33" s="21"/>
      <c r="J33" s="21"/>
      <c r="K33" s="21"/>
      <c r="L33" s="21"/>
      <c r="M33" s="20"/>
    </row>
    <row r="34" spans="1:13" x14ac:dyDescent="0.3">
      <c r="A34" s="18"/>
      <c r="B34" s="21"/>
      <c r="C34" s="21"/>
      <c r="D34" s="21"/>
      <c r="E34" s="21"/>
      <c r="F34" s="21"/>
      <c r="G34" s="21"/>
      <c r="H34" s="21"/>
      <c r="I34" s="21"/>
      <c r="J34" s="21"/>
      <c r="K34" s="21"/>
      <c r="L34" s="21"/>
      <c r="M34" s="20"/>
    </row>
    <row r="35" spans="1:13" x14ac:dyDescent="0.3">
      <c r="A35" s="18"/>
      <c r="B35" s="21"/>
      <c r="C35" s="21"/>
      <c r="D35" s="21"/>
      <c r="E35" s="21"/>
      <c r="F35" s="21"/>
      <c r="G35" s="21"/>
      <c r="H35" s="21"/>
      <c r="I35" s="21"/>
      <c r="J35" s="21"/>
      <c r="K35" s="21"/>
      <c r="L35" s="21"/>
      <c r="M35" s="20"/>
    </row>
    <row r="36" spans="1:13" x14ac:dyDescent="0.3">
      <c r="A36" s="18"/>
      <c r="B36" s="21"/>
      <c r="C36" s="21"/>
      <c r="D36" s="21"/>
      <c r="E36" s="21"/>
      <c r="F36" s="21"/>
      <c r="G36" s="21"/>
      <c r="H36" s="21"/>
      <c r="I36" s="21"/>
      <c r="J36" s="21"/>
      <c r="K36" s="21"/>
      <c r="L36" s="21"/>
      <c r="M36" s="20"/>
    </row>
    <row r="37" spans="1:13" x14ac:dyDescent="0.3">
      <c r="A37" s="18"/>
      <c r="B37" s="190" t="s">
        <v>2592</v>
      </c>
      <c r="C37" s="21"/>
      <c r="D37" s="101" t="s">
        <v>3542</v>
      </c>
      <c r="E37" s="21"/>
      <c r="F37" s="21"/>
      <c r="G37" s="21"/>
      <c r="H37" s="21"/>
      <c r="I37" s="21"/>
      <c r="J37" s="21"/>
      <c r="K37" s="21"/>
      <c r="L37" s="21"/>
      <c r="M37" s="20"/>
    </row>
    <row r="38" spans="1:13" x14ac:dyDescent="0.3">
      <c r="A38" s="18"/>
      <c r="B38" s="79" t="s">
        <v>2598</v>
      </c>
      <c r="C38" s="21"/>
      <c r="D38" s="94" t="str" cm="1">
        <f t="array" ref="D38">IF($C$3,_xll.U.LISTEN(B38,B41&amp;"",B25,,{200,700}),"Not enabled")</f>
        <v>Not enabled</v>
      </c>
      <c r="E38" s="21"/>
      <c r="F38" s="21"/>
      <c r="G38" s="21"/>
      <c r="H38" s="21"/>
      <c r="I38" s="21"/>
      <c r="J38" s="21"/>
      <c r="K38" s="21"/>
      <c r="L38" s="21"/>
      <c r="M38" s="20"/>
    </row>
    <row r="39" spans="1:13" x14ac:dyDescent="0.3">
      <c r="A39" s="18"/>
      <c r="B39" s="21"/>
      <c r="C39" s="21"/>
      <c r="D39" s="21"/>
      <c r="E39" s="21"/>
      <c r="F39" s="21"/>
      <c r="G39" s="21"/>
      <c r="H39" s="21"/>
      <c r="I39" s="21"/>
      <c r="J39" s="21"/>
      <c r="K39" s="21"/>
      <c r="L39" s="21"/>
      <c r="M39" s="20"/>
    </row>
    <row r="40" spans="1:13" x14ac:dyDescent="0.3">
      <c r="A40" s="18"/>
      <c r="B40" s="190" t="s">
        <v>1757</v>
      </c>
      <c r="C40" s="21"/>
      <c r="D40" s="21"/>
      <c r="E40" s="21"/>
      <c r="F40" s="21"/>
      <c r="G40" s="21"/>
      <c r="H40" s="21"/>
      <c r="I40" s="21"/>
      <c r="J40" s="21"/>
      <c r="K40" s="21"/>
      <c r="L40" s="21"/>
      <c r="M40" s="20"/>
    </row>
    <row r="41" spans="1:13" x14ac:dyDescent="0.3">
      <c r="A41" s="18"/>
      <c r="B41" s="79" t="s">
        <v>2599</v>
      </c>
      <c r="C41" s="21"/>
      <c r="D41" s="21"/>
      <c r="E41" s="21"/>
      <c r="F41" s="21"/>
      <c r="G41" s="21"/>
      <c r="H41" s="21"/>
      <c r="I41" s="21"/>
      <c r="J41" s="21"/>
      <c r="K41" s="21"/>
      <c r="L41" s="21"/>
      <c r="M41" s="20"/>
    </row>
    <row r="42" spans="1:13" x14ac:dyDescent="0.3">
      <c r="A42" s="18"/>
      <c r="B42" s="21"/>
      <c r="C42" s="21"/>
      <c r="D42" s="21"/>
      <c r="E42" s="21"/>
      <c r="F42" s="21"/>
      <c r="G42" s="21"/>
      <c r="H42" s="21"/>
      <c r="I42" s="21"/>
      <c r="J42" s="21"/>
      <c r="K42" s="21"/>
      <c r="L42" s="21"/>
      <c r="M42" s="20"/>
    </row>
    <row r="43" spans="1:13" x14ac:dyDescent="0.3">
      <c r="A43" s="18"/>
      <c r="B43" s="190" t="s">
        <v>3541</v>
      </c>
      <c r="C43" s="21"/>
      <c r="D43" s="21"/>
      <c r="E43" s="21"/>
      <c r="F43" s="21"/>
      <c r="G43" s="21"/>
      <c r="H43" s="21"/>
      <c r="I43" s="21"/>
      <c r="J43" s="21"/>
      <c r="K43" s="21"/>
      <c r="L43" s="21"/>
      <c r="M43" s="20"/>
    </row>
    <row r="44" spans="1:13" x14ac:dyDescent="0.3">
      <c r="A44" s="18"/>
      <c r="B44" s="308" t="str" cm="1">
        <f t="array" ref="B44">_xll.U.GET_CLICKVAL(B41)</f>
        <v/>
      </c>
      <c r="C44" s="21"/>
      <c r="D44" s="21"/>
      <c r="E44" s="21"/>
      <c r="F44" s="21"/>
      <c r="G44" s="21"/>
      <c r="H44" s="21"/>
      <c r="I44" s="21"/>
      <c r="J44" s="21"/>
      <c r="K44" s="21"/>
      <c r="L44" s="21"/>
      <c r="M44" s="20"/>
    </row>
    <row r="45" spans="1:13" x14ac:dyDescent="0.3">
      <c r="A45" s="18"/>
      <c r="B45" s="21"/>
      <c r="C45" s="21"/>
      <c r="D45" s="21"/>
      <c r="E45" s="21"/>
      <c r="F45" s="21"/>
      <c r="G45" s="21"/>
      <c r="H45" s="21"/>
      <c r="I45" s="21"/>
      <c r="J45" s="21"/>
      <c r="K45" s="21"/>
      <c r="L45" s="21"/>
      <c r="M45" s="20"/>
    </row>
    <row r="46" spans="1:13" x14ac:dyDescent="0.3">
      <c r="A46" s="18"/>
      <c r="B46" s="21"/>
      <c r="C46" s="21"/>
      <c r="D46" s="21"/>
      <c r="E46" s="21"/>
      <c r="F46" s="21"/>
      <c r="G46" s="21"/>
      <c r="H46" s="21"/>
      <c r="I46" s="21"/>
      <c r="J46" s="21"/>
      <c r="K46" s="21"/>
      <c r="L46" s="21"/>
      <c r="M46" s="20"/>
    </row>
    <row r="47" spans="1:13" x14ac:dyDescent="0.3">
      <c r="A47" s="18"/>
      <c r="B47" s="21"/>
      <c r="C47" s="21"/>
      <c r="D47" s="21"/>
      <c r="E47" s="21"/>
      <c r="F47" s="21"/>
      <c r="G47" s="21"/>
      <c r="H47" s="21"/>
      <c r="I47" s="21"/>
      <c r="J47" s="21"/>
      <c r="K47" s="21"/>
      <c r="L47" s="21"/>
      <c r="M47" s="20"/>
    </row>
    <row r="48" spans="1:13" x14ac:dyDescent="0.3">
      <c r="A48" s="18"/>
      <c r="B48" s="21"/>
      <c r="C48" s="21"/>
      <c r="D48" s="21"/>
      <c r="E48" s="21"/>
      <c r="F48" s="21"/>
      <c r="G48" s="21"/>
      <c r="H48" s="21"/>
      <c r="I48" s="21"/>
      <c r="J48" s="21"/>
      <c r="K48" s="21"/>
      <c r="L48" s="21"/>
      <c r="M48" s="20"/>
    </row>
    <row r="49" spans="1:13" x14ac:dyDescent="0.3">
      <c r="A49" s="18"/>
      <c r="B49" s="21"/>
      <c r="C49" s="21"/>
      <c r="D49" s="21"/>
      <c r="E49" s="21"/>
      <c r="F49" s="21"/>
      <c r="G49" s="21"/>
      <c r="H49" s="21"/>
      <c r="I49" s="21"/>
      <c r="J49" s="21"/>
      <c r="K49" s="21"/>
      <c r="L49" s="21"/>
      <c r="M49" s="20"/>
    </row>
    <row r="50" spans="1:13" ht="15" customHeight="1" x14ac:dyDescent="0.3">
      <c r="A50" s="18"/>
      <c r="B50" s="21"/>
      <c r="C50" s="21"/>
      <c r="D50" s="21"/>
      <c r="E50" s="21"/>
      <c r="F50" s="21"/>
      <c r="G50" s="21"/>
      <c r="H50" s="21"/>
      <c r="I50" s="21"/>
      <c r="J50" s="21"/>
      <c r="K50" s="21"/>
      <c r="L50" s="21"/>
      <c r="M50" s="20"/>
    </row>
    <row r="51" spans="1:13" x14ac:dyDescent="0.3">
      <c r="A51" s="18"/>
      <c r="B51" s="21"/>
      <c r="C51" s="21"/>
      <c r="D51" s="21"/>
      <c r="E51" s="21"/>
      <c r="F51" s="21"/>
      <c r="G51" s="21"/>
      <c r="H51" s="21"/>
      <c r="I51" s="21"/>
      <c r="J51" s="21"/>
      <c r="K51" s="21"/>
      <c r="L51" s="21"/>
      <c r="M51" s="20"/>
    </row>
    <row r="52" spans="1:13" ht="15" customHeight="1" x14ac:dyDescent="0.3">
      <c r="A52" s="18"/>
      <c r="B52" s="21"/>
      <c r="C52" s="21"/>
      <c r="D52" s="21"/>
      <c r="E52" s="21"/>
      <c r="F52" s="21"/>
      <c r="G52" s="21"/>
      <c r="H52" s="21"/>
      <c r="I52" s="21"/>
      <c r="J52" s="21"/>
      <c r="K52" s="21"/>
      <c r="L52" s="21"/>
      <c r="M52" s="20"/>
    </row>
    <row r="53" spans="1:13" x14ac:dyDescent="0.3">
      <c r="A53" s="18"/>
      <c r="B53" s="21"/>
      <c r="C53" s="21"/>
      <c r="D53" s="21"/>
      <c r="E53" s="21"/>
      <c r="F53" s="21"/>
      <c r="G53" s="21"/>
      <c r="H53" s="21"/>
      <c r="I53" s="21"/>
      <c r="J53" s="21"/>
      <c r="K53" s="21"/>
      <c r="L53" s="21"/>
      <c r="M53" s="20"/>
    </row>
    <row r="54" spans="1:13" x14ac:dyDescent="0.3">
      <c r="A54" s="18"/>
      <c r="B54" s="21"/>
      <c r="C54" s="21"/>
      <c r="D54" s="21"/>
      <c r="E54" s="21"/>
      <c r="F54" s="21"/>
      <c r="G54" s="21"/>
      <c r="H54" s="21"/>
      <c r="I54" s="21"/>
      <c r="J54" s="21"/>
      <c r="K54" s="21"/>
      <c r="L54" s="21"/>
      <c r="M54" s="20"/>
    </row>
    <row r="55" spans="1:13" x14ac:dyDescent="0.3">
      <c r="A55" s="18"/>
      <c r="B55" s="21"/>
      <c r="C55" s="21"/>
      <c r="D55" s="21"/>
      <c r="E55" s="21"/>
      <c r="F55" s="21"/>
      <c r="G55" s="21"/>
      <c r="H55" s="21"/>
      <c r="I55" s="21"/>
      <c r="J55" s="21"/>
      <c r="K55" s="21"/>
      <c r="L55" s="21"/>
      <c r="M55" s="20"/>
    </row>
    <row r="56" spans="1:13" x14ac:dyDescent="0.3">
      <c r="A56" s="18"/>
      <c r="B56" s="21"/>
      <c r="C56" s="21"/>
      <c r="D56" s="21"/>
      <c r="E56" s="21"/>
      <c r="F56" s="21"/>
      <c r="G56" s="21"/>
      <c r="H56" s="21"/>
      <c r="I56" s="21"/>
      <c r="J56" s="21"/>
      <c r="K56" s="21"/>
      <c r="L56" s="21"/>
      <c r="M56" s="20"/>
    </row>
    <row r="57" spans="1:13" x14ac:dyDescent="0.3">
      <c r="A57" s="18"/>
      <c r="B57" s="21"/>
      <c r="C57" s="21"/>
      <c r="D57" s="21"/>
      <c r="E57" s="21"/>
      <c r="F57" s="21"/>
      <c r="G57" s="21"/>
      <c r="H57" s="21"/>
      <c r="I57" s="21"/>
      <c r="J57" s="21"/>
      <c r="K57" s="21"/>
      <c r="L57" s="21"/>
      <c r="M57" s="20"/>
    </row>
    <row r="58" spans="1:13" x14ac:dyDescent="0.3">
      <c r="A58" s="18"/>
      <c r="B58" s="21"/>
      <c r="C58" s="21"/>
      <c r="D58" s="21"/>
      <c r="E58" s="21"/>
      <c r="F58" s="21"/>
      <c r="G58" s="21"/>
      <c r="H58" s="21"/>
      <c r="I58" s="21"/>
      <c r="J58" s="21"/>
      <c r="K58" s="21"/>
      <c r="L58" s="21"/>
      <c r="M58" s="20"/>
    </row>
    <row r="59" spans="1:13" x14ac:dyDescent="0.3">
      <c r="A59" s="18"/>
      <c r="B59" s="21"/>
      <c r="C59" s="21"/>
      <c r="D59" s="21"/>
      <c r="E59" s="21"/>
      <c r="F59" s="21"/>
      <c r="G59" s="21"/>
      <c r="H59" s="21"/>
      <c r="I59" s="21"/>
      <c r="J59" s="21"/>
      <c r="K59" s="21"/>
      <c r="L59" s="21"/>
      <c r="M59" s="20"/>
    </row>
    <row r="60" spans="1:13" x14ac:dyDescent="0.3">
      <c r="A60" s="18"/>
      <c r="B60" s="21"/>
      <c r="C60" s="21"/>
      <c r="D60" s="21"/>
      <c r="E60" s="21"/>
      <c r="F60" s="21"/>
      <c r="G60" s="21"/>
      <c r="H60" s="21"/>
      <c r="I60" s="21"/>
      <c r="J60" s="21"/>
      <c r="K60" s="21"/>
      <c r="L60" s="21"/>
      <c r="M60" s="20"/>
    </row>
    <row r="61" spans="1:13" x14ac:dyDescent="0.3">
      <c r="A61" s="18"/>
      <c r="B61" s="21"/>
      <c r="C61" s="21"/>
      <c r="D61" s="21"/>
      <c r="E61" s="21"/>
      <c r="F61" s="21"/>
      <c r="G61" s="21"/>
      <c r="H61" s="21"/>
      <c r="I61" s="21"/>
      <c r="J61" s="21"/>
      <c r="K61" s="21"/>
      <c r="L61" s="21"/>
      <c r="M61" s="20"/>
    </row>
    <row r="62" spans="1:13" x14ac:dyDescent="0.3">
      <c r="A62" s="18"/>
      <c r="B62" s="21"/>
      <c r="C62" s="21"/>
      <c r="D62" s="21"/>
      <c r="E62" s="21"/>
      <c r="F62" s="21"/>
      <c r="G62" s="21"/>
      <c r="H62" s="21"/>
      <c r="I62" s="21"/>
      <c r="J62" s="21"/>
      <c r="K62" s="21"/>
      <c r="L62" s="21"/>
      <c r="M62" s="20"/>
    </row>
    <row r="63" spans="1:13" x14ac:dyDescent="0.3">
      <c r="A63" s="18"/>
      <c r="B63" s="21"/>
      <c r="C63" s="21"/>
      <c r="D63" s="21"/>
      <c r="E63" s="21"/>
      <c r="F63" s="21"/>
      <c r="G63" s="21"/>
      <c r="H63" s="21"/>
      <c r="I63" s="21"/>
      <c r="J63" s="21"/>
      <c r="K63" s="21"/>
      <c r="L63" s="21"/>
      <c r="M63" s="20"/>
    </row>
    <row r="64" spans="1:13" x14ac:dyDescent="0.3">
      <c r="A64" s="18"/>
      <c r="B64" s="21"/>
      <c r="C64" s="21"/>
      <c r="D64" s="21"/>
      <c r="E64" s="21"/>
      <c r="F64" s="21"/>
      <c r="G64" s="21"/>
      <c r="H64" s="21"/>
      <c r="I64" s="21"/>
      <c r="J64" s="21"/>
      <c r="K64" s="21"/>
      <c r="L64" s="21"/>
      <c r="M64" s="20"/>
    </row>
    <row r="65" spans="1:13" x14ac:dyDescent="0.3">
      <c r="A65" s="18"/>
      <c r="B65" s="21"/>
      <c r="C65" s="21"/>
      <c r="D65" s="21"/>
      <c r="E65" s="21"/>
      <c r="F65" s="21"/>
      <c r="G65" s="21"/>
      <c r="H65" s="21"/>
      <c r="I65" s="21"/>
      <c r="J65" s="21"/>
      <c r="K65" s="21"/>
      <c r="L65" s="21"/>
      <c r="M65" s="20"/>
    </row>
    <row r="66" spans="1:13" x14ac:dyDescent="0.3">
      <c r="A66" s="18"/>
      <c r="B66" s="21"/>
      <c r="C66" s="21"/>
      <c r="D66" s="101" t="s">
        <v>3542</v>
      </c>
      <c r="E66" s="21"/>
      <c r="F66" s="21"/>
      <c r="G66" s="21"/>
      <c r="H66" s="21"/>
      <c r="I66" s="21"/>
      <c r="J66" s="21"/>
      <c r="K66" s="21"/>
      <c r="L66" s="21"/>
      <c r="M66" s="20"/>
    </row>
    <row r="67" spans="1:13" x14ac:dyDescent="0.3">
      <c r="A67" s="18"/>
      <c r="B67" s="21"/>
      <c r="C67" s="21"/>
      <c r="D67" s="94" t="str" cm="1">
        <f t="array" ref="D67">IF($C$3,_xll.U.LISTEN("last()"),"Not enabled")</f>
        <v>Not enabled</v>
      </c>
      <c r="E67" s="21"/>
      <c r="F67" s="21"/>
      <c r="G67" s="21"/>
      <c r="H67" s="21"/>
      <c r="I67" s="21"/>
      <c r="J67" s="21"/>
      <c r="K67" s="21"/>
      <c r="L67" s="21"/>
      <c r="M67" s="20"/>
    </row>
    <row r="68" spans="1:13" x14ac:dyDescent="0.3">
      <c r="A68" s="18"/>
      <c r="B68" s="21"/>
      <c r="C68" s="21"/>
      <c r="D68" s="21"/>
      <c r="E68" s="21"/>
      <c r="F68" s="21"/>
      <c r="G68" s="21"/>
      <c r="H68" s="21"/>
      <c r="I68" s="21"/>
      <c r="J68" s="21"/>
      <c r="K68" s="21"/>
      <c r="L68" s="21"/>
      <c r="M68" s="20"/>
    </row>
    <row r="69" spans="1:13" x14ac:dyDescent="0.3">
      <c r="A69" s="18"/>
      <c r="B69" s="21"/>
      <c r="C69" s="21"/>
      <c r="D69" s="21"/>
      <c r="E69" s="21"/>
      <c r="F69" s="21"/>
      <c r="G69" s="21"/>
      <c r="H69" s="21"/>
      <c r="I69" s="21"/>
      <c r="J69" s="21"/>
      <c r="K69" s="21"/>
      <c r="L69" s="21"/>
      <c r="M69" s="20"/>
    </row>
    <row r="70" spans="1:13" x14ac:dyDescent="0.3">
      <c r="A70" s="18"/>
      <c r="B70" s="21"/>
      <c r="C70" s="21"/>
      <c r="D70" s="21"/>
      <c r="E70" s="21"/>
      <c r="F70" s="21"/>
      <c r="G70" s="21"/>
      <c r="H70" s="21"/>
      <c r="I70" s="21"/>
      <c r="J70" s="21"/>
      <c r="K70" s="21"/>
      <c r="L70" s="21"/>
      <c r="M70" s="20"/>
    </row>
    <row r="71" spans="1:13" x14ac:dyDescent="0.3">
      <c r="A71" s="18"/>
      <c r="B71" s="21"/>
      <c r="C71" s="21"/>
      <c r="D71" s="21"/>
      <c r="E71" s="21"/>
      <c r="F71" s="21"/>
      <c r="G71" s="21"/>
      <c r="H71" s="21"/>
      <c r="I71" s="21"/>
      <c r="J71" s="21"/>
      <c r="K71" s="21"/>
      <c r="L71" s="21"/>
      <c r="M71" s="20"/>
    </row>
    <row r="72" spans="1:13" x14ac:dyDescent="0.3">
      <c r="A72" s="18"/>
      <c r="B72" s="21"/>
      <c r="C72" s="21"/>
      <c r="D72" s="21"/>
      <c r="E72" s="21"/>
      <c r="F72" s="21"/>
      <c r="G72" s="21"/>
      <c r="H72" s="21"/>
      <c r="I72" s="21"/>
      <c r="J72" s="21"/>
      <c r="K72" s="21"/>
      <c r="L72" s="21"/>
      <c r="M72" s="20"/>
    </row>
    <row r="73" spans="1:13" x14ac:dyDescent="0.3">
      <c r="A73" s="18"/>
      <c r="B73" s="21"/>
      <c r="C73" s="21"/>
      <c r="D73" s="21"/>
      <c r="E73" s="21"/>
      <c r="F73" s="21"/>
      <c r="G73" s="21"/>
      <c r="H73" s="21"/>
      <c r="I73" s="21"/>
      <c r="J73" s="21"/>
      <c r="K73" s="21"/>
      <c r="L73" s="21"/>
      <c r="M73" s="20"/>
    </row>
    <row r="74" spans="1:13" x14ac:dyDescent="0.3">
      <c r="A74" s="18"/>
      <c r="B74" s="475" t="s">
        <v>2601</v>
      </c>
      <c r="C74" s="475"/>
      <c r="D74" s="475"/>
      <c r="E74" s="475"/>
      <c r="F74" s="21"/>
      <c r="G74" s="21"/>
      <c r="H74" s="21"/>
      <c r="I74" s="21"/>
      <c r="J74" s="21"/>
      <c r="K74" s="21"/>
      <c r="L74" s="21"/>
      <c r="M74" s="20"/>
    </row>
    <row r="75" spans="1:13" x14ac:dyDescent="0.3">
      <c r="A75" s="18"/>
      <c r="B75" s="3" t="str">
        <f t="array" ref="B75:E78">_xll.U.PAD(_xll.U.LISTEN(,,,,,TRUE))</f>
        <v>Name</v>
      </c>
      <c r="C75" s="3" t="str">
        <v>Culture</v>
      </c>
      <c r="D75" s="3" t="str">
        <v>Description</v>
      </c>
      <c r="E75" s="3" t="str">
        <v>IsDefault</v>
      </c>
      <c r="F75" s="21"/>
      <c r="G75" s="21"/>
      <c r="H75" s="21"/>
      <c r="I75" s="21"/>
      <c r="J75" s="21"/>
      <c r="K75" s="21"/>
      <c r="L75" s="21"/>
      <c r="M75" s="20"/>
    </row>
    <row r="76" spans="1:13" x14ac:dyDescent="0.3">
      <c r="A76" s="18"/>
      <c r="B76" s="30" t="str">
        <v>MS-1033-80-DESK</v>
      </c>
      <c r="C76" s="30" t="str">
        <v>en-US</v>
      </c>
      <c r="D76" s="30" t="str">
        <v>Microsoft Speech Recognizer 8.0 for Windows (English - US)</v>
      </c>
      <c r="E76" s="30" t="str">
        <v>*</v>
      </c>
      <c r="F76" s="21"/>
      <c r="G76" s="21"/>
      <c r="H76" s="21"/>
      <c r="I76" s="21"/>
      <c r="J76" s="21"/>
      <c r="K76" s="21"/>
      <c r="L76" s="21"/>
      <c r="M76" s="20"/>
    </row>
    <row r="77" spans="1:13" x14ac:dyDescent="0.3">
      <c r="A77" s="18"/>
      <c r="B77" s="30" t="str">
        <v/>
      </c>
      <c r="C77" s="30" t="str">
        <v/>
      </c>
      <c r="D77" s="30" t="str">
        <v/>
      </c>
      <c r="E77" s="30" t="str">
        <v/>
      </c>
      <c r="F77" s="21"/>
      <c r="G77" s="21"/>
      <c r="H77" s="21"/>
      <c r="I77" s="21"/>
      <c r="J77" s="21"/>
      <c r="K77" s="21"/>
      <c r="L77" s="21"/>
      <c r="M77" s="20"/>
    </row>
    <row r="78" spans="1:13" x14ac:dyDescent="0.3">
      <c r="A78" s="18"/>
      <c r="B78" s="30" t="str">
        <v/>
      </c>
      <c r="C78" s="30" t="str">
        <v/>
      </c>
      <c r="D78" s="30" t="str">
        <v/>
      </c>
      <c r="E78" s="30" t="str">
        <v/>
      </c>
      <c r="F78" s="21"/>
      <c r="G78" s="21"/>
      <c r="H78" s="21"/>
      <c r="I78" s="21"/>
      <c r="J78" s="21"/>
      <c r="K78" s="21"/>
      <c r="L78" s="21"/>
      <c r="M78" s="20"/>
    </row>
    <row r="79" spans="1:13" x14ac:dyDescent="0.3">
      <c r="A79" s="18"/>
      <c r="B79" s="21"/>
      <c r="C79" s="21"/>
      <c r="D79" s="21"/>
      <c r="E79" s="21"/>
      <c r="F79" s="21"/>
      <c r="G79" s="21"/>
      <c r="H79" s="21"/>
      <c r="I79" s="21"/>
      <c r="J79" s="21"/>
      <c r="K79" s="21"/>
      <c r="L79" s="21"/>
      <c r="M79" s="20"/>
    </row>
    <row r="80" spans="1:13" x14ac:dyDescent="0.3">
      <c r="A80" s="18"/>
      <c r="B80" s="21"/>
      <c r="C80" s="21"/>
      <c r="D80" s="21"/>
      <c r="E80" s="21"/>
      <c r="F80" s="21"/>
      <c r="G80" s="21"/>
      <c r="H80" s="21"/>
      <c r="I80" s="21"/>
      <c r="J80" s="21"/>
      <c r="K80" s="21"/>
      <c r="L80" s="21"/>
      <c r="M80" s="20"/>
    </row>
    <row r="81" spans="1:13" x14ac:dyDescent="0.3">
      <c r="A81" s="18"/>
      <c r="B81" s="21"/>
      <c r="C81" s="21"/>
      <c r="D81" s="21"/>
      <c r="E81" s="21"/>
      <c r="F81" s="21"/>
      <c r="G81" s="21"/>
      <c r="H81" s="21"/>
      <c r="I81" s="21"/>
      <c r="J81" s="21"/>
      <c r="K81" s="21"/>
      <c r="L81" s="21"/>
      <c r="M81" s="20"/>
    </row>
    <row r="82" spans="1:13" x14ac:dyDescent="0.3">
      <c r="A82" s="18"/>
      <c r="B82" s="401" t="str">
        <f t="array" ref="B82:L88">_xll.U.PAD(_xll.U.LISTEN())</f>
        <v>Phrase</v>
      </c>
      <c r="C82" s="401" t="str">
        <v>Type</v>
      </c>
      <c r="D82" s="401" t="str">
        <v>Select</v>
      </c>
      <c r="E82" s="401" t="str">
        <v>Workbook</v>
      </c>
      <c r="F82" s="401" t="str">
        <v>Min Confidence</v>
      </c>
      <c r="G82" s="401" t="str">
        <v>Decoys</v>
      </c>
      <c r="H82" s="401" t="str">
        <v>Timeout Millis</v>
      </c>
      <c r="I82" s="401" t="str">
        <v>Timeout Millis Ambiguous</v>
      </c>
      <c r="J82" s="401" t="str">
        <v>Recognizer</v>
      </c>
      <c r="K82" s="401" t="str">
        <v>Culture</v>
      </c>
      <c r="L82" s="401" t="str">
        <v>State</v>
      </c>
      <c r="M82" s="20"/>
    </row>
    <row r="83" spans="1:13" x14ac:dyDescent="0.3">
      <c r="A83" s="18"/>
      <c r="B83" s="402" t="str">
        <v/>
      </c>
      <c r="C83" s="402" t="str">
        <v/>
      </c>
      <c r="D83" s="402" t="str">
        <v/>
      </c>
      <c r="E83" s="402" t="str">
        <v/>
      </c>
      <c r="F83" s="402" t="str">
        <v/>
      </c>
      <c r="G83" s="402" t="str">
        <v/>
      </c>
      <c r="H83" s="402" t="str">
        <v/>
      </c>
      <c r="I83" s="402" t="str">
        <v/>
      </c>
      <c r="J83" s="402" t="str">
        <v/>
      </c>
      <c r="K83" s="402" t="str">
        <v/>
      </c>
      <c r="L83" s="402" t="str">
        <v/>
      </c>
      <c r="M83" s="20"/>
    </row>
    <row r="84" spans="1:13" x14ac:dyDescent="0.3">
      <c r="A84" s="18"/>
      <c r="B84" s="402" t="str">
        <v/>
      </c>
      <c r="C84" s="402" t="str">
        <v/>
      </c>
      <c r="D84" s="402" t="str">
        <v/>
      </c>
      <c r="E84" s="402" t="str">
        <v/>
      </c>
      <c r="F84" s="402" t="str">
        <v/>
      </c>
      <c r="G84" s="402" t="str">
        <v/>
      </c>
      <c r="H84" s="402" t="str">
        <v/>
      </c>
      <c r="I84" s="402" t="str">
        <v/>
      </c>
      <c r="J84" s="402" t="str">
        <v/>
      </c>
      <c r="K84" s="402" t="str">
        <v/>
      </c>
      <c r="L84" s="402" t="str">
        <v/>
      </c>
      <c r="M84" s="20"/>
    </row>
    <row r="85" spans="1:13" x14ac:dyDescent="0.3">
      <c r="A85" s="18"/>
      <c r="B85" s="402" t="str">
        <v/>
      </c>
      <c r="C85" s="402" t="str">
        <v/>
      </c>
      <c r="D85" s="402" t="str">
        <v/>
      </c>
      <c r="E85" s="402" t="str">
        <v/>
      </c>
      <c r="F85" s="402" t="str">
        <v/>
      </c>
      <c r="G85" s="402" t="str">
        <v/>
      </c>
      <c r="H85" s="402" t="str">
        <v/>
      </c>
      <c r="I85" s="402" t="str">
        <v/>
      </c>
      <c r="J85" s="402" t="str">
        <v/>
      </c>
      <c r="K85" s="402" t="str">
        <v/>
      </c>
      <c r="L85" s="402" t="str">
        <v/>
      </c>
      <c r="M85" s="20"/>
    </row>
    <row r="86" spans="1:13" ht="15" customHeight="1" x14ac:dyDescent="0.3">
      <c r="A86" s="18"/>
      <c r="B86" s="402" t="str">
        <v/>
      </c>
      <c r="C86" s="402" t="str">
        <v/>
      </c>
      <c r="D86" s="402" t="str">
        <v/>
      </c>
      <c r="E86" s="402" t="str">
        <v/>
      </c>
      <c r="F86" s="402" t="str">
        <v/>
      </c>
      <c r="G86" s="402" t="str">
        <v/>
      </c>
      <c r="H86" s="402" t="str">
        <v/>
      </c>
      <c r="I86" s="402" t="str">
        <v/>
      </c>
      <c r="J86" s="402" t="str">
        <v/>
      </c>
      <c r="K86" s="402" t="str">
        <v/>
      </c>
      <c r="L86" s="402" t="str">
        <v/>
      </c>
      <c r="M86" s="20"/>
    </row>
    <row r="87" spans="1:13" x14ac:dyDescent="0.3">
      <c r="A87" s="18"/>
      <c r="B87" s="402" t="str">
        <v/>
      </c>
      <c r="C87" s="402" t="str">
        <v/>
      </c>
      <c r="D87" s="402" t="str">
        <v/>
      </c>
      <c r="E87" s="402" t="str">
        <v/>
      </c>
      <c r="F87" s="402" t="str">
        <v/>
      </c>
      <c r="G87" s="402" t="str">
        <v/>
      </c>
      <c r="H87" s="402" t="str">
        <v/>
      </c>
      <c r="I87" s="402" t="str">
        <v/>
      </c>
      <c r="J87" s="402" t="str">
        <v/>
      </c>
      <c r="K87" s="402" t="str">
        <v/>
      </c>
      <c r="L87" s="402" t="str">
        <v/>
      </c>
      <c r="M87" s="20"/>
    </row>
    <row r="88" spans="1:13" x14ac:dyDescent="0.3">
      <c r="A88" s="18"/>
      <c r="B88" s="402" t="str">
        <v/>
      </c>
      <c r="C88" s="402" t="str">
        <v/>
      </c>
      <c r="D88" s="402" t="str">
        <v/>
      </c>
      <c r="E88" s="402" t="str">
        <v/>
      </c>
      <c r="F88" s="402" t="str">
        <v/>
      </c>
      <c r="G88" s="402" t="str">
        <v/>
      </c>
      <c r="H88" s="402" t="str">
        <v/>
      </c>
      <c r="I88" s="402" t="str">
        <v/>
      </c>
      <c r="J88" s="402" t="str">
        <v/>
      </c>
      <c r="K88" s="402" t="str">
        <v/>
      </c>
      <c r="L88" s="402" t="str">
        <v/>
      </c>
      <c r="M88" s="20"/>
    </row>
    <row r="89" spans="1:13" x14ac:dyDescent="0.3">
      <c r="A89" s="18"/>
      <c r="B89" s="21"/>
      <c r="C89" s="21"/>
      <c r="D89" s="21"/>
      <c r="E89" s="21"/>
      <c r="F89" s="21"/>
      <c r="G89" s="21"/>
      <c r="H89" s="21"/>
      <c r="I89" s="21"/>
      <c r="J89" s="21"/>
      <c r="K89" s="21"/>
      <c r="L89" s="21"/>
      <c r="M89" s="20"/>
    </row>
    <row r="90" spans="1:13" x14ac:dyDescent="0.3">
      <c r="A90" s="18"/>
      <c r="B90" s="21"/>
      <c r="C90" s="21"/>
      <c r="D90" s="21"/>
      <c r="E90" s="21"/>
      <c r="F90" s="21"/>
      <c r="G90" s="21"/>
      <c r="H90" s="21"/>
      <c r="I90" s="21"/>
      <c r="J90" s="21"/>
      <c r="K90" s="21"/>
      <c r="L90" s="21"/>
      <c r="M90" s="20"/>
    </row>
    <row r="91" spans="1:13" x14ac:dyDescent="0.3">
      <c r="A91" s="18"/>
      <c r="B91" s="21"/>
      <c r="C91" s="21"/>
      <c r="D91" s="21"/>
      <c r="E91" s="21"/>
      <c r="F91" s="21"/>
      <c r="G91" s="21"/>
      <c r="H91" s="21"/>
      <c r="I91" s="21"/>
      <c r="J91" s="21"/>
      <c r="K91" s="21"/>
      <c r="L91" s="21"/>
      <c r="M91" s="20"/>
    </row>
    <row r="92" spans="1:13" x14ac:dyDescent="0.3">
      <c r="A92" s="18"/>
      <c r="B92" s="21"/>
      <c r="C92" s="21"/>
      <c r="D92" s="21"/>
      <c r="E92" s="21"/>
      <c r="F92" s="21"/>
      <c r="G92" s="21"/>
      <c r="H92" s="21"/>
      <c r="I92" s="21"/>
      <c r="J92" s="21"/>
      <c r="K92" s="21"/>
      <c r="L92" s="21"/>
      <c r="M92" s="20"/>
    </row>
    <row r="93" spans="1:13" ht="15" thickBot="1" x14ac:dyDescent="0.35">
      <c r="A93" s="22"/>
      <c r="B93" s="23"/>
      <c r="C93" s="23"/>
      <c r="D93" s="23"/>
      <c r="E93" s="23"/>
      <c r="F93" s="23"/>
      <c r="G93" s="23"/>
      <c r="H93" s="23"/>
      <c r="I93" s="23"/>
      <c r="J93" s="23"/>
      <c r="K93" s="23"/>
      <c r="L93" s="23"/>
      <c r="M93" s="24"/>
    </row>
  </sheetData>
  <mergeCells count="24">
    <mergeCell ref="B74:E74"/>
    <mergeCell ref="O12:P14"/>
    <mergeCell ref="Q12:W14"/>
    <mergeCell ref="X12:X14"/>
    <mergeCell ref="O7:X7"/>
    <mergeCell ref="O8:P10"/>
    <mergeCell ref="Q8:X10"/>
    <mergeCell ref="O11:P11"/>
    <mergeCell ref="Q11:W11"/>
    <mergeCell ref="O15:P17"/>
    <mergeCell ref="Q15:W17"/>
    <mergeCell ref="X15:X17"/>
    <mergeCell ref="O18:P20"/>
    <mergeCell ref="Q18:W20"/>
    <mergeCell ref="X18:X20"/>
    <mergeCell ref="O27:P29"/>
    <mergeCell ref="Q27:W29"/>
    <mergeCell ref="X27:X29"/>
    <mergeCell ref="O21:P23"/>
    <mergeCell ref="Q21:W23"/>
    <mergeCell ref="X21:X23"/>
    <mergeCell ref="O24:P26"/>
    <mergeCell ref="Q24:W26"/>
    <mergeCell ref="X24:X26"/>
  </mergeCells>
  <pageMargins left="0.7" right="0.7" top="0.75" bottom="0.75" header="0.3" footer="0.3"/>
  <pageSetup orientation="portrait"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8"/>
  <dimension ref="A1:Z33"/>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5.77734375" customWidth="1"/>
    <col min="4" max="4" width="10.77734375" customWidth="1"/>
    <col min="5" max="5" width="10.21875" customWidth="1"/>
    <col min="6" max="6" width="11.5546875" bestFit="1" customWidth="1"/>
    <col min="7" max="7" width="8" customWidth="1"/>
    <col min="8" max="8" width="18.77734375" bestFit="1" customWidth="1"/>
  </cols>
  <sheetData>
    <row r="1" spans="1:26" ht="34.5" customHeight="1" thickBot="1" x14ac:dyDescent="0.35">
      <c r="A1" s="292" t="s">
        <v>1580</v>
      </c>
      <c r="B1" s="473" t="e" vm="1">
        <v>#VALUE!</v>
      </c>
      <c r="C1" s="8" t="s">
        <v>178</v>
      </c>
      <c r="D1" s="27"/>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3543</v>
      </c>
      <c r="R3" s="486"/>
      <c r="S3" s="486"/>
      <c r="T3" s="486"/>
      <c r="U3" s="486"/>
      <c r="V3" s="486"/>
      <c r="W3" s="486"/>
      <c r="X3" s="486"/>
      <c r="Y3" s="486"/>
      <c r="Z3" s="486"/>
    </row>
    <row r="4" spans="1:26" ht="15" customHeight="1" x14ac:dyDescent="0.3">
      <c r="A4" s="18"/>
      <c r="B4" s="2" t="s">
        <v>2</v>
      </c>
      <c r="C4" s="2" t="s">
        <v>184</v>
      </c>
      <c r="D4" s="91" t="s">
        <v>181</v>
      </c>
      <c r="E4" s="21"/>
      <c r="F4" s="21"/>
      <c r="G4" s="21"/>
      <c r="H4" s="101" t="s">
        <v>3543</v>
      </c>
      <c r="I4" s="21"/>
      <c r="J4" s="21"/>
      <c r="K4" s="21"/>
      <c r="L4" s="21"/>
      <c r="M4" s="21"/>
      <c r="N4" s="21"/>
      <c r="O4" s="20"/>
      <c r="Q4" s="487" t="s">
        <v>333</v>
      </c>
      <c r="R4" s="487"/>
      <c r="S4" s="487" t="s">
        <v>524</v>
      </c>
      <c r="T4" s="487"/>
      <c r="U4" s="487"/>
      <c r="V4" s="487"/>
      <c r="W4" s="487"/>
      <c r="X4" s="487"/>
      <c r="Y4" s="487"/>
      <c r="Z4" s="487"/>
    </row>
    <row r="5" spans="1:26" x14ac:dyDescent="0.3">
      <c r="A5" s="18"/>
      <c r="B5" s="92" t="s">
        <v>106</v>
      </c>
      <c r="C5" s="93">
        <v>1000</v>
      </c>
      <c r="D5" s="42" t="s">
        <v>71</v>
      </c>
      <c r="E5" s="21"/>
      <c r="F5" s="21"/>
      <c r="G5" s="21"/>
      <c r="H5" s="94" cm="1">
        <f t="array" ref="H5">_xll.U.INCREMENT(C5:C8,D5:D8,B14:F25)</f>
        <v>46072.453056747683</v>
      </c>
      <c r="I5" s="21"/>
      <c r="J5" s="21"/>
      <c r="K5" s="21"/>
      <c r="L5" s="21"/>
      <c r="M5" s="21"/>
      <c r="N5" s="21"/>
      <c r="O5" s="20"/>
      <c r="Q5" s="487"/>
      <c r="R5" s="487"/>
      <c r="S5" s="487"/>
      <c r="T5" s="487"/>
      <c r="U5" s="487"/>
      <c r="V5" s="487"/>
      <c r="W5" s="487"/>
      <c r="X5" s="487"/>
      <c r="Y5" s="487"/>
      <c r="Z5" s="487"/>
    </row>
    <row r="6" spans="1:26" x14ac:dyDescent="0.3">
      <c r="A6" s="18"/>
      <c r="B6" s="92" t="s">
        <v>179</v>
      </c>
      <c r="C6" s="93">
        <v>-500</v>
      </c>
      <c r="D6" s="42" t="s">
        <v>71</v>
      </c>
      <c r="E6" s="21"/>
      <c r="F6" s="21"/>
      <c r="G6" s="21"/>
      <c r="H6" s="21"/>
      <c r="I6" s="21"/>
      <c r="J6" s="21"/>
      <c r="K6" s="21"/>
      <c r="L6" s="21"/>
      <c r="M6" s="21"/>
      <c r="N6" s="21"/>
      <c r="O6" s="20"/>
      <c r="Q6" s="487"/>
      <c r="R6" s="487"/>
      <c r="S6" s="487"/>
      <c r="T6" s="487"/>
      <c r="U6" s="487"/>
      <c r="V6" s="487"/>
      <c r="W6" s="487"/>
      <c r="X6" s="487"/>
      <c r="Y6" s="487"/>
      <c r="Z6" s="487"/>
    </row>
    <row r="7" spans="1:26" x14ac:dyDescent="0.3">
      <c r="A7" s="18"/>
      <c r="B7" s="92" t="s">
        <v>180</v>
      </c>
      <c r="C7" s="93">
        <v>250</v>
      </c>
      <c r="D7" s="42" t="s">
        <v>71</v>
      </c>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92" t="s">
        <v>183</v>
      </c>
      <c r="C8" s="93" t="s">
        <v>182</v>
      </c>
      <c r="D8" s="42" t="s">
        <v>71</v>
      </c>
      <c r="E8" s="21"/>
      <c r="F8" s="21"/>
      <c r="G8" s="21"/>
      <c r="H8" s="21"/>
      <c r="I8" s="21"/>
      <c r="J8" s="21"/>
      <c r="K8" s="21"/>
      <c r="L8" s="21"/>
      <c r="M8" s="21"/>
      <c r="N8" s="21"/>
      <c r="O8" s="20"/>
      <c r="Q8" s="487" t="s">
        <v>520</v>
      </c>
      <c r="R8" s="487"/>
      <c r="S8" s="487" t="s">
        <v>523</v>
      </c>
      <c r="T8" s="487"/>
      <c r="U8" s="487"/>
      <c r="V8" s="487"/>
      <c r="W8" s="487"/>
      <c r="X8" s="487"/>
      <c r="Y8" s="487"/>
      <c r="Z8" s="509" t="s">
        <v>325</v>
      </c>
    </row>
    <row r="9" spans="1:26" x14ac:dyDescent="0.3">
      <c r="A9" s="18"/>
      <c r="B9" s="21"/>
      <c r="C9" s="21"/>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x14ac:dyDescent="0.3">
      <c r="A11" s="18"/>
      <c r="B11" s="21"/>
      <c r="C11" s="21"/>
      <c r="D11" s="21"/>
      <c r="E11" s="21"/>
      <c r="F11" s="21"/>
      <c r="G11" s="21"/>
      <c r="H11" s="21"/>
      <c r="I11" s="21"/>
      <c r="J11" s="21"/>
      <c r="K11" s="21"/>
      <c r="L11" s="21"/>
      <c r="M11" s="21"/>
      <c r="N11" s="21"/>
      <c r="O11" s="20"/>
      <c r="Q11" s="487" t="s">
        <v>521</v>
      </c>
      <c r="R11" s="487"/>
      <c r="S11" s="487" t="s">
        <v>977</v>
      </c>
      <c r="T11" s="487"/>
      <c r="U11" s="487"/>
      <c r="V11" s="487"/>
      <c r="W11" s="487"/>
      <c r="X11" s="487"/>
      <c r="Y11" s="487"/>
      <c r="Z11" s="509" t="s">
        <v>325</v>
      </c>
    </row>
    <row r="12" spans="1:26" x14ac:dyDescent="0.3">
      <c r="A12" s="18"/>
      <c r="B12" s="21"/>
      <c r="C12" s="21"/>
      <c r="D12" s="21"/>
      <c r="E12" s="21"/>
      <c r="F12" s="21"/>
      <c r="G12" s="21"/>
      <c r="H12" s="21"/>
      <c r="I12" s="21"/>
      <c r="J12" s="21"/>
      <c r="K12" s="21"/>
      <c r="L12" s="21"/>
      <c r="M12" s="21"/>
      <c r="N12" s="21"/>
      <c r="O12" s="20"/>
      <c r="Q12" s="487"/>
      <c r="R12" s="487"/>
      <c r="S12" s="487"/>
      <c r="T12" s="487"/>
      <c r="U12" s="487"/>
      <c r="V12" s="487"/>
      <c r="W12" s="487"/>
      <c r="X12" s="487"/>
      <c r="Y12" s="487"/>
      <c r="Z12" s="509"/>
    </row>
    <row r="13" spans="1:26" x14ac:dyDescent="0.3">
      <c r="A13" s="18"/>
      <c r="B13" s="21"/>
      <c r="C13" s="21"/>
      <c r="D13" s="21"/>
      <c r="E13" s="21"/>
      <c r="F13" s="21"/>
      <c r="G13" s="21"/>
      <c r="H13" s="21"/>
      <c r="I13" s="21"/>
      <c r="J13" s="21"/>
      <c r="K13" s="21"/>
      <c r="L13" s="21"/>
      <c r="M13" s="21"/>
      <c r="N13" s="21"/>
      <c r="O13" s="20"/>
      <c r="Q13" s="487"/>
      <c r="R13" s="487"/>
      <c r="S13" s="487"/>
      <c r="T13" s="487"/>
      <c r="U13" s="487"/>
      <c r="V13" s="487"/>
      <c r="W13" s="487"/>
      <c r="X13" s="487"/>
      <c r="Y13" s="487"/>
      <c r="Z13" s="509"/>
    </row>
    <row r="14" spans="1:26" x14ac:dyDescent="0.3">
      <c r="A14" s="18"/>
      <c r="B14" s="45" t="s">
        <v>998</v>
      </c>
      <c r="C14" s="45" t="s">
        <v>2002</v>
      </c>
      <c r="D14" s="45" t="s">
        <v>2003</v>
      </c>
      <c r="E14" s="45" t="s">
        <v>2004</v>
      </c>
      <c r="F14" s="45" t="s">
        <v>263</v>
      </c>
      <c r="G14" s="21"/>
      <c r="H14" s="21"/>
      <c r="I14" s="21"/>
      <c r="J14" s="21"/>
      <c r="K14" s="21"/>
      <c r="L14" s="21"/>
      <c r="M14" s="21"/>
      <c r="N14" s="21"/>
      <c r="O14" s="20"/>
      <c r="Q14" s="484" t="s">
        <v>522</v>
      </c>
      <c r="R14" s="484"/>
      <c r="S14" s="484" t="s">
        <v>525</v>
      </c>
      <c r="T14" s="484"/>
      <c r="U14" s="484"/>
      <c r="V14" s="484"/>
      <c r="W14" s="484"/>
      <c r="X14" s="484"/>
      <c r="Y14" s="484"/>
      <c r="Z14" s="485" t="s">
        <v>326</v>
      </c>
    </row>
    <row r="15" spans="1:26" x14ac:dyDescent="0.3">
      <c r="A15" s="18"/>
      <c r="B15" s="95">
        <v>-50</v>
      </c>
      <c r="C15" s="95">
        <v>-500</v>
      </c>
      <c r="D15" s="95">
        <v>-450</v>
      </c>
      <c r="E15" s="95" t="s">
        <v>2251</v>
      </c>
      <c r="F15" s="96">
        <v>44226.328556354165</v>
      </c>
      <c r="G15" s="21"/>
      <c r="H15" s="21"/>
      <c r="I15" s="21"/>
      <c r="J15" s="21"/>
      <c r="K15" s="21"/>
      <c r="L15" s="21"/>
      <c r="M15" s="21"/>
      <c r="N15" s="21"/>
      <c r="O15" s="20"/>
      <c r="Q15" s="484"/>
      <c r="R15" s="484"/>
      <c r="S15" s="484"/>
      <c r="T15" s="484"/>
      <c r="U15" s="484"/>
      <c r="V15" s="484"/>
      <c r="W15" s="484"/>
      <c r="X15" s="484"/>
      <c r="Y15" s="484"/>
      <c r="Z15" s="485"/>
    </row>
    <row r="16" spans="1:26" x14ac:dyDescent="0.3">
      <c r="A16" s="18"/>
      <c r="B16" s="95"/>
      <c r="C16" s="95"/>
      <c r="D16" s="95"/>
      <c r="E16" s="95"/>
      <c r="F16" s="96"/>
      <c r="G16" s="21"/>
      <c r="H16" s="21"/>
      <c r="I16" s="21"/>
      <c r="J16" s="21"/>
      <c r="K16" s="21"/>
      <c r="L16" s="21"/>
      <c r="M16" s="21"/>
      <c r="N16" s="21"/>
      <c r="O16" s="20"/>
      <c r="Q16" s="484"/>
      <c r="R16" s="484"/>
      <c r="S16" s="484"/>
      <c r="T16" s="484"/>
      <c r="U16" s="484"/>
      <c r="V16" s="484"/>
      <c r="W16" s="484"/>
      <c r="X16" s="484"/>
      <c r="Y16" s="484"/>
      <c r="Z16" s="485"/>
    </row>
    <row r="17" spans="1:17" x14ac:dyDescent="0.3">
      <c r="A17" s="18"/>
      <c r="B17" s="95"/>
      <c r="C17" s="95"/>
      <c r="D17" s="95"/>
      <c r="E17" s="95"/>
      <c r="F17" s="96"/>
      <c r="G17" s="21"/>
      <c r="H17" s="21"/>
      <c r="I17" s="21"/>
      <c r="J17" s="21"/>
      <c r="K17" s="21"/>
      <c r="L17" s="21"/>
      <c r="M17" s="21"/>
      <c r="N17" s="21"/>
      <c r="O17" s="20"/>
      <c r="Q17" s="126" t="s">
        <v>328</v>
      </c>
    </row>
    <row r="18" spans="1:17" x14ac:dyDescent="0.3">
      <c r="A18" s="18"/>
      <c r="B18" s="95"/>
      <c r="C18" s="95"/>
      <c r="D18" s="95"/>
      <c r="E18" s="95"/>
      <c r="F18" s="96"/>
      <c r="G18" s="21"/>
      <c r="H18" s="21"/>
      <c r="I18" s="21"/>
      <c r="J18" s="21"/>
      <c r="K18" s="21"/>
      <c r="L18" s="21"/>
      <c r="M18" s="21"/>
      <c r="N18" s="21"/>
      <c r="O18" s="20"/>
    </row>
    <row r="19" spans="1:17" x14ac:dyDescent="0.3">
      <c r="A19" s="18"/>
      <c r="B19" s="95"/>
      <c r="C19" s="95"/>
      <c r="D19" s="95"/>
      <c r="E19" s="95"/>
      <c r="F19" s="96"/>
      <c r="G19" s="21"/>
      <c r="H19" s="21"/>
      <c r="I19" s="21"/>
      <c r="J19" s="21"/>
      <c r="K19" s="21"/>
      <c r="L19" s="21"/>
      <c r="M19" s="21"/>
      <c r="N19" s="21"/>
      <c r="O19" s="20"/>
    </row>
    <row r="20" spans="1:17" x14ac:dyDescent="0.3">
      <c r="A20" s="18"/>
      <c r="B20" s="95"/>
      <c r="C20" s="95"/>
      <c r="D20" s="95"/>
      <c r="E20" s="95"/>
      <c r="F20" s="96"/>
      <c r="G20" s="21"/>
      <c r="H20" s="21"/>
      <c r="I20" s="21"/>
      <c r="J20" s="21"/>
      <c r="K20" s="21"/>
      <c r="L20" s="21"/>
      <c r="M20" s="21"/>
      <c r="N20" s="21"/>
      <c r="O20" s="20"/>
    </row>
    <row r="21" spans="1:17" x14ac:dyDescent="0.3">
      <c r="A21" s="18"/>
      <c r="B21" s="95"/>
      <c r="C21" s="95"/>
      <c r="D21" s="95"/>
      <c r="E21" s="95"/>
      <c r="F21" s="96"/>
      <c r="G21" s="21"/>
      <c r="H21" s="21"/>
      <c r="I21" s="21"/>
      <c r="J21" s="21"/>
      <c r="K21" s="21"/>
      <c r="L21" s="21"/>
      <c r="M21" s="21"/>
      <c r="N21" s="21"/>
      <c r="O21" s="20"/>
    </row>
    <row r="22" spans="1:17" x14ac:dyDescent="0.3">
      <c r="A22" s="18"/>
      <c r="B22" s="95"/>
      <c r="C22" s="95"/>
      <c r="D22" s="95"/>
      <c r="E22" s="95"/>
      <c r="F22" s="96"/>
      <c r="G22" s="21"/>
      <c r="H22" s="21"/>
      <c r="I22" s="21"/>
      <c r="J22" s="21"/>
      <c r="K22" s="21"/>
      <c r="L22" s="21"/>
      <c r="M22" s="21"/>
      <c r="N22" s="21"/>
      <c r="O22" s="20"/>
    </row>
    <row r="23" spans="1:17" x14ac:dyDescent="0.3">
      <c r="A23" s="18"/>
      <c r="B23" s="95"/>
      <c r="C23" s="95"/>
      <c r="D23" s="95"/>
      <c r="E23" s="95"/>
      <c r="F23" s="96"/>
      <c r="G23" s="21"/>
      <c r="H23" s="21"/>
      <c r="I23" s="21"/>
      <c r="J23" s="21"/>
      <c r="K23" s="21"/>
      <c r="L23" s="21"/>
      <c r="M23" s="21"/>
      <c r="N23" s="21"/>
      <c r="O23" s="20"/>
    </row>
    <row r="24" spans="1:17" x14ac:dyDescent="0.3">
      <c r="A24" s="18"/>
      <c r="B24" s="95"/>
      <c r="C24" s="95"/>
      <c r="D24" s="95"/>
      <c r="E24" s="95"/>
      <c r="F24" s="96"/>
      <c r="G24" s="21"/>
      <c r="H24" s="21"/>
      <c r="I24" s="21"/>
      <c r="J24" s="21"/>
      <c r="K24" s="21"/>
      <c r="L24" s="21"/>
      <c r="M24" s="21"/>
      <c r="N24" s="21"/>
      <c r="O24" s="20"/>
    </row>
    <row r="25" spans="1:17" x14ac:dyDescent="0.3">
      <c r="A25" s="18"/>
      <c r="B25" s="95"/>
      <c r="C25" s="95"/>
      <c r="D25" s="95"/>
      <c r="E25" s="95"/>
      <c r="F25" s="96"/>
      <c r="G25" s="21"/>
      <c r="H25" s="21"/>
      <c r="I25" s="21"/>
      <c r="J25" s="21"/>
      <c r="K25" s="21"/>
      <c r="L25" s="21"/>
      <c r="M25" s="21"/>
      <c r="N25" s="21"/>
      <c r="O25" s="20"/>
    </row>
    <row r="26" spans="1:17" x14ac:dyDescent="0.3">
      <c r="A26" s="18"/>
      <c r="B26" s="21"/>
      <c r="C26" s="21"/>
      <c r="D26" s="21"/>
      <c r="E26" s="21"/>
      <c r="F26" s="21"/>
      <c r="G26" s="21"/>
      <c r="H26" s="21"/>
      <c r="I26" s="21"/>
      <c r="J26" s="21"/>
      <c r="K26" s="21"/>
      <c r="L26" s="21"/>
      <c r="M26" s="21"/>
      <c r="N26" s="21"/>
      <c r="O26" s="20"/>
    </row>
    <row r="27" spans="1:17" x14ac:dyDescent="0.3">
      <c r="A27" s="18"/>
      <c r="B27" s="21"/>
      <c r="C27" s="21"/>
      <c r="D27" s="21"/>
      <c r="E27" s="21"/>
      <c r="F27" s="21"/>
      <c r="G27" s="21"/>
      <c r="H27" s="21"/>
      <c r="I27" s="21"/>
      <c r="J27" s="21"/>
      <c r="K27" s="21"/>
      <c r="L27" s="21"/>
      <c r="M27" s="21"/>
      <c r="N27" s="21"/>
      <c r="O27" s="20"/>
    </row>
    <row r="28" spans="1:17" x14ac:dyDescent="0.3">
      <c r="A28" s="18"/>
      <c r="B28" s="21"/>
      <c r="C28" s="21"/>
      <c r="D28" s="21"/>
      <c r="E28" s="21"/>
      <c r="F28" s="21"/>
      <c r="G28" s="21"/>
      <c r="H28" s="21"/>
      <c r="I28" s="21"/>
      <c r="J28" s="21"/>
      <c r="K28" s="21"/>
      <c r="L28" s="21"/>
      <c r="M28" s="21"/>
      <c r="N28" s="21"/>
      <c r="O28" s="20"/>
    </row>
    <row r="29" spans="1:17" x14ac:dyDescent="0.3">
      <c r="A29" s="18"/>
      <c r="B29" s="21"/>
      <c r="C29" s="21"/>
      <c r="D29" s="21"/>
      <c r="E29" s="21"/>
      <c r="F29" s="21"/>
      <c r="G29" s="21"/>
      <c r="H29" s="21"/>
      <c r="I29" s="21"/>
      <c r="J29" s="21"/>
      <c r="K29" s="21"/>
      <c r="L29" s="21"/>
      <c r="M29" s="21"/>
      <c r="N29" s="21"/>
      <c r="O29" s="20"/>
    </row>
    <row r="30" spans="1:17" x14ac:dyDescent="0.3">
      <c r="A30" s="18"/>
      <c r="B30" s="21"/>
      <c r="C30" s="21"/>
      <c r="D30" s="21"/>
      <c r="E30" s="21"/>
      <c r="F30" s="21"/>
      <c r="G30" s="21"/>
      <c r="H30" s="21"/>
      <c r="I30" s="21"/>
      <c r="J30" s="21"/>
      <c r="K30" s="21"/>
      <c r="L30" s="21"/>
      <c r="M30" s="21"/>
      <c r="N30" s="21"/>
      <c r="O30" s="20"/>
    </row>
    <row r="31" spans="1:17" x14ac:dyDescent="0.3">
      <c r="A31" s="18"/>
      <c r="B31" s="21"/>
      <c r="C31" s="21"/>
      <c r="D31" s="21"/>
      <c r="E31" s="21"/>
      <c r="F31" s="21"/>
      <c r="G31" s="21"/>
      <c r="H31" s="21"/>
      <c r="I31" s="21"/>
      <c r="J31" s="21"/>
      <c r="K31" s="21"/>
      <c r="L31" s="21"/>
      <c r="M31" s="21"/>
      <c r="N31" s="21"/>
      <c r="O31" s="20"/>
    </row>
    <row r="32" spans="1:17" x14ac:dyDescent="0.3">
      <c r="A32" s="18"/>
      <c r="B32" s="21"/>
      <c r="C32" s="21"/>
      <c r="D32" s="21"/>
      <c r="E32" s="21"/>
      <c r="F32" s="21"/>
      <c r="G32" s="21"/>
      <c r="H32" s="21"/>
      <c r="I32" s="21"/>
      <c r="J32" s="21"/>
      <c r="K32" s="21"/>
      <c r="L32" s="21"/>
      <c r="M32" s="21"/>
      <c r="N32" s="21"/>
      <c r="O32" s="20"/>
    </row>
    <row r="33" spans="1:15" ht="15" thickBot="1" x14ac:dyDescent="0.35">
      <c r="A33" s="22"/>
      <c r="B33" s="23"/>
      <c r="C33" s="23"/>
      <c r="D33" s="23"/>
      <c r="E33" s="23"/>
      <c r="F33" s="23"/>
      <c r="G33" s="23"/>
      <c r="H33" s="23"/>
      <c r="I33" s="23"/>
      <c r="J33" s="23"/>
      <c r="K33" s="23"/>
      <c r="L33" s="23"/>
      <c r="M33" s="23"/>
      <c r="N33" s="23"/>
      <c r="O33" s="24"/>
    </row>
  </sheetData>
  <mergeCells count="14">
    <mergeCell ref="Q8:R10"/>
    <mergeCell ref="S8:Y10"/>
    <mergeCell ref="Z8:Z10"/>
    <mergeCell ref="Q3:Z3"/>
    <mergeCell ref="Q4:R6"/>
    <mergeCell ref="S4:Z6"/>
    <mergeCell ref="Q7:R7"/>
    <mergeCell ref="S7:Y7"/>
    <mergeCell ref="Q11:R13"/>
    <mergeCell ref="S11:Y13"/>
    <mergeCell ref="Z11:Z13"/>
    <mergeCell ref="Q14:R16"/>
    <mergeCell ref="S14:Y16"/>
    <mergeCell ref="Z14:Z16"/>
  </mergeCells>
  <pageMargins left="0.7" right="0.7" top="0.75" bottom="0.75" header="0.3" footer="0.3"/>
  <pageSetup orientation="portrait"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9"/>
  <dimension ref="A1:Z194"/>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41.21875" customWidth="1"/>
    <col min="4" max="4" width="17.44140625" customWidth="1"/>
    <col min="5" max="5" width="17.77734375" customWidth="1"/>
    <col min="6" max="14" width="12.21875" customWidth="1"/>
    <col min="15" max="15" width="5.77734375" customWidth="1"/>
    <col min="17" max="18" width="9.44140625" customWidth="1"/>
    <col min="19" max="25" width="13.21875" customWidth="1"/>
  </cols>
  <sheetData>
    <row r="1" spans="1:26" ht="34.5" customHeight="1" thickBot="1" x14ac:dyDescent="0.35">
      <c r="A1" s="292" t="s">
        <v>1580</v>
      </c>
      <c r="B1" s="473" t="e" vm="1">
        <v>#VALUE!</v>
      </c>
      <c r="C1" s="8" t="s">
        <v>67</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72</v>
      </c>
      <c r="B3" s="491"/>
      <c r="C3" s="491"/>
      <c r="D3" s="491"/>
      <c r="E3" s="491"/>
      <c r="F3" s="491"/>
      <c r="G3" s="491"/>
      <c r="H3" s="491"/>
      <c r="I3" s="491"/>
      <c r="J3" s="491"/>
      <c r="K3" s="491"/>
      <c r="L3" s="491"/>
      <c r="M3" s="491"/>
      <c r="N3" s="21"/>
      <c r="O3" s="20"/>
      <c r="Q3" s="486" t="s">
        <v>3544</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543</v>
      </c>
      <c r="T4" s="487"/>
      <c r="U4" s="487"/>
      <c r="V4" s="487"/>
      <c r="W4" s="487"/>
      <c r="X4" s="487"/>
      <c r="Y4" s="487"/>
      <c r="Z4" s="487"/>
    </row>
    <row r="5" spans="1:26" ht="15" customHeight="1" x14ac:dyDescent="0.3">
      <c r="A5" s="18"/>
      <c r="B5" s="492" t="s">
        <v>68</v>
      </c>
      <c r="C5" s="493"/>
      <c r="D5" s="26"/>
      <c r="E5" s="21"/>
      <c r="F5" s="21"/>
      <c r="G5" s="21"/>
      <c r="H5" s="21"/>
      <c r="I5" s="21"/>
      <c r="J5" s="21"/>
      <c r="K5" s="21"/>
      <c r="L5" s="21"/>
      <c r="M5" s="21"/>
      <c r="N5" s="21"/>
      <c r="O5" s="20"/>
      <c r="Q5" s="487"/>
      <c r="R5" s="487"/>
      <c r="S5" s="487"/>
      <c r="T5" s="487"/>
      <c r="U5" s="487"/>
      <c r="V5" s="487"/>
      <c r="W5" s="487"/>
      <c r="X5" s="487"/>
      <c r="Y5" s="487"/>
      <c r="Z5" s="487"/>
    </row>
    <row r="6" spans="1:26" ht="15" customHeight="1" x14ac:dyDescent="0.3">
      <c r="A6" s="18"/>
      <c r="B6" s="42">
        <v>1</v>
      </c>
      <c r="C6" s="44">
        <v>2</v>
      </c>
      <c r="D6" s="26"/>
      <c r="E6" s="21"/>
      <c r="F6" s="21"/>
      <c r="G6" s="21"/>
      <c r="H6" s="21"/>
      <c r="I6" s="21"/>
      <c r="J6" s="21"/>
      <c r="K6" s="21"/>
      <c r="L6" s="21"/>
      <c r="M6" s="21"/>
      <c r="N6" s="21"/>
      <c r="O6" s="20"/>
      <c r="Q6" s="487"/>
      <c r="R6" s="487"/>
      <c r="S6" s="487"/>
      <c r="T6" s="487"/>
      <c r="U6" s="487"/>
      <c r="V6" s="487"/>
      <c r="W6" s="487"/>
      <c r="X6" s="487"/>
      <c r="Y6" s="487"/>
      <c r="Z6" s="487"/>
    </row>
    <row r="7" spans="1:26" ht="15" customHeight="1" x14ac:dyDescent="0.3">
      <c r="A7" s="18"/>
      <c r="B7" s="42">
        <v>3</v>
      </c>
      <c r="C7" s="44">
        <v>4</v>
      </c>
      <c r="D7" s="26"/>
      <c r="E7" s="21"/>
      <c r="F7" s="21"/>
      <c r="G7" s="21"/>
      <c r="H7" s="21"/>
      <c r="I7" s="21"/>
      <c r="J7" s="21"/>
      <c r="K7" s="21"/>
      <c r="L7" s="21"/>
      <c r="M7" s="21"/>
      <c r="N7" s="21"/>
      <c r="O7" s="20"/>
      <c r="Q7" s="483" t="s">
        <v>323</v>
      </c>
      <c r="R7" s="483"/>
      <c r="S7" s="483" t="s">
        <v>1</v>
      </c>
      <c r="T7" s="483"/>
      <c r="U7" s="483"/>
      <c r="V7" s="483"/>
      <c r="W7" s="483"/>
      <c r="X7" s="483"/>
      <c r="Y7" s="483"/>
      <c r="Z7" s="85" t="s">
        <v>324</v>
      </c>
    </row>
    <row r="8" spans="1:26" ht="15" customHeight="1" x14ac:dyDescent="0.3">
      <c r="A8" s="18"/>
      <c r="B8" s="42">
        <v>5</v>
      </c>
      <c r="C8" s="44">
        <v>6</v>
      </c>
      <c r="D8" s="26"/>
      <c r="E8" s="21"/>
      <c r="F8" s="21"/>
      <c r="G8" s="21"/>
      <c r="H8" s="21"/>
      <c r="I8" s="21"/>
      <c r="J8" s="21"/>
      <c r="K8" s="21"/>
      <c r="L8" s="21"/>
      <c r="M8" s="21"/>
      <c r="N8" s="21"/>
      <c r="O8" s="20"/>
      <c r="Q8" s="487" t="s">
        <v>1903</v>
      </c>
      <c r="R8" s="487"/>
      <c r="S8" s="487" t="s">
        <v>3908</v>
      </c>
      <c r="T8" s="487"/>
      <c r="U8" s="487"/>
      <c r="V8" s="487"/>
      <c r="W8" s="487"/>
      <c r="X8" s="487"/>
      <c r="Y8" s="487"/>
      <c r="Z8" s="509" t="s">
        <v>325</v>
      </c>
    </row>
    <row r="9" spans="1:26" ht="15" customHeight="1" x14ac:dyDescent="0.3">
      <c r="A9" s="18"/>
      <c r="B9" s="21"/>
      <c r="C9" s="21"/>
      <c r="D9" s="26"/>
      <c r="E9" s="21"/>
      <c r="F9" s="21"/>
      <c r="G9" s="21"/>
      <c r="H9" s="21"/>
      <c r="I9" s="21"/>
      <c r="J9" s="21"/>
      <c r="K9" s="21"/>
      <c r="L9" s="21"/>
      <c r="M9" s="21"/>
      <c r="N9" s="21"/>
      <c r="O9" s="20"/>
      <c r="Q9" s="487"/>
      <c r="R9" s="487"/>
      <c r="S9" s="487"/>
      <c r="T9" s="487"/>
      <c r="U9" s="487"/>
      <c r="V9" s="487"/>
      <c r="W9" s="487"/>
      <c r="X9" s="487"/>
      <c r="Y9" s="487"/>
      <c r="Z9" s="509"/>
    </row>
    <row r="10" spans="1:26" ht="15" customHeight="1" x14ac:dyDescent="0.3">
      <c r="A10" s="18"/>
      <c r="B10" s="7" t="s">
        <v>70</v>
      </c>
      <c r="C10" s="6" cm="1">
        <f t="array" ref="C10">_xll.U.PASTE(_xll.U.TRANSPOSE(B6:C8*2),B13)</f>
        <v>46072.453147870372</v>
      </c>
      <c r="D10" s="26"/>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1"/>
      <c r="C11" s="21"/>
      <c r="D11" s="26"/>
      <c r="E11" s="21"/>
      <c r="F11" s="21"/>
      <c r="G11" s="21"/>
      <c r="H11" s="21"/>
      <c r="I11" s="21"/>
      <c r="J11" s="21"/>
      <c r="K11" s="21"/>
      <c r="L11" s="21"/>
      <c r="M11" s="21"/>
      <c r="N11" s="21"/>
      <c r="O11" s="20"/>
      <c r="Q11" s="487" t="s">
        <v>538</v>
      </c>
      <c r="R11" s="487"/>
      <c r="S11" s="487" t="s">
        <v>544</v>
      </c>
      <c r="T11" s="487"/>
      <c r="U11" s="487"/>
      <c r="V11" s="487"/>
      <c r="W11" s="487"/>
      <c r="X11" s="487"/>
      <c r="Y11" s="487"/>
      <c r="Z11" s="509" t="s">
        <v>325</v>
      </c>
    </row>
    <row r="12" spans="1:26" ht="15" customHeight="1" x14ac:dyDescent="0.3">
      <c r="A12" s="18"/>
      <c r="B12" s="586" t="s">
        <v>69</v>
      </c>
      <c r="C12" s="586"/>
      <c r="D12" s="586"/>
      <c r="E12" s="21"/>
      <c r="F12" s="21"/>
      <c r="G12" s="21"/>
      <c r="H12" s="21"/>
      <c r="I12" s="21"/>
      <c r="J12" s="21"/>
      <c r="K12" s="21"/>
      <c r="L12" s="21"/>
      <c r="M12" s="21"/>
      <c r="N12" s="21"/>
      <c r="O12" s="20"/>
      <c r="Q12" s="487"/>
      <c r="R12" s="487"/>
      <c r="S12" s="487"/>
      <c r="T12" s="487"/>
      <c r="U12" s="487"/>
      <c r="V12" s="487"/>
      <c r="W12" s="487"/>
      <c r="X12" s="487"/>
      <c r="Y12" s="487"/>
      <c r="Z12" s="509"/>
    </row>
    <row r="13" spans="1:26" ht="15" customHeight="1" x14ac:dyDescent="0.3">
      <c r="A13" s="18"/>
      <c r="B13" s="48">
        <v>2</v>
      </c>
      <c r="C13" s="48">
        <v>6</v>
      </c>
      <c r="D13" s="48">
        <v>10</v>
      </c>
      <c r="E13" s="21"/>
      <c r="F13" s="21"/>
      <c r="G13" s="21"/>
      <c r="H13" s="21"/>
      <c r="I13" s="21"/>
      <c r="J13" s="21"/>
      <c r="K13" s="21"/>
      <c r="L13" s="21"/>
      <c r="M13" s="21"/>
      <c r="N13" s="21"/>
      <c r="O13" s="20"/>
      <c r="Q13" s="487"/>
      <c r="R13" s="487"/>
      <c r="S13" s="487"/>
      <c r="T13" s="487"/>
      <c r="U13" s="487"/>
      <c r="V13" s="487"/>
      <c r="W13" s="487"/>
      <c r="X13" s="487"/>
      <c r="Y13" s="487"/>
      <c r="Z13" s="509"/>
    </row>
    <row r="14" spans="1:26" ht="15" customHeight="1" x14ac:dyDescent="0.3">
      <c r="A14" s="18"/>
      <c r="B14" s="48">
        <v>4</v>
      </c>
      <c r="C14" s="48">
        <v>8</v>
      </c>
      <c r="D14" s="48">
        <v>12</v>
      </c>
      <c r="E14" s="21"/>
      <c r="F14" s="21"/>
      <c r="G14" s="21"/>
      <c r="H14" s="21"/>
      <c r="I14" s="21"/>
      <c r="J14" s="21"/>
      <c r="K14" s="21"/>
      <c r="L14" s="21"/>
      <c r="M14" s="21"/>
      <c r="N14" s="21"/>
      <c r="O14" s="20"/>
      <c r="Q14" s="496" t="s">
        <v>539</v>
      </c>
      <c r="R14" s="497"/>
      <c r="S14" s="496" t="s">
        <v>1426</v>
      </c>
      <c r="T14" s="502"/>
      <c r="U14" s="502"/>
      <c r="V14" s="502"/>
      <c r="W14" s="502"/>
      <c r="X14" s="502"/>
      <c r="Y14" s="497"/>
      <c r="Z14" s="505" t="s">
        <v>326</v>
      </c>
    </row>
    <row r="15" spans="1:26" ht="15" customHeight="1" x14ac:dyDescent="0.3">
      <c r="A15" s="18"/>
      <c r="B15" s="21" t="s">
        <v>71</v>
      </c>
      <c r="C15" s="21" t="s">
        <v>71</v>
      </c>
      <c r="D15" s="21" t="s">
        <v>71</v>
      </c>
      <c r="E15" s="21" t="s">
        <v>71</v>
      </c>
      <c r="F15" s="21"/>
      <c r="G15" s="21"/>
      <c r="H15" s="21"/>
      <c r="I15" s="21"/>
      <c r="J15" s="21"/>
      <c r="K15" s="21"/>
      <c r="L15" s="21"/>
      <c r="M15" s="21"/>
      <c r="N15" s="21"/>
      <c r="O15" s="20"/>
      <c r="Q15" s="498"/>
      <c r="R15" s="499"/>
      <c r="S15" s="498"/>
      <c r="T15" s="503"/>
      <c r="U15" s="503"/>
      <c r="V15" s="503"/>
      <c r="W15" s="503"/>
      <c r="X15" s="503"/>
      <c r="Y15" s="499"/>
      <c r="Z15" s="506"/>
    </row>
    <row r="16" spans="1:26" ht="15" customHeight="1" x14ac:dyDescent="0.3">
      <c r="A16" s="18"/>
      <c r="B16" s="7" t="s">
        <v>70</v>
      </c>
      <c r="C16" s="6" cm="1">
        <f t="array" ref="C16">_xll.U.PASTE(B6:C8,B19,2,2)</f>
        <v>46072.453054016201</v>
      </c>
      <c r="D16" s="21" t="s">
        <v>71</v>
      </c>
      <c r="E16" s="21" t="s">
        <v>71</v>
      </c>
      <c r="F16" s="21"/>
      <c r="G16" s="21"/>
      <c r="H16" s="21"/>
      <c r="I16" s="21"/>
      <c r="J16" s="21"/>
      <c r="K16" s="21"/>
      <c r="L16" s="21"/>
      <c r="M16" s="21"/>
      <c r="N16" s="21"/>
      <c r="O16" s="20"/>
      <c r="Q16" s="500"/>
      <c r="R16" s="501"/>
      <c r="S16" s="500"/>
      <c r="T16" s="504"/>
      <c r="U16" s="504"/>
      <c r="V16" s="504"/>
      <c r="W16" s="504"/>
      <c r="X16" s="504"/>
      <c r="Y16" s="501"/>
      <c r="Z16" s="507"/>
    </row>
    <row r="17" spans="1:26" ht="15" customHeight="1" x14ac:dyDescent="0.3">
      <c r="A17" s="18"/>
      <c r="B17" s="21" t="s">
        <v>71</v>
      </c>
      <c r="C17" s="21" t="s">
        <v>71</v>
      </c>
      <c r="D17" s="21" t="s">
        <v>71</v>
      </c>
      <c r="E17" s="21" t="s">
        <v>71</v>
      </c>
      <c r="F17" s="21"/>
      <c r="G17" s="21"/>
      <c r="H17" s="21"/>
      <c r="I17" s="21"/>
      <c r="J17" s="21"/>
      <c r="K17" s="21"/>
      <c r="L17" s="21"/>
      <c r="M17" s="21"/>
      <c r="N17" s="21"/>
      <c r="O17" s="20"/>
      <c r="Q17" s="496" t="s">
        <v>540</v>
      </c>
      <c r="R17" s="497"/>
      <c r="S17" s="496" t="s">
        <v>1427</v>
      </c>
      <c r="T17" s="502"/>
      <c r="U17" s="502"/>
      <c r="V17" s="502"/>
      <c r="W17" s="502"/>
      <c r="X17" s="502"/>
      <c r="Y17" s="497"/>
      <c r="Z17" s="505" t="s">
        <v>326</v>
      </c>
    </row>
    <row r="18" spans="1:26" ht="15" customHeight="1" x14ac:dyDescent="0.3">
      <c r="A18" s="18"/>
      <c r="B18" s="587" t="s">
        <v>69</v>
      </c>
      <c r="C18" s="588"/>
      <c r="D18" s="21" t="s">
        <v>71</v>
      </c>
      <c r="E18" s="21" t="s">
        <v>71</v>
      </c>
      <c r="F18" s="21"/>
      <c r="G18" s="21"/>
      <c r="H18" s="21"/>
      <c r="I18" s="21"/>
      <c r="J18" s="21"/>
      <c r="K18" s="21"/>
      <c r="L18" s="21"/>
      <c r="M18" s="21"/>
      <c r="N18" s="21"/>
      <c r="O18" s="20"/>
      <c r="Q18" s="498"/>
      <c r="R18" s="499"/>
      <c r="S18" s="498"/>
      <c r="T18" s="503"/>
      <c r="U18" s="503"/>
      <c r="V18" s="503"/>
      <c r="W18" s="503"/>
      <c r="X18" s="503"/>
      <c r="Y18" s="499"/>
      <c r="Z18" s="506"/>
    </row>
    <row r="19" spans="1:26" ht="15" customHeight="1" x14ac:dyDescent="0.3">
      <c r="A19" s="18"/>
      <c r="B19" s="48">
        <v>1</v>
      </c>
      <c r="C19" s="48">
        <v>2</v>
      </c>
      <c r="D19" s="21"/>
      <c r="E19" s="21" t="s">
        <v>71</v>
      </c>
      <c r="F19" s="21"/>
      <c r="G19" s="21"/>
      <c r="H19" s="21"/>
      <c r="I19" s="21"/>
      <c r="J19" s="21"/>
      <c r="K19" s="21"/>
      <c r="L19" s="21"/>
      <c r="M19" s="21"/>
      <c r="N19" s="21"/>
      <c r="O19" s="20"/>
      <c r="Q19" s="500"/>
      <c r="R19" s="501"/>
      <c r="S19" s="500"/>
      <c r="T19" s="504"/>
      <c r="U19" s="504"/>
      <c r="V19" s="504"/>
      <c r="W19" s="504"/>
      <c r="X19" s="504"/>
      <c r="Y19" s="501"/>
      <c r="Z19" s="507"/>
    </row>
    <row r="20" spans="1:26" ht="15" customHeight="1" x14ac:dyDescent="0.3">
      <c r="A20" s="18"/>
      <c r="B20" s="48">
        <v>3</v>
      </c>
      <c r="C20" s="48">
        <v>4</v>
      </c>
      <c r="D20" s="21"/>
      <c r="E20" s="21" t="s">
        <v>71</v>
      </c>
      <c r="F20" s="21"/>
      <c r="G20" s="21"/>
      <c r="H20" s="21"/>
      <c r="I20" s="21"/>
      <c r="J20" s="21"/>
      <c r="K20" s="21"/>
      <c r="L20" s="21"/>
      <c r="M20" s="21"/>
      <c r="N20" s="21"/>
      <c r="O20" s="20"/>
      <c r="Q20" s="496" t="s">
        <v>542</v>
      </c>
      <c r="R20" s="497"/>
      <c r="S20" s="496" t="s">
        <v>545</v>
      </c>
      <c r="T20" s="502"/>
      <c r="U20" s="502"/>
      <c r="V20" s="502"/>
      <c r="W20" s="502"/>
      <c r="X20" s="502"/>
      <c r="Y20" s="497"/>
      <c r="Z20" s="505" t="s">
        <v>326</v>
      </c>
    </row>
    <row r="21" spans="1:26" ht="15" customHeight="1" x14ac:dyDescent="0.3">
      <c r="A21" s="18"/>
      <c r="B21" s="48"/>
      <c r="C21" s="48"/>
      <c r="D21" s="21" t="s">
        <v>71</v>
      </c>
      <c r="E21" s="21" t="s">
        <v>71</v>
      </c>
      <c r="F21" s="21"/>
      <c r="G21" s="21"/>
      <c r="H21" s="21"/>
      <c r="I21" s="21"/>
      <c r="J21" s="21"/>
      <c r="K21" s="21"/>
      <c r="L21" s="21"/>
      <c r="M21" s="21"/>
      <c r="N21" s="21"/>
      <c r="O21" s="20"/>
      <c r="Q21" s="498"/>
      <c r="R21" s="499"/>
      <c r="S21" s="498"/>
      <c r="T21" s="503"/>
      <c r="U21" s="503"/>
      <c r="V21" s="503"/>
      <c r="W21" s="503"/>
      <c r="X21" s="503"/>
      <c r="Y21" s="499"/>
      <c r="Z21" s="506"/>
    </row>
    <row r="22" spans="1:26" ht="15" customHeight="1" x14ac:dyDescent="0.3">
      <c r="A22" s="18"/>
      <c r="B22" s="21" t="s">
        <v>71</v>
      </c>
      <c r="C22" s="21" t="s">
        <v>71</v>
      </c>
      <c r="D22" s="21" t="s">
        <v>71</v>
      </c>
      <c r="E22" s="21" t="s">
        <v>71</v>
      </c>
      <c r="F22" s="21"/>
      <c r="G22" s="21"/>
      <c r="H22" s="21"/>
      <c r="I22" s="21"/>
      <c r="J22" s="21"/>
      <c r="K22" s="21"/>
      <c r="L22" s="21"/>
      <c r="M22" s="21"/>
      <c r="N22" s="21"/>
      <c r="O22" s="20"/>
      <c r="Q22" s="500"/>
      <c r="R22" s="501"/>
      <c r="S22" s="500"/>
      <c r="T22" s="504"/>
      <c r="U22" s="504"/>
      <c r="V22" s="504"/>
      <c r="W22" s="504"/>
      <c r="X22" s="504"/>
      <c r="Y22" s="501"/>
      <c r="Z22" s="507"/>
    </row>
    <row r="23" spans="1:26" ht="15" customHeight="1" x14ac:dyDescent="0.3">
      <c r="A23" s="18"/>
      <c r="B23" s="21" t="s">
        <v>71</v>
      </c>
      <c r="C23" s="21" t="s">
        <v>71</v>
      </c>
      <c r="D23" s="21" t="s">
        <v>71</v>
      </c>
      <c r="E23" s="21" t="s">
        <v>71</v>
      </c>
      <c r="F23" s="21"/>
      <c r="G23" s="21"/>
      <c r="H23" s="21"/>
      <c r="I23" s="21"/>
      <c r="J23" s="21"/>
      <c r="K23" s="21"/>
      <c r="L23" s="21"/>
      <c r="M23" s="21"/>
      <c r="N23" s="21"/>
      <c r="O23" s="20"/>
      <c r="Q23" s="496" t="s">
        <v>541</v>
      </c>
      <c r="R23" s="497"/>
      <c r="S23" s="496" t="s">
        <v>3884</v>
      </c>
      <c r="T23" s="502"/>
      <c r="U23" s="502"/>
      <c r="V23" s="502"/>
      <c r="W23" s="502"/>
      <c r="X23" s="502"/>
      <c r="Y23" s="497"/>
      <c r="Z23" s="505" t="s">
        <v>326</v>
      </c>
    </row>
    <row r="24" spans="1:26" ht="15" customHeight="1" x14ac:dyDescent="0.3">
      <c r="A24" s="18"/>
      <c r="B24" s="21" t="s">
        <v>71</v>
      </c>
      <c r="C24" s="21" t="s">
        <v>71</v>
      </c>
      <c r="D24" s="21" t="s">
        <v>71</v>
      </c>
      <c r="E24" s="21" t="s">
        <v>71</v>
      </c>
      <c r="F24" s="21"/>
      <c r="G24" s="21"/>
      <c r="H24" s="21"/>
      <c r="I24" s="21"/>
      <c r="J24" s="21"/>
      <c r="K24" s="21"/>
      <c r="L24" s="21"/>
      <c r="M24" s="21"/>
      <c r="N24" s="21"/>
      <c r="O24" s="20"/>
      <c r="Q24" s="498"/>
      <c r="R24" s="499"/>
      <c r="S24" s="498"/>
      <c r="T24" s="503"/>
      <c r="U24" s="503"/>
      <c r="V24" s="503"/>
      <c r="W24" s="503"/>
      <c r="X24" s="503"/>
      <c r="Y24" s="499"/>
      <c r="Z24" s="506"/>
    </row>
    <row r="25" spans="1:26" ht="15" customHeight="1" x14ac:dyDescent="0.3">
      <c r="A25" s="18"/>
      <c r="B25" s="21"/>
      <c r="C25" s="21"/>
      <c r="D25" s="21"/>
      <c r="E25" s="21"/>
      <c r="F25" s="21"/>
      <c r="G25" s="21"/>
      <c r="H25" s="21"/>
      <c r="I25" s="21"/>
      <c r="J25" s="21"/>
      <c r="K25" s="21"/>
      <c r="L25" s="21"/>
      <c r="M25" s="21"/>
      <c r="N25" s="21"/>
      <c r="O25" s="20"/>
      <c r="Q25" s="500"/>
      <c r="R25" s="501"/>
      <c r="S25" s="500"/>
      <c r="T25" s="504"/>
      <c r="U25" s="504"/>
      <c r="V25" s="504"/>
      <c r="W25" s="504"/>
      <c r="X25" s="504"/>
      <c r="Y25" s="501"/>
      <c r="Z25" s="507"/>
    </row>
    <row r="26" spans="1:26" ht="15" customHeight="1" x14ac:dyDescent="0.3">
      <c r="A26" s="18"/>
      <c r="B26" s="7" t="s">
        <v>70</v>
      </c>
      <c r="C26" s="6" cm="1">
        <f t="array" ref="C26">_xll.U.PASTE(B6:C8,B29:B30,,,,-1)</f>
        <v>46072.45314784722</v>
      </c>
      <c r="D26" s="21"/>
      <c r="E26" s="21"/>
      <c r="F26" s="21"/>
      <c r="G26" s="21"/>
      <c r="H26" s="21"/>
      <c r="I26" s="21"/>
      <c r="J26" s="21"/>
      <c r="K26" s="21"/>
      <c r="L26" s="21"/>
      <c r="M26" s="21"/>
      <c r="N26" s="21"/>
      <c r="O26" s="20"/>
      <c r="Q26" s="496" t="s">
        <v>925</v>
      </c>
      <c r="R26" s="497"/>
      <c r="S26" s="496" t="s">
        <v>952</v>
      </c>
      <c r="T26" s="502"/>
      <c r="U26" s="502"/>
      <c r="V26" s="502"/>
      <c r="W26" s="502"/>
      <c r="X26" s="502"/>
      <c r="Y26" s="497"/>
      <c r="Z26" s="505" t="s">
        <v>326</v>
      </c>
    </row>
    <row r="27" spans="1:26" x14ac:dyDescent="0.3">
      <c r="A27" s="18"/>
      <c r="B27" s="21" t="s">
        <v>71</v>
      </c>
      <c r="C27" s="21" t="s">
        <v>71</v>
      </c>
      <c r="D27" s="21"/>
      <c r="E27" s="21"/>
      <c r="F27" s="21"/>
      <c r="G27" s="21"/>
      <c r="H27" s="21"/>
      <c r="I27" s="21"/>
      <c r="J27" s="21"/>
      <c r="K27" s="21"/>
      <c r="L27" s="21"/>
      <c r="M27" s="21"/>
      <c r="N27" s="21"/>
      <c r="O27" s="20"/>
      <c r="Q27" s="498"/>
      <c r="R27" s="499"/>
      <c r="S27" s="498"/>
      <c r="T27" s="503"/>
      <c r="U27" s="503"/>
      <c r="V27" s="503"/>
      <c r="W27" s="503"/>
      <c r="X27" s="503"/>
      <c r="Y27" s="499"/>
      <c r="Z27" s="506"/>
    </row>
    <row r="28" spans="1:26" x14ac:dyDescent="0.3">
      <c r="A28" s="18"/>
      <c r="B28" s="587" t="s">
        <v>69</v>
      </c>
      <c r="C28" s="588"/>
      <c r="D28" s="21"/>
      <c r="E28" s="21"/>
      <c r="F28" s="21"/>
      <c r="G28" s="21"/>
      <c r="H28" s="21"/>
      <c r="I28" s="21"/>
      <c r="J28" s="21"/>
      <c r="K28" s="21"/>
      <c r="L28" s="21"/>
      <c r="M28" s="21"/>
      <c r="N28" s="21"/>
      <c r="O28" s="20"/>
      <c r="Q28" s="500"/>
      <c r="R28" s="501"/>
      <c r="S28" s="500"/>
      <c r="T28" s="504"/>
      <c r="U28" s="504"/>
      <c r="V28" s="504"/>
      <c r="W28" s="504"/>
      <c r="X28" s="504"/>
      <c r="Y28" s="501"/>
      <c r="Z28" s="507"/>
    </row>
    <row r="29" spans="1:26" x14ac:dyDescent="0.3">
      <c r="A29" s="18"/>
      <c r="B29" s="48">
        <v>1</v>
      </c>
      <c r="C29" s="48">
        <v>2</v>
      </c>
      <c r="D29" s="21"/>
      <c r="E29" s="21"/>
      <c r="F29" s="21"/>
      <c r="G29" s="21"/>
      <c r="H29" s="21"/>
      <c r="I29" s="21"/>
      <c r="J29" s="21"/>
      <c r="K29" s="21"/>
      <c r="L29" s="21"/>
      <c r="M29" s="21"/>
      <c r="N29" s="21"/>
      <c r="O29" s="20"/>
      <c r="Q29" s="496" t="s">
        <v>2222</v>
      </c>
      <c r="R29" s="497"/>
      <c r="S29" s="496" t="s">
        <v>2223</v>
      </c>
      <c r="T29" s="502"/>
      <c r="U29" s="502"/>
      <c r="V29" s="502"/>
      <c r="W29" s="502"/>
      <c r="X29" s="502"/>
      <c r="Y29" s="497"/>
      <c r="Z29" s="505" t="s">
        <v>326</v>
      </c>
    </row>
    <row r="30" spans="1:26" x14ac:dyDescent="0.3">
      <c r="A30" s="18"/>
      <c r="B30" s="48">
        <v>3</v>
      </c>
      <c r="C30" s="48">
        <v>4</v>
      </c>
      <c r="D30" s="21"/>
      <c r="E30" s="21"/>
      <c r="F30" s="21"/>
      <c r="G30" s="21"/>
      <c r="H30" s="21"/>
      <c r="I30" s="21"/>
      <c r="J30" s="21"/>
      <c r="K30" s="21"/>
      <c r="L30" s="21"/>
      <c r="M30" s="21"/>
      <c r="N30" s="21"/>
      <c r="O30" s="20"/>
      <c r="Q30" s="498"/>
      <c r="R30" s="499"/>
      <c r="S30" s="498"/>
      <c r="T30" s="503"/>
      <c r="U30" s="503"/>
      <c r="V30" s="503"/>
      <c r="W30" s="503"/>
      <c r="X30" s="503"/>
      <c r="Y30" s="499"/>
      <c r="Z30" s="506"/>
    </row>
    <row r="31" spans="1:26" x14ac:dyDescent="0.3">
      <c r="A31" s="18"/>
      <c r="B31" s="48"/>
      <c r="C31" s="48"/>
      <c r="D31" s="21"/>
      <c r="E31" s="21"/>
      <c r="F31" s="21"/>
      <c r="G31" s="21"/>
      <c r="H31" s="21"/>
      <c r="I31" s="21"/>
      <c r="J31" s="21"/>
      <c r="K31" s="21"/>
      <c r="L31" s="21"/>
      <c r="M31" s="21"/>
      <c r="N31" s="21"/>
      <c r="O31" s="20"/>
      <c r="Q31" s="500"/>
      <c r="R31" s="501"/>
      <c r="S31" s="500"/>
      <c r="T31" s="504"/>
      <c r="U31" s="504"/>
      <c r="V31" s="504"/>
      <c r="W31" s="504"/>
      <c r="X31" s="504"/>
      <c r="Y31" s="501"/>
      <c r="Z31" s="507"/>
    </row>
    <row r="32" spans="1:26" ht="15" customHeight="1" x14ac:dyDescent="0.3">
      <c r="A32" s="18"/>
      <c r="B32" s="21"/>
      <c r="C32" s="21"/>
      <c r="D32" s="21"/>
      <c r="E32" s="21"/>
      <c r="F32" s="21"/>
      <c r="G32" s="21"/>
      <c r="H32" s="21"/>
      <c r="I32" s="21"/>
      <c r="J32" s="21"/>
      <c r="K32" s="21"/>
      <c r="L32" s="21"/>
      <c r="M32" s="21"/>
      <c r="N32" s="21"/>
      <c r="O32" s="20"/>
      <c r="Q32" s="496" t="s">
        <v>2299</v>
      </c>
      <c r="R32" s="497"/>
      <c r="S32" s="496" t="s">
        <v>3088</v>
      </c>
      <c r="T32" s="502"/>
      <c r="U32" s="502"/>
      <c r="V32" s="502"/>
      <c r="W32" s="502"/>
      <c r="X32" s="502"/>
      <c r="Y32" s="497"/>
      <c r="Z32" s="505" t="s">
        <v>326</v>
      </c>
    </row>
    <row r="33" spans="1:26" x14ac:dyDescent="0.3">
      <c r="A33" s="18"/>
      <c r="B33" s="21"/>
      <c r="C33" s="21"/>
      <c r="D33" s="21"/>
      <c r="E33" s="21"/>
      <c r="F33" s="21"/>
      <c r="G33" s="21"/>
      <c r="H33" s="21"/>
      <c r="I33" s="21"/>
      <c r="J33" s="21"/>
      <c r="K33" s="21"/>
      <c r="L33" s="21"/>
      <c r="M33" s="21"/>
      <c r="N33" s="21"/>
      <c r="O33" s="20"/>
      <c r="Q33" s="498"/>
      <c r="R33" s="499"/>
      <c r="S33" s="498"/>
      <c r="T33" s="503"/>
      <c r="U33" s="503"/>
      <c r="V33" s="503"/>
      <c r="W33" s="503"/>
      <c r="X33" s="503"/>
      <c r="Y33" s="499"/>
      <c r="Z33" s="506"/>
    </row>
    <row r="34" spans="1:26" x14ac:dyDescent="0.3">
      <c r="A34" s="18"/>
      <c r="B34" s="21"/>
      <c r="C34" s="21"/>
      <c r="D34" s="21"/>
      <c r="E34" s="21"/>
      <c r="F34" s="21"/>
      <c r="G34" s="21"/>
      <c r="H34" s="21"/>
      <c r="I34" s="21"/>
      <c r="J34" s="21"/>
      <c r="K34" s="21"/>
      <c r="L34" s="21"/>
      <c r="M34" s="21"/>
      <c r="N34" s="21"/>
      <c r="O34" s="20"/>
      <c r="Q34" s="500"/>
      <c r="R34" s="501"/>
      <c r="S34" s="500"/>
      <c r="T34" s="504"/>
      <c r="U34" s="504"/>
      <c r="V34" s="504"/>
      <c r="W34" s="504"/>
      <c r="X34" s="504"/>
      <c r="Y34" s="501"/>
      <c r="Z34" s="507"/>
    </row>
    <row r="35" spans="1:26" x14ac:dyDescent="0.3">
      <c r="A35" s="18"/>
      <c r="B35" s="21"/>
      <c r="C35" s="21"/>
      <c r="D35" s="21"/>
      <c r="E35" s="21"/>
      <c r="F35" s="21"/>
      <c r="G35" s="21"/>
      <c r="H35" s="21"/>
      <c r="I35" s="21"/>
      <c r="J35" s="21"/>
      <c r="K35" s="21"/>
      <c r="L35" s="21"/>
      <c r="M35" s="21"/>
      <c r="N35" s="21"/>
      <c r="O35" s="20"/>
      <c r="Q35" s="126" t="s">
        <v>328</v>
      </c>
    </row>
    <row r="36" spans="1:26" x14ac:dyDescent="0.3">
      <c r="A36" s="18"/>
      <c r="B36" s="21"/>
      <c r="C36" s="21"/>
      <c r="D36" s="21"/>
      <c r="E36" s="21"/>
      <c r="F36" s="21"/>
      <c r="G36" s="21"/>
      <c r="H36" s="21"/>
      <c r="I36" s="21"/>
      <c r="J36" s="21"/>
      <c r="K36" s="21"/>
      <c r="L36" s="21"/>
      <c r="M36" s="21"/>
      <c r="N36" s="21"/>
      <c r="O36" s="20"/>
    </row>
    <row r="37" spans="1:26" x14ac:dyDescent="0.3">
      <c r="A37" s="18"/>
      <c r="B37" s="21"/>
      <c r="C37" s="21"/>
      <c r="D37" s="21"/>
      <c r="E37" s="21"/>
      <c r="F37" s="21"/>
      <c r="G37" s="21"/>
      <c r="H37" s="21"/>
      <c r="I37" s="21"/>
      <c r="J37" s="21"/>
      <c r="K37" s="21"/>
      <c r="L37" s="21"/>
      <c r="M37" s="21"/>
      <c r="N37" s="21"/>
      <c r="O37" s="20"/>
    </row>
    <row r="38" spans="1:26" x14ac:dyDescent="0.3">
      <c r="A38" s="18"/>
      <c r="B38" s="21"/>
      <c r="C38" s="21"/>
      <c r="D38" s="21"/>
      <c r="E38" s="21"/>
      <c r="F38" s="21"/>
      <c r="G38" s="21"/>
      <c r="H38" s="21"/>
      <c r="I38" s="21"/>
      <c r="J38" s="21"/>
      <c r="K38" s="21"/>
      <c r="L38" s="21"/>
      <c r="M38" s="21"/>
      <c r="N38" s="21"/>
      <c r="O38" s="20"/>
      <c r="Q38" s="486" t="s">
        <v>3545</v>
      </c>
      <c r="R38" s="486"/>
      <c r="S38" s="486"/>
      <c r="T38" s="486"/>
      <c r="U38" s="486"/>
      <c r="V38" s="486"/>
      <c r="W38" s="486"/>
      <c r="X38" s="486"/>
      <c r="Y38" s="486"/>
      <c r="Z38" s="486"/>
    </row>
    <row r="39" spans="1:26" x14ac:dyDescent="0.3">
      <c r="A39" s="18"/>
      <c r="B39" s="21"/>
      <c r="C39" s="21"/>
      <c r="D39" s="21"/>
      <c r="E39" s="21"/>
      <c r="F39" s="21"/>
      <c r="G39" s="21"/>
      <c r="H39" s="21"/>
      <c r="I39" s="21"/>
      <c r="J39" s="21"/>
      <c r="K39" s="21"/>
      <c r="L39" s="21"/>
      <c r="M39" s="21"/>
      <c r="N39" s="21"/>
      <c r="O39" s="20"/>
      <c r="Q39" s="487" t="s">
        <v>333</v>
      </c>
      <c r="R39" s="487"/>
      <c r="S39" s="487" t="s">
        <v>3546</v>
      </c>
      <c r="T39" s="487"/>
      <c r="U39" s="487"/>
      <c r="V39" s="487"/>
      <c r="W39" s="487"/>
      <c r="X39" s="487"/>
      <c r="Y39" s="487"/>
      <c r="Z39" s="487"/>
    </row>
    <row r="40" spans="1:26" x14ac:dyDescent="0.3">
      <c r="A40" s="18"/>
      <c r="B40" s="21"/>
      <c r="C40" s="21"/>
      <c r="D40" s="21"/>
      <c r="E40" s="21"/>
      <c r="F40" s="21"/>
      <c r="G40" s="21"/>
      <c r="H40" s="21"/>
      <c r="I40" s="21"/>
      <c r="J40" s="21"/>
      <c r="K40" s="21"/>
      <c r="L40" s="21"/>
      <c r="M40" s="21"/>
      <c r="N40" s="21"/>
      <c r="O40" s="20"/>
      <c r="Q40" s="487"/>
      <c r="R40" s="487"/>
      <c r="S40" s="487"/>
      <c r="T40" s="487"/>
      <c r="U40" s="487"/>
      <c r="V40" s="487"/>
      <c r="W40" s="487"/>
      <c r="X40" s="487"/>
      <c r="Y40" s="487"/>
      <c r="Z40" s="487"/>
    </row>
    <row r="41" spans="1:26" x14ac:dyDescent="0.3">
      <c r="A41" s="18"/>
      <c r="B41" s="21"/>
      <c r="C41" s="21"/>
      <c r="D41" s="21"/>
      <c r="E41" s="21"/>
      <c r="F41" s="21"/>
      <c r="G41" s="21"/>
      <c r="H41" s="21"/>
      <c r="I41" s="21"/>
      <c r="J41" s="21"/>
      <c r="K41" s="21"/>
      <c r="L41" s="21"/>
      <c r="M41" s="21"/>
      <c r="N41" s="21"/>
      <c r="O41" s="20"/>
      <c r="Q41" s="487"/>
      <c r="R41" s="487"/>
      <c r="S41" s="487"/>
      <c r="T41" s="487"/>
      <c r="U41" s="487"/>
      <c r="V41" s="487"/>
      <c r="W41" s="487"/>
      <c r="X41" s="487"/>
      <c r="Y41" s="487"/>
      <c r="Z41" s="487"/>
    </row>
    <row r="42" spans="1:26" x14ac:dyDescent="0.3">
      <c r="A42" s="18"/>
      <c r="B42" s="21"/>
      <c r="C42" s="21"/>
      <c r="D42" s="21"/>
      <c r="E42" s="21"/>
      <c r="F42" s="21"/>
      <c r="G42" s="21"/>
      <c r="H42" s="21"/>
      <c r="I42" s="21"/>
      <c r="J42" s="21"/>
      <c r="K42" s="21"/>
      <c r="L42" s="21"/>
      <c r="M42" s="21"/>
      <c r="N42" s="21"/>
      <c r="O42" s="20"/>
      <c r="Q42" s="483" t="s">
        <v>323</v>
      </c>
      <c r="R42" s="483"/>
      <c r="S42" s="483" t="s">
        <v>1</v>
      </c>
      <c r="T42" s="483"/>
      <c r="U42" s="483"/>
      <c r="V42" s="483"/>
      <c r="W42" s="483"/>
      <c r="X42" s="483"/>
      <c r="Y42" s="483"/>
      <c r="Z42" s="85" t="s">
        <v>324</v>
      </c>
    </row>
    <row r="43" spans="1:26" x14ac:dyDescent="0.3">
      <c r="A43" s="18"/>
      <c r="B43" s="21"/>
      <c r="C43" s="21"/>
      <c r="D43" s="21"/>
      <c r="E43" s="21"/>
      <c r="F43" s="21"/>
      <c r="G43" s="21"/>
      <c r="H43" s="21"/>
      <c r="I43" s="21"/>
      <c r="J43" s="21"/>
      <c r="K43" s="21"/>
      <c r="L43" s="21"/>
      <c r="M43" s="21"/>
      <c r="N43" s="21"/>
      <c r="O43" s="20"/>
      <c r="Q43" s="496" t="s">
        <v>3093</v>
      </c>
      <c r="R43" s="497"/>
      <c r="S43" s="496" t="s">
        <v>3094</v>
      </c>
      <c r="T43" s="502"/>
      <c r="U43" s="502"/>
      <c r="V43" s="502"/>
      <c r="W43" s="502"/>
      <c r="X43" s="502"/>
      <c r="Y43" s="497"/>
      <c r="Z43" s="505" t="s">
        <v>326</v>
      </c>
    </row>
    <row r="44" spans="1:26" x14ac:dyDescent="0.3">
      <c r="A44" s="18"/>
      <c r="B44" s="21"/>
      <c r="C44" s="21"/>
      <c r="D44" s="21"/>
      <c r="E44" s="21"/>
      <c r="F44" s="21"/>
      <c r="G44" s="21"/>
      <c r="H44" s="21"/>
      <c r="I44" s="21"/>
      <c r="J44" s="21"/>
      <c r="K44" s="21"/>
      <c r="L44" s="21"/>
      <c r="M44" s="21"/>
      <c r="N44" s="21"/>
      <c r="O44" s="20"/>
      <c r="Q44" s="498"/>
      <c r="R44" s="499"/>
      <c r="S44" s="498"/>
      <c r="T44" s="503"/>
      <c r="U44" s="503"/>
      <c r="V44" s="503"/>
      <c r="W44" s="503"/>
      <c r="X44" s="503"/>
      <c r="Y44" s="499"/>
      <c r="Z44" s="506"/>
    </row>
    <row r="45" spans="1:26" x14ac:dyDescent="0.3">
      <c r="A45" s="18"/>
      <c r="B45" s="21"/>
      <c r="C45" s="21"/>
      <c r="D45" s="21"/>
      <c r="E45" s="21"/>
      <c r="F45" s="21"/>
      <c r="G45" s="21"/>
      <c r="H45" s="21"/>
      <c r="I45" s="21"/>
      <c r="J45" s="21"/>
      <c r="K45" s="21"/>
      <c r="L45" s="21"/>
      <c r="M45" s="21"/>
      <c r="N45" s="21"/>
      <c r="O45" s="20"/>
      <c r="Q45" s="500"/>
      <c r="R45" s="501"/>
      <c r="S45" s="500"/>
      <c r="T45" s="504"/>
      <c r="U45" s="504"/>
      <c r="V45" s="504"/>
      <c r="W45" s="504"/>
      <c r="X45" s="504"/>
      <c r="Y45" s="501"/>
      <c r="Z45" s="507"/>
    </row>
    <row r="46" spans="1:26" x14ac:dyDescent="0.3">
      <c r="A46" s="18"/>
      <c r="B46" s="7" t="s">
        <v>856</v>
      </c>
      <c r="C46" s="152" t="s">
        <v>3547</v>
      </c>
      <c r="D46" s="21"/>
      <c r="E46" s="21"/>
      <c r="F46" s="21"/>
      <c r="G46" s="21"/>
      <c r="H46" s="21"/>
      <c r="I46" s="21"/>
      <c r="J46" s="21"/>
      <c r="K46" s="21"/>
      <c r="L46" s="21"/>
      <c r="M46" s="21"/>
      <c r="N46" s="21"/>
      <c r="O46" s="20"/>
      <c r="Q46" s="126" t="s">
        <v>328</v>
      </c>
    </row>
    <row r="47" spans="1:26" x14ac:dyDescent="0.3">
      <c r="A47" s="18"/>
      <c r="B47" s="21"/>
      <c r="C47" s="21"/>
      <c r="D47" s="21"/>
      <c r="E47" s="21"/>
      <c r="F47" s="21"/>
      <c r="G47" s="21"/>
      <c r="H47" s="21"/>
      <c r="I47" s="21"/>
      <c r="J47" s="21"/>
      <c r="K47" s="21"/>
      <c r="L47" s="21"/>
      <c r="M47" s="21"/>
      <c r="N47" s="21"/>
      <c r="O47" s="20"/>
    </row>
    <row r="48" spans="1:26" x14ac:dyDescent="0.3">
      <c r="A48" s="18"/>
      <c r="B48" s="21"/>
      <c r="C48" s="21"/>
      <c r="D48" s="21"/>
      <c r="E48" s="21"/>
      <c r="F48" s="21"/>
      <c r="G48" s="21"/>
      <c r="H48" s="21"/>
      <c r="I48" s="21"/>
      <c r="J48" s="21"/>
      <c r="K48" s="21"/>
      <c r="L48" s="21"/>
      <c r="M48" s="21"/>
      <c r="N48" s="21"/>
      <c r="O48" s="20"/>
    </row>
    <row r="49" spans="1:26" x14ac:dyDescent="0.3">
      <c r="A49" s="18"/>
      <c r="B49" s="21"/>
      <c r="C49" s="21"/>
      <c r="D49" s="21"/>
      <c r="E49" s="21"/>
      <c r="F49" s="21"/>
      <c r="G49" s="21"/>
      <c r="H49" s="21"/>
      <c r="I49" s="21"/>
      <c r="J49" s="21"/>
      <c r="K49" s="21"/>
      <c r="L49" s="21"/>
      <c r="M49" s="21"/>
      <c r="N49" s="21"/>
      <c r="O49" s="20"/>
      <c r="Q49" s="486" t="s">
        <v>3548</v>
      </c>
      <c r="R49" s="486"/>
      <c r="S49" s="486"/>
      <c r="T49" s="486"/>
      <c r="U49" s="486"/>
      <c r="V49" s="486"/>
      <c r="W49" s="486"/>
      <c r="X49" s="486"/>
      <c r="Y49" s="486"/>
      <c r="Z49" s="486"/>
    </row>
    <row r="50" spans="1:26" x14ac:dyDescent="0.3">
      <c r="A50" s="18"/>
      <c r="B50" s="21"/>
      <c r="C50" s="21"/>
      <c r="D50" s="21"/>
      <c r="E50" s="21"/>
      <c r="F50" s="21"/>
      <c r="G50" s="21"/>
      <c r="H50" s="21"/>
      <c r="I50" s="21"/>
      <c r="J50" s="21"/>
      <c r="K50" s="21"/>
      <c r="L50" s="21"/>
      <c r="M50" s="21"/>
      <c r="N50" s="21"/>
      <c r="O50" s="20"/>
      <c r="Q50" s="487" t="s">
        <v>333</v>
      </c>
      <c r="R50" s="487"/>
      <c r="S50" s="487" t="s">
        <v>919</v>
      </c>
      <c r="T50" s="487"/>
      <c r="U50" s="487"/>
      <c r="V50" s="487"/>
      <c r="W50" s="487"/>
      <c r="X50" s="487"/>
      <c r="Y50" s="487"/>
      <c r="Z50" s="487"/>
    </row>
    <row r="51" spans="1:26" x14ac:dyDescent="0.3">
      <c r="A51" s="18"/>
      <c r="B51" s="7" t="s">
        <v>914</v>
      </c>
      <c r="C51" s="30" t="s">
        <v>915</v>
      </c>
      <c r="D51" s="21"/>
      <c r="E51" s="21"/>
      <c r="F51" s="21"/>
      <c r="G51" s="21"/>
      <c r="H51" s="21"/>
      <c r="I51" s="21"/>
      <c r="J51" s="21"/>
      <c r="K51" s="21"/>
      <c r="L51" s="21"/>
      <c r="M51" s="21"/>
      <c r="N51" s="21"/>
      <c r="O51" s="20"/>
      <c r="Q51" s="487"/>
      <c r="R51" s="487"/>
      <c r="S51" s="487"/>
      <c r="T51" s="487"/>
      <c r="U51" s="487"/>
      <c r="V51" s="487"/>
      <c r="W51" s="487"/>
      <c r="X51" s="487"/>
      <c r="Y51" s="487"/>
      <c r="Z51" s="487"/>
    </row>
    <row r="52" spans="1:26" x14ac:dyDescent="0.3">
      <c r="A52" s="18"/>
      <c r="B52" s="7" t="s">
        <v>916</v>
      </c>
      <c r="C52" s="30" t="b" cm="1">
        <f t="array" ref="C52">_xll.U.PASTE_OCCURRED(C51)</f>
        <v>0</v>
      </c>
      <c r="D52" s="21"/>
      <c r="E52" s="21"/>
      <c r="F52" s="21"/>
      <c r="G52" s="21"/>
      <c r="H52" s="21"/>
      <c r="I52" s="21"/>
      <c r="J52" s="21"/>
      <c r="K52" s="21"/>
      <c r="L52" s="21"/>
      <c r="M52" s="21"/>
      <c r="N52" s="21"/>
      <c r="O52" s="20"/>
      <c r="Q52" s="487"/>
      <c r="R52" s="487"/>
      <c r="S52" s="487"/>
      <c r="T52" s="487"/>
      <c r="U52" s="487"/>
      <c r="V52" s="487"/>
      <c r="W52" s="487"/>
      <c r="X52" s="487"/>
      <c r="Y52" s="487"/>
      <c r="Z52" s="487"/>
    </row>
    <row r="53" spans="1:26" x14ac:dyDescent="0.3">
      <c r="A53" s="18"/>
      <c r="B53" s="21"/>
      <c r="C53" s="21"/>
      <c r="D53" s="21"/>
      <c r="E53" s="21"/>
      <c r="F53" s="21"/>
      <c r="G53" s="21"/>
      <c r="H53" s="21"/>
      <c r="I53" s="21"/>
      <c r="J53" s="21"/>
      <c r="K53" s="21"/>
      <c r="L53" s="21"/>
      <c r="M53" s="21"/>
      <c r="N53" s="21"/>
      <c r="O53" s="20"/>
      <c r="Q53" s="483" t="s">
        <v>323</v>
      </c>
      <c r="R53" s="483"/>
      <c r="S53" s="483" t="s">
        <v>1</v>
      </c>
      <c r="T53" s="483"/>
      <c r="U53" s="483"/>
      <c r="V53" s="483"/>
      <c r="W53" s="483"/>
      <c r="X53" s="483"/>
      <c r="Y53" s="483"/>
      <c r="Z53" s="85" t="s">
        <v>324</v>
      </c>
    </row>
    <row r="54" spans="1:26" x14ac:dyDescent="0.3">
      <c r="A54" s="18"/>
      <c r="B54" s="21"/>
      <c r="C54" s="21"/>
      <c r="D54" s="21"/>
      <c r="E54" s="21"/>
      <c r="F54" s="21"/>
      <c r="G54" s="21"/>
      <c r="H54" s="21"/>
      <c r="I54" s="21"/>
      <c r="J54" s="21"/>
      <c r="K54" s="21"/>
      <c r="L54" s="21"/>
      <c r="M54" s="21"/>
      <c r="N54" s="21"/>
      <c r="O54" s="20"/>
      <c r="Q54" s="496" t="s">
        <v>917</v>
      </c>
      <c r="R54" s="497"/>
      <c r="S54" s="496" t="s">
        <v>918</v>
      </c>
      <c r="T54" s="502"/>
      <c r="U54" s="502"/>
      <c r="V54" s="502"/>
      <c r="W54" s="502"/>
      <c r="X54" s="502"/>
      <c r="Y54" s="497"/>
      <c r="Z54" s="505" t="s">
        <v>326</v>
      </c>
    </row>
    <row r="55" spans="1:26" x14ac:dyDescent="0.3">
      <c r="A55" s="18"/>
      <c r="B55" s="21"/>
      <c r="C55" s="21"/>
      <c r="D55" s="21"/>
      <c r="E55" s="21"/>
      <c r="F55" s="21"/>
      <c r="G55" s="21"/>
      <c r="H55" s="21"/>
      <c r="I55" s="21"/>
      <c r="J55" s="21"/>
      <c r="K55" s="21"/>
      <c r="L55" s="21"/>
      <c r="M55" s="21"/>
      <c r="N55" s="21"/>
      <c r="O55" s="20"/>
      <c r="Q55" s="498"/>
      <c r="R55" s="499"/>
      <c r="S55" s="498"/>
      <c r="T55" s="503"/>
      <c r="U55" s="503"/>
      <c r="V55" s="503"/>
      <c r="W55" s="503"/>
      <c r="X55" s="503"/>
      <c r="Y55" s="499"/>
      <c r="Z55" s="506"/>
    </row>
    <row r="56" spans="1:26" x14ac:dyDescent="0.3">
      <c r="A56" s="18"/>
      <c r="B56" s="21"/>
      <c r="C56" s="21"/>
      <c r="D56" s="21"/>
      <c r="E56" s="21"/>
      <c r="F56" s="21"/>
      <c r="G56" s="21"/>
      <c r="H56" s="21"/>
      <c r="I56" s="21"/>
      <c r="J56" s="21"/>
      <c r="K56" s="21"/>
      <c r="L56" s="21"/>
      <c r="M56" s="21"/>
      <c r="N56" s="21"/>
      <c r="O56" s="20"/>
      <c r="Q56" s="500"/>
      <c r="R56" s="501"/>
      <c r="S56" s="500"/>
      <c r="T56" s="504"/>
      <c r="U56" s="504"/>
      <c r="V56" s="504"/>
      <c r="W56" s="504"/>
      <c r="X56" s="504"/>
      <c r="Y56" s="501"/>
      <c r="Z56" s="507"/>
    </row>
    <row r="57" spans="1:26" x14ac:dyDescent="0.3">
      <c r="A57" s="18"/>
      <c r="B57" s="21"/>
      <c r="C57" s="21"/>
      <c r="D57" s="21"/>
      <c r="E57" s="21"/>
      <c r="F57" s="21"/>
      <c r="G57" s="21"/>
      <c r="H57" s="21"/>
      <c r="I57" s="21"/>
      <c r="J57" s="21"/>
      <c r="K57" s="21"/>
      <c r="L57" s="21"/>
      <c r="M57" s="21"/>
      <c r="N57" s="21"/>
      <c r="O57" s="20"/>
      <c r="Q57" s="126" t="s">
        <v>328</v>
      </c>
    </row>
    <row r="58" spans="1:26" x14ac:dyDescent="0.3">
      <c r="A58" s="18"/>
      <c r="B58" s="21"/>
      <c r="C58" s="21"/>
      <c r="D58" s="21"/>
      <c r="E58" s="21"/>
      <c r="F58" s="21"/>
      <c r="G58" s="21"/>
      <c r="H58" s="21"/>
      <c r="I58" s="21"/>
      <c r="J58" s="21"/>
      <c r="K58" s="21"/>
      <c r="L58" s="21"/>
      <c r="M58" s="21"/>
      <c r="N58" s="21"/>
      <c r="O58" s="20"/>
    </row>
    <row r="59" spans="1:26" x14ac:dyDescent="0.3">
      <c r="A59" s="18"/>
      <c r="B59" s="21"/>
      <c r="C59" s="21"/>
      <c r="D59" s="21"/>
      <c r="E59" s="21"/>
      <c r="F59" s="21"/>
      <c r="G59" s="21"/>
      <c r="H59" s="21"/>
      <c r="I59" s="21"/>
      <c r="J59" s="21"/>
      <c r="K59" s="21"/>
      <c r="L59" s="21"/>
      <c r="M59" s="21"/>
      <c r="N59" s="21"/>
      <c r="O59" s="20"/>
    </row>
    <row r="60" spans="1:26" x14ac:dyDescent="0.3">
      <c r="A60" s="18"/>
      <c r="B60" s="21"/>
      <c r="C60" s="21"/>
      <c r="D60" s="21"/>
      <c r="E60" s="21"/>
      <c r="F60" s="21"/>
      <c r="G60" s="21"/>
      <c r="H60" s="21"/>
      <c r="I60" s="21"/>
      <c r="J60" s="21"/>
      <c r="K60" s="21"/>
      <c r="L60" s="21"/>
      <c r="M60" s="21"/>
      <c r="N60" s="21"/>
      <c r="O60" s="20"/>
      <c r="Q60" s="486" t="s">
        <v>3549</v>
      </c>
      <c r="R60" s="486"/>
      <c r="S60" s="486"/>
      <c r="T60" s="486"/>
      <c r="U60" s="486"/>
      <c r="V60" s="486"/>
      <c r="W60" s="486"/>
      <c r="X60" s="486"/>
      <c r="Y60" s="486"/>
      <c r="Z60" s="486"/>
    </row>
    <row r="61" spans="1:26" x14ac:dyDescent="0.3">
      <c r="A61" s="18"/>
      <c r="B61" s="21"/>
      <c r="C61" s="21"/>
      <c r="D61" s="21"/>
      <c r="E61" s="21"/>
      <c r="F61" s="21"/>
      <c r="G61" s="21"/>
      <c r="H61" s="21"/>
      <c r="I61" s="21"/>
      <c r="J61" s="21"/>
      <c r="K61" s="21"/>
      <c r="L61" s="21"/>
      <c r="M61" s="21"/>
      <c r="N61" s="21"/>
      <c r="O61" s="20"/>
      <c r="Q61" s="487" t="s">
        <v>333</v>
      </c>
      <c r="R61" s="487"/>
      <c r="S61" s="487" t="s">
        <v>1369</v>
      </c>
      <c r="T61" s="487"/>
      <c r="U61" s="487"/>
      <c r="V61" s="487"/>
      <c r="W61" s="487"/>
      <c r="X61" s="487"/>
      <c r="Y61" s="487"/>
      <c r="Z61" s="487"/>
    </row>
    <row r="62" spans="1:26" x14ac:dyDescent="0.3">
      <c r="A62" s="18"/>
      <c r="B62" s="21"/>
      <c r="C62" s="21"/>
      <c r="D62" s="21"/>
      <c r="E62" s="21"/>
      <c r="F62" s="21"/>
      <c r="G62" s="21"/>
      <c r="H62" s="21"/>
      <c r="I62" s="21"/>
      <c r="J62" s="21"/>
      <c r="K62" s="21"/>
      <c r="L62" s="21"/>
      <c r="M62" s="21"/>
      <c r="N62" s="21"/>
      <c r="O62" s="20"/>
      <c r="Q62" s="487"/>
      <c r="R62" s="487"/>
      <c r="S62" s="487"/>
      <c r="T62" s="487"/>
      <c r="U62" s="487"/>
      <c r="V62" s="487"/>
      <c r="W62" s="487"/>
      <c r="X62" s="487"/>
      <c r="Y62" s="487"/>
      <c r="Z62" s="487"/>
    </row>
    <row r="63" spans="1:26" x14ac:dyDescent="0.3">
      <c r="A63" s="18"/>
      <c r="B63" s="21"/>
      <c r="C63" s="21"/>
      <c r="D63" s="21"/>
      <c r="E63" s="21"/>
      <c r="F63" s="21"/>
      <c r="G63" s="21"/>
      <c r="H63" s="21"/>
      <c r="I63" s="21"/>
      <c r="J63" s="21"/>
      <c r="K63" s="21"/>
      <c r="L63" s="21"/>
      <c r="M63" s="21"/>
      <c r="N63" s="21"/>
      <c r="O63" s="20"/>
      <c r="Q63" s="487"/>
      <c r="R63" s="487"/>
      <c r="S63" s="487"/>
      <c r="T63" s="487"/>
      <c r="U63" s="487"/>
      <c r="V63" s="487"/>
      <c r="W63" s="487"/>
      <c r="X63" s="487"/>
      <c r="Y63" s="487"/>
      <c r="Z63" s="487"/>
    </row>
    <row r="64" spans="1:26" x14ac:dyDescent="0.3">
      <c r="A64" s="18"/>
      <c r="B64" s="21"/>
      <c r="C64" s="21"/>
      <c r="D64" s="21"/>
      <c r="E64" s="21"/>
      <c r="F64" s="21"/>
      <c r="G64" s="21"/>
      <c r="H64" s="21"/>
      <c r="I64" s="21"/>
      <c r="J64" s="21"/>
      <c r="K64" s="21"/>
      <c r="L64" s="21"/>
      <c r="M64" s="21"/>
      <c r="N64" s="21"/>
      <c r="O64" s="20"/>
      <c r="Q64" s="483" t="s">
        <v>323</v>
      </c>
      <c r="R64" s="483"/>
      <c r="S64" s="483" t="s">
        <v>1</v>
      </c>
      <c r="T64" s="483"/>
      <c r="U64" s="483"/>
      <c r="V64" s="483"/>
      <c r="W64" s="483"/>
      <c r="X64" s="483"/>
      <c r="Y64" s="483"/>
      <c r="Z64" s="85" t="s">
        <v>324</v>
      </c>
    </row>
    <row r="65" spans="1:26" x14ac:dyDescent="0.3">
      <c r="A65" s="18"/>
      <c r="B65" s="21"/>
      <c r="C65" s="21"/>
      <c r="D65" s="21"/>
      <c r="E65" s="21"/>
      <c r="F65" s="21"/>
      <c r="G65" s="21"/>
      <c r="H65" s="21"/>
      <c r="I65" s="21"/>
      <c r="J65" s="21"/>
      <c r="K65" s="21"/>
      <c r="L65" s="21"/>
      <c r="M65" s="21"/>
      <c r="N65" s="21"/>
      <c r="O65" s="20"/>
      <c r="Q65" s="539" t="s">
        <v>1370</v>
      </c>
      <c r="R65" s="541"/>
      <c r="S65" s="539" t="s">
        <v>2554</v>
      </c>
      <c r="T65" s="540"/>
      <c r="U65" s="540"/>
      <c r="V65" s="540"/>
      <c r="W65" s="540"/>
      <c r="X65" s="540"/>
      <c r="Y65" s="541"/>
      <c r="Z65" s="548" t="s">
        <v>325</v>
      </c>
    </row>
    <row r="66" spans="1:26" x14ac:dyDescent="0.3">
      <c r="A66" s="18"/>
      <c r="B66" s="21"/>
      <c r="C66" s="21"/>
      <c r="D66" s="21"/>
      <c r="E66" s="21"/>
      <c r="F66" s="21"/>
      <c r="G66" s="21"/>
      <c r="H66" s="21"/>
      <c r="I66" s="21"/>
      <c r="J66" s="21"/>
      <c r="K66" s="21"/>
      <c r="L66" s="21"/>
      <c r="M66" s="21"/>
      <c r="N66" s="21"/>
      <c r="O66" s="20"/>
      <c r="Q66" s="542"/>
      <c r="R66" s="544"/>
      <c r="S66" s="542"/>
      <c r="T66" s="543"/>
      <c r="U66" s="543"/>
      <c r="V66" s="543"/>
      <c r="W66" s="543"/>
      <c r="X66" s="543"/>
      <c r="Y66" s="544"/>
      <c r="Z66" s="549"/>
    </row>
    <row r="67" spans="1:26" x14ac:dyDescent="0.3">
      <c r="A67" s="18"/>
      <c r="B67" s="21"/>
      <c r="C67" s="21"/>
      <c r="D67" s="21"/>
      <c r="E67" s="21"/>
      <c r="F67" s="21"/>
      <c r="G67" s="21"/>
      <c r="H67" s="21"/>
      <c r="I67" s="21"/>
      <c r="J67" s="21"/>
      <c r="K67" s="21"/>
      <c r="L67" s="21"/>
      <c r="M67" s="21"/>
      <c r="N67" s="21"/>
      <c r="O67" s="20"/>
      <c r="Q67" s="545"/>
      <c r="R67" s="547"/>
      <c r="S67" s="545"/>
      <c r="T67" s="546"/>
      <c r="U67" s="546"/>
      <c r="V67" s="546"/>
      <c r="W67" s="546"/>
      <c r="X67" s="546"/>
      <c r="Y67" s="547"/>
      <c r="Z67" s="550"/>
    </row>
    <row r="68" spans="1:26" x14ac:dyDescent="0.3">
      <c r="A68" s="18"/>
      <c r="B68" s="21"/>
      <c r="C68" s="21"/>
      <c r="D68" s="21"/>
      <c r="E68" s="21"/>
      <c r="F68" s="21"/>
      <c r="G68" s="21"/>
      <c r="H68" s="21"/>
      <c r="I68" s="21"/>
      <c r="J68" s="21"/>
      <c r="K68" s="21"/>
      <c r="L68" s="21"/>
      <c r="M68" s="21"/>
      <c r="N68" s="21"/>
      <c r="O68" s="20"/>
      <c r="Q68" s="539" t="s">
        <v>538</v>
      </c>
      <c r="R68" s="541"/>
      <c r="S68" s="539" t="s">
        <v>2558</v>
      </c>
      <c r="T68" s="540"/>
      <c r="U68" s="540"/>
      <c r="V68" s="540"/>
      <c r="W68" s="540"/>
      <c r="X68" s="540"/>
      <c r="Y68" s="541"/>
      <c r="Z68" s="548" t="s">
        <v>325</v>
      </c>
    </row>
    <row r="69" spans="1:26" x14ac:dyDescent="0.3">
      <c r="A69" s="18"/>
      <c r="B69" s="21"/>
      <c r="C69" s="21"/>
      <c r="D69" s="21"/>
      <c r="E69" s="21"/>
      <c r="F69" s="21"/>
      <c r="G69" s="21"/>
      <c r="H69" s="21"/>
      <c r="I69" s="21"/>
      <c r="J69" s="21"/>
      <c r="K69" s="21"/>
      <c r="L69" s="21"/>
      <c r="M69" s="21"/>
      <c r="N69" s="21"/>
      <c r="O69" s="20"/>
      <c r="Q69" s="542"/>
      <c r="R69" s="544"/>
      <c r="S69" s="542"/>
      <c r="T69" s="543"/>
      <c r="U69" s="543"/>
      <c r="V69" s="543"/>
      <c r="W69" s="543"/>
      <c r="X69" s="543"/>
      <c r="Y69" s="544"/>
      <c r="Z69" s="549"/>
    </row>
    <row r="70" spans="1:26" x14ac:dyDescent="0.3">
      <c r="A70" s="18"/>
      <c r="B70" s="21"/>
      <c r="C70" s="21"/>
      <c r="D70" s="21"/>
      <c r="E70" s="21"/>
      <c r="F70" s="21"/>
      <c r="G70" s="21"/>
      <c r="H70" s="21"/>
      <c r="I70" s="21"/>
      <c r="J70" s="21"/>
      <c r="K70" s="21"/>
      <c r="L70" s="21"/>
      <c r="M70" s="21"/>
      <c r="N70" s="21"/>
      <c r="O70" s="20"/>
      <c r="Q70" s="545"/>
      <c r="R70" s="547"/>
      <c r="S70" s="545"/>
      <c r="T70" s="546"/>
      <c r="U70" s="546"/>
      <c r="V70" s="546"/>
      <c r="W70" s="546"/>
      <c r="X70" s="546"/>
      <c r="Y70" s="547"/>
      <c r="Z70" s="550"/>
    </row>
    <row r="71" spans="1:26" ht="15" customHeight="1" x14ac:dyDescent="0.3">
      <c r="A71" s="18"/>
      <c r="B71" s="21"/>
      <c r="C71" s="21"/>
      <c r="D71" s="21"/>
      <c r="E71" s="21"/>
      <c r="F71" s="21"/>
      <c r="G71" s="21"/>
      <c r="H71" s="21"/>
      <c r="I71" s="21"/>
      <c r="J71" s="21"/>
      <c r="K71" s="21"/>
      <c r="L71" s="21"/>
      <c r="M71" s="21"/>
      <c r="N71" s="21"/>
      <c r="O71" s="20"/>
      <c r="Q71" s="496" t="s">
        <v>1371</v>
      </c>
      <c r="R71" s="497"/>
      <c r="S71" s="496" t="s">
        <v>2555</v>
      </c>
      <c r="T71" s="502"/>
      <c r="U71" s="502"/>
      <c r="V71" s="502"/>
      <c r="W71" s="502"/>
      <c r="X71" s="502"/>
      <c r="Y71" s="497"/>
      <c r="Z71" s="505" t="s">
        <v>326</v>
      </c>
    </row>
    <row r="72" spans="1:26" x14ac:dyDescent="0.3">
      <c r="A72" s="18"/>
      <c r="B72" s="21"/>
      <c r="C72" s="21"/>
      <c r="D72" s="21"/>
      <c r="E72" s="21"/>
      <c r="F72" s="21"/>
      <c r="G72" s="21"/>
      <c r="H72" s="21"/>
      <c r="I72" s="21"/>
      <c r="J72" s="21"/>
      <c r="K72" s="21"/>
      <c r="L72" s="21"/>
      <c r="M72" s="21"/>
      <c r="N72" s="21"/>
      <c r="O72" s="20"/>
      <c r="Q72" s="498"/>
      <c r="R72" s="499"/>
      <c r="S72" s="498"/>
      <c r="T72" s="503"/>
      <c r="U72" s="503"/>
      <c r="V72" s="503"/>
      <c r="W72" s="503"/>
      <c r="X72" s="503"/>
      <c r="Y72" s="499"/>
      <c r="Z72" s="506"/>
    </row>
    <row r="73" spans="1:26" x14ac:dyDescent="0.3">
      <c r="A73" s="490" t="s">
        <v>83</v>
      </c>
      <c r="B73" s="491"/>
      <c r="C73" s="491"/>
      <c r="D73" s="491"/>
      <c r="E73" s="491"/>
      <c r="F73" s="491"/>
      <c r="G73" s="491"/>
      <c r="H73" s="491"/>
      <c r="I73" s="491"/>
      <c r="J73" s="491"/>
      <c r="K73" s="491"/>
      <c r="L73" s="491"/>
      <c r="M73" s="491"/>
      <c r="N73" s="21"/>
      <c r="O73" s="20"/>
      <c r="Q73" s="500"/>
      <c r="R73" s="501"/>
      <c r="S73" s="500"/>
      <c r="T73" s="504"/>
      <c r="U73" s="504"/>
      <c r="V73" s="504"/>
      <c r="W73" s="504"/>
      <c r="X73" s="504"/>
      <c r="Y73" s="501"/>
      <c r="Z73" s="507"/>
    </row>
    <row r="74" spans="1:26" x14ac:dyDescent="0.3">
      <c r="A74" s="18"/>
      <c r="B74" s="21"/>
      <c r="C74" s="21"/>
      <c r="D74" s="21"/>
      <c r="E74" s="21"/>
      <c r="F74" s="21"/>
      <c r="G74" s="21"/>
      <c r="H74" s="21"/>
      <c r="I74" s="21"/>
      <c r="J74" s="21"/>
      <c r="K74" s="21"/>
      <c r="L74" s="21"/>
      <c r="M74" s="21"/>
      <c r="N74" s="21"/>
      <c r="O74" s="20"/>
      <c r="Q74" s="496" t="s">
        <v>2299</v>
      </c>
      <c r="R74" s="497"/>
      <c r="S74" s="496" t="s">
        <v>3088</v>
      </c>
      <c r="T74" s="502"/>
      <c r="U74" s="502"/>
      <c r="V74" s="502"/>
      <c r="W74" s="502"/>
      <c r="X74" s="502"/>
      <c r="Y74" s="497"/>
      <c r="Z74" s="505" t="s">
        <v>326</v>
      </c>
    </row>
    <row r="75" spans="1:26" x14ac:dyDescent="0.3">
      <c r="A75" s="18"/>
      <c r="B75" s="492" t="s">
        <v>75</v>
      </c>
      <c r="C75" s="493"/>
      <c r="D75" s="21"/>
      <c r="E75" s="21"/>
      <c r="F75" s="21"/>
      <c r="G75" s="21"/>
      <c r="H75" s="21"/>
      <c r="I75" s="21"/>
      <c r="J75" s="21"/>
      <c r="K75" s="21"/>
      <c r="L75" s="21"/>
      <c r="M75" s="21"/>
      <c r="N75" s="21"/>
      <c r="O75" s="20"/>
      <c r="Q75" s="498"/>
      <c r="R75" s="499"/>
      <c r="S75" s="498"/>
      <c r="T75" s="503"/>
      <c r="U75" s="503"/>
      <c r="V75" s="503"/>
      <c r="W75" s="503"/>
      <c r="X75" s="503"/>
      <c r="Y75" s="499"/>
      <c r="Z75" s="506"/>
    </row>
    <row r="76" spans="1:26" x14ac:dyDescent="0.3">
      <c r="A76" s="18"/>
      <c r="B76" s="42">
        <v>1</v>
      </c>
      <c r="C76" s="44">
        <v>2</v>
      </c>
      <c r="D76" s="21"/>
      <c r="E76" s="21"/>
      <c r="F76" s="21"/>
      <c r="G76" s="21"/>
      <c r="H76" s="21"/>
      <c r="I76" s="21"/>
      <c r="J76" s="21"/>
      <c r="K76" s="21"/>
      <c r="L76" s="21"/>
      <c r="M76" s="21"/>
      <c r="N76" s="21"/>
      <c r="O76" s="20"/>
      <c r="Q76" s="500"/>
      <c r="R76" s="501"/>
      <c r="S76" s="500"/>
      <c r="T76" s="504"/>
      <c r="U76" s="504"/>
      <c r="V76" s="504"/>
      <c r="W76" s="504"/>
      <c r="X76" s="504"/>
      <c r="Y76" s="501"/>
      <c r="Z76" s="507"/>
    </row>
    <row r="77" spans="1:26" x14ac:dyDescent="0.3">
      <c r="A77" s="18"/>
      <c r="B77" s="42">
        <v>3</v>
      </c>
      <c r="C77" s="44">
        <v>4</v>
      </c>
      <c r="D77" s="21"/>
      <c r="E77" s="21"/>
      <c r="F77" s="21"/>
      <c r="G77" s="21"/>
      <c r="H77" s="21"/>
      <c r="I77" s="21"/>
      <c r="J77" s="21"/>
      <c r="K77" s="21"/>
      <c r="L77" s="21"/>
      <c r="M77" s="21"/>
      <c r="N77" s="21"/>
      <c r="O77" s="20"/>
      <c r="Q77" s="126" t="s">
        <v>328</v>
      </c>
    </row>
    <row r="78" spans="1:26" x14ac:dyDescent="0.3">
      <c r="A78" s="18"/>
      <c r="B78" s="42">
        <v>5</v>
      </c>
      <c r="C78" s="44">
        <v>6</v>
      </c>
      <c r="D78" s="21"/>
      <c r="E78" s="21"/>
      <c r="F78" s="21"/>
      <c r="G78" s="21"/>
      <c r="H78" s="21"/>
      <c r="I78" s="21"/>
      <c r="J78" s="21"/>
      <c r="K78" s="21"/>
      <c r="L78" s="21"/>
      <c r="M78" s="21"/>
      <c r="N78" s="21"/>
      <c r="O78" s="20"/>
    </row>
    <row r="79" spans="1:26" x14ac:dyDescent="0.3">
      <c r="A79" s="18"/>
      <c r="B79" s="21"/>
      <c r="C79" s="21"/>
      <c r="D79" s="21"/>
      <c r="E79" s="21"/>
      <c r="F79" s="21"/>
      <c r="G79" s="21"/>
      <c r="H79" s="21"/>
      <c r="I79" s="21"/>
      <c r="J79" s="21"/>
      <c r="K79" s="21"/>
      <c r="L79" s="21"/>
      <c r="M79" s="21"/>
      <c r="N79" s="21"/>
      <c r="O79" s="20"/>
    </row>
    <row r="80" spans="1:26" x14ac:dyDescent="0.3">
      <c r="A80" s="18"/>
      <c r="B80" s="492" t="s">
        <v>76</v>
      </c>
      <c r="C80" s="493"/>
      <c r="D80" s="21"/>
      <c r="E80" s="21"/>
      <c r="F80" s="21"/>
      <c r="G80" s="21"/>
      <c r="H80" s="21"/>
      <c r="I80" s="21"/>
      <c r="J80" s="21"/>
      <c r="K80" s="21"/>
      <c r="L80" s="21"/>
      <c r="M80" s="21"/>
      <c r="N80" s="21"/>
      <c r="O80" s="20"/>
    </row>
    <row r="81" spans="1:15" x14ac:dyDescent="0.3">
      <c r="A81" s="18"/>
      <c r="B81" s="42" t="s">
        <v>77</v>
      </c>
      <c r="C81" s="44" t="s">
        <v>80</v>
      </c>
      <c r="D81" s="21"/>
      <c r="E81" s="21"/>
      <c r="F81" s="21"/>
      <c r="G81" s="21"/>
      <c r="H81" s="21"/>
      <c r="I81" s="21"/>
      <c r="J81" s="21"/>
      <c r="K81" s="21"/>
      <c r="L81" s="21"/>
      <c r="M81" s="21"/>
      <c r="N81" s="21"/>
      <c r="O81" s="20"/>
    </row>
    <row r="82" spans="1:15" x14ac:dyDescent="0.3">
      <c r="A82" s="18"/>
      <c r="B82" s="42" t="s">
        <v>78</v>
      </c>
      <c r="C82" s="44" t="s">
        <v>81</v>
      </c>
      <c r="D82" s="21"/>
      <c r="E82" s="21"/>
      <c r="F82" s="21"/>
      <c r="G82" s="21"/>
      <c r="H82" s="21"/>
      <c r="I82" s="21"/>
      <c r="J82" s="21"/>
      <c r="K82" s="21"/>
      <c r="L82" s="21"/>
      <c r="M82" s="21"/>
      <c r="N82" s="21"/>
      <c r="O82" s="20"/>
    </row>
    <row r="83" spans="1:15" x14ac:dyDescent="0.3">
      <c r="A83" s="18"/>
      <c r="B83" s="42" t="s">
        <v>79</v>
      </c>
      <c r="C83" s="44" t="s">
        <v>82</v>
      </c>
      <c r="D83" s="21"/>
      <c r="E83" s="21"/>
      <c r="F83" s="21"/>
      <c r="G83" s="21"/>
      <c r="H83" s="21"/>
      <c r="I83" s="21"/>
      <c r="J83" s="21"/>
      <c r="K83" s="21"/>
      <c r="L83" s="21"/>
      <c r="M83" s="21"/>
      <c r="N83" s="21"/>
      <c r="O83" s="20"/>
    </row>
    <row r="84" spans="1:15" x14ac:dyDescent="0.3">
      <c r="A84" s="18"/>
      <c r="B84" s="21"/>
      <c r="C84" s="21"/>
      <c r="D84" s="21"/>
      <c r="E84" s="21"/>
      <c r="F84" s="21"/>
      <c r="G84" s="21"/>
      <c r="H84" s="21"/>
      <c r="I84" s="21"/>
      <c r="J84" s="21"/>
      <c r="K84" s="21"/>
      <c r="L84" s="21"/>
      <c r="M84" s="21"/>
      <c r="N84" s="21"/>
      <c r="O84" s="20"/>
    </row>
    <row r="85" spans="1:15" x14ac:dyDescent="0.3">
      <c r="A85" s="18"/>
      <c r="B85" s="7" t="s">
        <v>70</v>
      </c>
      <c r="C85" s="6" cm="1">
        <f t="array" ref="C85">_xll.U.PASTE((B76:C78,B81:C83),(B89,E89:F91))</f>
        <v>46072.453056759259</v>
      </c>
      <c r="D85" s="26"/>
      <c r="E85" s="21"/>
      <c r="F85" s="21"/>
      <c r="G85" s="21"/>
      <c r="H85" s="21"/>
      <c r="I85" s="21"/>
      <c r="J85" s="21"/>
      <c r="K85" s="21"/>
      <c r="L85" s="21"/>
      <c r="M85" s="21"/>
      <c r="N85" s="21"/>
      <c r="O85" s="20"/>
    </row>
    <row r="86" spans="1:15" x14ac:dyDescent="0.3">
      <c r="A86" s="18"/>
      <c r="B86" s="21"/>
      <c r="C86" s="21"/>
      <c r="D86" s="26"/>
      <c r="E86" s="21"/>
      <c r="F86" s="21"/>
      <c r="G86" s="21"/>
      <c r="H86" s="21"/>
      <c r="I86" s="21"/>
      <c r="J86" s="21"/>
      <c r="K86" s="21"/>
      <c r="L86" s="21"/>
      <c r="M86" s="21"/>
      <c r="N86" s="21"/>
      <c r="O86" s="20"/>
    </row>
    <row r="87" spans="1:15" x14ac:dyDescent="0.3">
      <c r="A87" s="18"/>
      <c r="B87" s="21"/>
      <c r="C87" s="21"/>
      <c r="D87" s="26"/>
      <c r="E87" s="21"/>
      <c r="F87" s="21"/>
      <c r="G87" s="21"/>
      <c r="H87" s="21"/>
      <c r="I87" s="21"/>
      <c r="J87" s="21"/>
      <c r="K87" s="21"/>
      <c r="L87" s="21"/>
      <c r="M87" s="21"/>
      <c r="N87" s="21"/>
      <c r="O87" s="20"/>
    </row>
    <row r="88" spans="1:15" x14ac:dyDescent="0.3">
      <c r="A88" s="18"/>
      <c r="B88" s="587" t="s">
        <v>73</v>
      </c>
      <c r="C88" s="588"/>
      <c r="D88" s="26"/>
      <c r="E88" s="587" t="s">
        <v>74</v>
      </c>
      <c r="F88" s="588"/>
      <c r="G88" s="21"/>
      <c r="H88" s="21"/>
      <c r="I88" s="21"/>
      <c r="J88" s="21"/>
      <c r="K88" s="21"/>
      <c r="L88" s="21"/>
      <c r="M88" s="21"/>
      <c r="N88" s="21"/>
      <c r="O88" s="20"/>
    </row>
    <row r="89" spans="1:15" x14ac:dyDescent="0.3">
      <c r="A89" s="18"/>
      <c r="B89" s="48">
        <v>1</v>
      </c>
      <c r="C89" s="48">
        <v>2</v>
      </c>
      <c r="D89" s="26"/>
      <c r="E89" s="48" t="s">
        <v>77</v>
      </c>
      <c r="F89" s="48" t="s">
        <v>80</v>
      </c>
      <c r="G89" s="21"/>
      <c r="H89" s="21"/>
      <c r="I89" s="21"/>
      <c r="J89" s="21"/>
      <c r="K89" s="21"/>
      <c r="L89" s="21"/>
      <c r="M89" s="21"/>
      <c r="N89" s="21"/>
      <c r="O89" s="20"/>
    </row>
    <row r="90" spans="1:15" x14ac:dyDescent="0.3">
      <c r="A90" s="18"/>
      <c r="B90" s="48">
        <v>3</v>
      </c>
      <c r="C90" s="48">
        <v>4</v>
      </c>
      <c r="D90" s="26"/>
      <c r="E90" s="48" t="s">
        <v>78</v>
      </c>
      <c r="F90" s="48" t="s">
        <v>81</v>
      </c>
      <c r="G90" s="21"/>
      <c r="H90" s="21"/>
      <c r="I90" s="21"/>
      <c r="J90" s="21"/>
      <c r="K90" s="21"/>
      <c r="L90" s="21"/>
      <c r="M90" s="21"/>
      <c r="N90" s="21"/>
      <c r="O90" s="20"/>
    </row>
    <row r="91" spans="1:15" x14ac:dyDescent="0.3">
      <c r="A91" s="18"/>
      <c r="B91" s="48">
        <v>5</v>
      </c>
      <c r="C91" s="48">
        <v>6</v>
      </c>
      <c r="D91" s="26"/>
      <c r="E91" s="48" t="s">
        <v>79</v>
      </c>
      <c r="F91" s="48" t="s">
        <v>82</v>
      </c>
      <c r="G91" s="21"/>
      <c r="H91" s="21"/>
      <c r="I91" s="21"/>
      <c r="J91" s="21"/>
      <c r="K91" s="21"/>
      <c r="L91" s="21"/>
      <c r="M91" s="21"/>
      <c r="N91" s="21"/>
      <c r="O91" s="20"/>
    </row>
    <row r="92" spans="1:15" x14ac:dyDescent="0.3">
      <c r="A92" s="18"/>
      <c r="B92" s="21"/>
      <c r="C92" s="21"/>
      <c r="D92" s="26"/>
      <c r="E92" s="21"/>
      <c r="F92" s="21"/>
      <c r="G92" s="21"/>
      <c r="H92" s="21"/>
      <c r="I92" s="21"/>
      <c r="J92" s="21"/>
      <c r="K92" s="21"/>
      <c r="L92" s="21"/>
      <c r="M92" s="21"/>
      <c r="N92" s="21"/>
      <c r="O92" s="20"/>
    </row>
    <row r="93" spans="1:15" x14ac:dyDescent="0.3">
      <c r="A93" s="18"/>
      <c r="B93" s="21"/>
      <c r="C93" s="21"/>
      <c r="D93" s="26"/>
      <c r="E93" s="21"/>
      <c r="F93" s="21"/>
      <c r="G93" s="21"/>
      <c r="H93" s="21"/>
      <c r="I93" s="21"/>
      <c r="J93" s="21"/>
      <c r="K93" s="21"/>
      <c r="L93" s="21"/>
      <c r="M93" s="21"/>
      <c r="N93" s="21"/>
      <c r="O93" s="20"/>
    </row>
    <row r="94" spans="1:15" x14ac:dyDescent="0.3">
      <c r="A94" s="18"/>
      <c r="B94" s="21"/>
      <c r="C94" s="21"/>
      <c r="D94" s="26"/>
      <c r="E94" s="21"/>
      <c r="F94" s="21"/>
      <c r="G94" s="21"/>
      <c r="H94" s="21"/>
      <c r="I94" s="21"/>
      <c r="J94" s="21"/>
      <c r="K94" s="21"/>
      <c r="L94" s="21"/>
      <c r="M94" s="21"/>
      <c r="N94" s="21"/>
      <c r="O94" s="20"/>
    </row>
    <row r="95" spans="1:15" x14ac:dyDescent="0.3">
      <c r="A95" s="18"/>
      <c r="B95" s="21"/>
      <c r="C95" s="21"/>
      <c r="D95" s="26"/>
      <c r="E95" s="21"/>
      <c r="F95" s="21"/>
      <c r="G95" s="21"/>
      <c r="H95" s="21"/>
      <c r="I95" s="21"/>
      <c r="J95" s="21"/>
      <c r="K95" s="21"/>
      <c r="L95" s="21"/>
      <c r="M95" s="21"/>
      <c r="N95" s="21"/>
      <c r="O95" s="20"/>
    </row>
    <row r="96" spans="1:15" x14ac:dyDescent="0.3">
      <c r="A96" s="18"/>
      <c r="B96" s="7" t="s">
        <v>3671</v>
      </c>
      <c r="C96" s="30" t="str" cm="1">
        <f t="array" ref="C96">_xll.U.DO(_xll.U.CACHE(B76:C78,"Range1"),_xll.U.NOW())</f>
        <v>Range1 | 2026-05-03 21:26:13.552</v>
      </c>
      <c r="D96" s="26"/>
      <c r="E96" s="21"/>
      <c r="F96" s="21"/>
      <c r="G96" s="21"/>
      <c r="H96" s="21"/>
      <c r="I96" s="21"/>
      <c r="J96" s="21"/>
      <c r="K96" s="21"/>
      <c r="L96" s="21"/>
      <c r="M96" s="21"/>
      <c r="N96" s="21"/>
      <c r="O96" s="20"/>
    </row>
    <row r="97" spans="1:15" x14ac:dyDescent="0.3">
      <c r="A97" s="18"/>
      <c r="B97" s="7" t="s">
        <v>3672</v>
      </c>
      <c r="C97" s="30" t="str" cm="1">
        <f t="array" ref="C97">_xll.U.DO(_xll.U.CACHE(B81:C83,"Range2"),_xll.U.NOW())</f>
        <v>Range2 | 2026-05-03 21:26:13.564</v>
      </c>
      <c r="D97" s="26"/>
      <c r="E97" s="21"/>
      <c r="F97" s="21"/>
      <c r="G97" s="21"/>
      <c r="H97" s="21"/>
      <c r="I97" s="21"/>
      <c r="J97" s="21"/>
      <c r="K97" s="21"/>
      <c r="L97" s="21"/>
      <c r="M97" s="21"/>
      <c r="N97" s="21"/>
      <c r="O97" s="20"/>
    </row>
    <row r="98" spans="1:15" x14ac:dyDescent="0.3">
      <c r="A98" s="18"/>
      <c r="B98" s="21"/>
      <c r="C98" s="21"/>
      <c r="D98" s="26"/>
      <c r="E98" s="21"/>
      <c r="F98" s="21"/>
      <c r="G98" s="21"/>
      <c r="H98" s="21"/>
      <c r="I98" s="21"/>
      <c r="J98" s="21"/>
      <c r="K98" s="21"/>
      <c r="L98" s="21"/>
      <c r="M98" s="21"/>
      <c r="N98" s="21"/>
      <c r="O98" s="20"/>
    </row>
    <row r="99" spans="1:15" x14ac:dyDescent="0.3">
      <c r="A99" s="18"/>
      <c r="B99" s="7" t="s">
        <v>70</v>
      </c>
      <c r="C99" s="6" cm="1">
        <f t="array" ref="C99">_xll.U.PASTE((C96,C97),(B103,E103:F105))</f>
        <v>46145.893212824078</v>
      </c>
      <c r="D99" s="26"/>
      <c r="E99" s="21"/>
      <c r="F99" s="21"/>
      <c r="G99" s="21"/>
      <c r="H99" s="21"/>
      <c r="I99" s="21"/>
      <c r="J99" s="21"/>
      <c r="K99" s="21"/>
      <c r="L99" s="21"/>
      <c r="M99" s="21"/>
      <c r="N99" s="21"/>
      <c r="O99" s="20"/>
    </row>
    <row r="100" spans="1:15" x14ac:dyDescent="0.3">
      <c r="A100" s="18"/>
      <c r="B100" s="21"/>
      <c r="C100" s="21"/>
      <c r="D100" s="26"/>
      <c r="E100" s="21"/>
      <c r="F100" s="21"/>
      <c r="G100" s="21"/>
      <c r="H100" s="21"/>
      <c r="I100" s="21"/>
      <c r="J100" s="21"/>
      <c r="K100" s="21"/>
      <c r="L100" s="21"/>
      <c r="M100" s="21"/>
      <c r="N100" s="21"/>
      <c r="O100" s="20"/>
    </row>
    <row r="101" spans="1:15" x14ac:dyDescent="0.3">
      <c r="A101" s="18"/>
      <c r="B101" s="21"/>
      <c r="C101" s="21"/>
      <c r="D101" s="26"/>
      <c r="E101" s="21"/>
      <c r="F101" s="21"/>
      <c r="G101" s="21"/>
      <c r="H101" s="21"/>
      <c r="I101" s="21"/>
      <c r="J101" s="21"/>
      <c r="K101" s="21"/>
      <c r="L101" s="21"/>
      <c r="M101" s="21"/>
      <c r="N101" s="21"/>
      <c r="O101" s="20"/>
    </row>
    <row r="102" spans="1:15" x14ac:dyDescent="0.3">
      <c r="A102" s="18"/>
      <c r="B102" s="587" t="s">
        <v>73</v>
      </c>
      <c r="C102" s="588"/>
      <c r="D102" s="26"/>
      <c r="E102" s="587" t="s">
        <v>74</v>
      </c>
      <c r="F102" s="588"/>
      <c r="G102" s="21"/>
      <c r="H102" s="21"/>
      <c r="I102" s="21"/>
      <c r="J102" s="21"/>
      <c r="K102" s="21"/>
      <c r="L102" s="21"/>
      <c r="M102" s="21"/>
      <c r="N102" s="21"/>
      <c r="O102" s="20"/>
    </row>
    <row r="103" spans="1:15" x14ac:dyDescent="0.3">
      <c r="A103" s="18"/>
      <c r="B103" s="48">
        <v>1</v>
      </c>
      <c r="C103" s="48">
        <v>2</v>
      </c>
      <c r="D103" s="26"/>
      <c r="E103" s="48" t="s">
        <v>77</v>
      </c>
      <c r="F103" s="48" t="s">
        <v>80</v>
      </c>
      <c r="G103" s="21"/>
      <c r="H103" s="21"/>
      <c r="I103" s="21"/>
      <c r="J103" s="21"/>
      <c r="K103" s="21"/>
      <c r="L103" s="21"/>
      <c r="M103" s="21"/>
      <c r="N103" s="21"/>
      <c r="O103" s="20"/>
    </row>
    <row r="104" spans="1:15" x14ac:dyDescent="0.3">
      <c r="A104" s="18"/>
      <c r="B104" s="48">
        <v>3</v>
      </c>
      <c r="C104" s="48">
        <v>4</v>
      </c>
      <c r="D104" s="26"/>
      <c r="E104" s="48" t="s">
        <v>78</v>
      </c>
      <c r="F104" s="48" t="s">
        <v>81</v>
      </c>
      <c r="G104" s="21"/>
      <c r="H104" s="21"/>
      <c r="I104" s="21"/>
      <c r="J104" s="21"/>
      <c r="K104" s="21"/>
      <c r="L104" s="21"/>
      <c r="M104" s="21"/>
      <c r="N104" s="21"/>
      <c r="O104" s="20"/>
    </row>
    <row r="105" spans="1:15" x14ac:dyDescent="0.3">
      <c r="A105" s="18"/>
      <c r="B105" s="48">
        <v>5</v>
      </c>
      <c r="C105" s="48">
        <v>6</v>
      </c>
      <c r="D105" s="26"/>
      <c r="E105" s="48" t="s">
        <v>79</v>
      </c>
      <c r="F105" s="48" t="s">
        <v>82</v>
      </c>
      <c r="G105" s="21"/>
      <c r="H105" s="21"/>
      <c r="I105" s="21"/>
      <c r="J105" s="21"/>
      <c r="K105" s="21"/>
      <c r="L105" s="21"/>
      <c r="M105" s="21"/>
      <c r="N105" s="21"/>
      <c r="O105" s="20"/>
    </row>
    <row r="106" spans="1:15" x14ac:dyDescent="0.3">
      <c r="A106" s="18"/>
      <c r="B106" s="21"/>
      <c r="C106" s="21"/>
      <c r="D106" s="26"/>
      <c r="E106" s="21"/>
      <c r="F106" s="21"/>
      <c r="G106" s="21"/>
      <c r="H106" s="21"/>
      <c r="I106" s="21"/>
      <c r="J106" s="21"/>
      <c r="K106" s="21"/>
      <c r="L106" s="21"/>
      <c r="M106" s="21"/>
      <c r="N106" s="21"/>
      <c r="O106" s="20"/>
    </row>
    <row r="107" spans="1:15" x14ac:dyDescent="0.3">
      <c r="A107" s="18"/>
      <c r="B107" s="21"/>
      <c r="C107" s="21"/>
      <c r="D107" s="21"/>
      <c r="E107" s="21"/>
      <c r="F107" s="21"/>
      <c r="G107" s="21"/>
      <c r="H107" s="21"/>
      <c r="I107" s="21"/>
      <c r="J107" s="21"/>
      <c r="K107" s="21"/>
      <c r="L107" s="21"/>
      <c r="M107" s="21"/>
      <c r="N107" s="21"/>
      <c r="O107" s="20"/>
    </row>
    <row r="108" spans="1:15" x14ac:dyDescent="0.3">
      <c r="A108" s="490" t="s">
        <v>84</v>
      </c>
      <c r="B108" s="491"/>
      <c r="C108" s="491"/>
      <c r="D108" s="491"/>
      <c r="E108" s="491"/>
      <c r="F108" s="491"/>
      <c r="G108" s="491"/>
      <c r="H108" s="491"/>
      <c r="I108" s="491"/>
      <c r="J108" s="491"/>
      <c r="K108" s="491"/>
      <c r="L108" s="491"/>
      <c r="M108" s="491"/>
      <c r="N108" s="21"/>
      <c r="O108" s="20"/>
    </row>
    <row r="109" spans="1:15" x14ac:dyDescent="0.3">
      <c r="A109" s="18"/>
      <c r="B109" s="21"/>
      <c r="C109" s="21"/>
      <c r="D109" s="21"/>
      <c r="E109" s="21"/>
      <c r="F109" s="21"/>
      <c r="G109" s="21"/>
      <c r="H109" s="21"/>
      <c r="I109" s="21"/>
      <c r="J109" s="21"/>
      <c r="K109" s="21"/>
      <c r="L109" s="21"/>
      <c r="M109" s="21"/>
      <c r="N109" s="21"/>
      <c r="O109" s="20"/>
    </row>
    <row r="110" spans="1:15" x14ac:dyDescent="0.3">
      <c r="A110" s="18"/>
      <c r="B110" s="5" t="s">
        <v>11</v>
      </c>
      <c r="C110" s="42" t="s">
        <v>5</v>
      </c>
      <c r="D110" s="21"/>
      <c r="E110" s="21"/>
      <c r="F110" s="21"/>
      <c r="G110" s="21"/>
      <c r="H110" s="21"/>
      <c r="I110" s="21"/>
      <c r="J110" s="21"/>
      <c r="K110" s="21"/>
      <c r="L110" s="21"/>
      <c r="M110" s="21"/>
      <c r="N110" s="21"/>
      <c r="O110" s="20"/>
    </row>
    <row r="111" spans="1:15" x14ac:dyDescent="0.3">
      <c r="A111" s="18"/>
      <c r="B111" s="5" t="s">
        <v>12</v>
      </c>
      <c r="C111" s="42" t="s">
        <v>23</v>
      </c>
      <c r="D111" s="21"/>
      <c r="E111" s="21"/>
      <c r="F111" s="21"/>
      <c r="G111" s="21"/>
      <c r="H111" s="21"/>
      <c r="I111" s="21"/>
      <c r="J111" s="21"/>
      <c r="K111" s="21"/>
      <c r="L111" s="21"/>
      <c r="M111" s="21"/>
      <c r="N111" s="21"/>
      <c r="O111" s="20"/>
    </row>
    <row r="112" spans="1:15" x14ac:dyDescent="0.3">
      <c r="A112" s="18"/>
      <c r="B112" s="7" t="s">
        <v>24</v>
      </c>
      <c r="C112" s="38" t="str" cm="1">
        <f t="array" ref="C112">_xll.U.SUBSCRIBE(C110,C111)</f>
        <v>U/DESK1/PNL_AND_PRICES | 2026-04-19 14:17:39.759</v>
      </c>
      <c r="D112" s="21"/>
      <c r="E112" s="21"/>
      <c r="F112" s="21"/>
      <c r="G112" s="21"/>
      <c r="H112" s="21"/>
      <c r="I112" s="21"/>
      <c r="J112" s="21"/>
      <c r="K112" s="21"/>
      <c r="L112" s="21"/>
      <c r="M112" s="21"/>
      <c r="N112" s="21"/>
      <c r="O112" s="20"/>
    </row>
    <row r="113" spans="1:15" x14ac:dyDescent="0.3">
      <c r="A113" s="18"/>
      <c r="B113" s="21"/>
      <c r="C113" s="21"/>
      <c r="D113" s="21"/>
      <c r="E113" s="21"/>
      <c r="F113" s="21"/>
      <c r="G113" s="21"/>
      <c r="H113" s="21"/>
      <c r="I113" s="21"/>
      <c r="J113" s="21"/>
      <c r="K113" s="21"/>
      <c r="L113" s="21"/>
      <c r="M113" s="21"/>
      <c r="N113" s="21"/>
      <c r="O113" s="20"/>
    </row>
    <row r="114" spans="1:15" x14ac:dyDescent="0.3">
      <c r="A114" s="18"/>
      <c r="B114" s="7" t="s">
        <v>70</v>
      </c>
      <c r="C114" s="6" cm="1">
        <f t="array" ref="C114">_xll.U.PASTE(C112,(B117,B122))</f>
        <v>46145.893241087964</v>
      </c>
      <c r="D114" s="21"/>
      <c r="E114" s="21"/>
      <c r="F114" s="21"/>
      <c r="G114" s="21"/>
      <c r="H114" s="21"/>
      <c r="I114" s="21"/>
      <c r="J114" s="21"/>
      <c r="K114" s="21"/>
      <c r="L114" s="21"/>
      <c r="M114" s="21"/>
      <c r="N114" s="21"/>
      <c r="O114" s="20"/>
    </row>
    <row r="115" spans="1:15" x14ac:dyDescent="0.3">
      <c r="A115" s="18"/>
      <c r="B115" s="21"/>
      <c r="C115" s="21"/>
      <c r="D115" s="21"/>
      <c r="E115" s="21"/>
      <c r="F115" s="21"/>
      <c r="G115" s="21"/>
      <c r="H115" s="21"/>
      <c r="I115" s="21"/>
      <c r="J115" s="21"/>
      <c r="K115" s="21"/>
      <c r="L115" s="21"/>
      <c r="M115" s="21"/>
      <c r="N115" s="21"/>
      <c r="O115" s="20"/>
    </row>
    <row r="116" spans="1:15" x14ac:dyDescent="0.3">
      <c r="A116" s="18"/>
      <c r="B116" s="492" t="s">
        <v>73</v>
      </c>
      <c r="C116" s="493"/>
      <c r="D116" s="21"/>
      <c r="E116" s="21"/>
      <c r="F116" s="21"/>
      <c r="G116" s="21"/>
      <c r="H116" s="21"/>
      <c r="I116" s="21"/>
      <c r="J116" s="21"/>
      <c r="K116" s="21"/>
      <c r="L116" s="21"/>
      <c r="M116" s="21"/>
      <c r="N116" s="21"/>
      <c r="O116" s="20"/>
    </row>
    <row r="117" spans="1:15" x14ac:dyDescent="0.3">
      <c r="A117" s="18"/>
      <c r="B117" s="49" t="s">
        <v>2</v>
      </c>
      <c r="C117" s="50" t="s">
        <v>8</v>
      </c>
      <c r="D117" s="21"/>
      <c r="E117" s="21"/>
      <c r="F117" s="21"/>
      <c r="G117" s="21"/>
      <c r="H117" s="21"/>
      <c r="I117" s="21"/>
      <c r="J117" s="21"/>
      <c r="K117" s="21"/>
      <c r="L117" s="21"/>
      <c r="M117" s="21"/>
      <c r="N117" s="21"/>
      <c r="O117" s="20"/>
    </row>
    <row r="118" spans="1:15" x14ac:dyDescent="0.3">
      <c r="A118" s="18"/>
      <c r="B118" s="48" t="s">
        <v>3</v>
      </c>
      <c r="C118" s="51">
        <v>2500</v>
      </c>
      <c r="D118" s="21"/>
      <c r="E118" s="21"/>
      <c r="F118" s="21"/>
      <c r="G118" s="21"/>
      <c r="H118" s="21"/>
      <c r="I118" s="21"/>
      <c r="J118" s="21"/>
      <c r="K118" s="21"/>
      <c r="L118" s="21"/>
      <c r="M118" s="21"/>
      <c r="N118" s="21"/>
      <c r="O118" s="20"/>
    </row>
    <row r="119" spans="1:15" x14ac:dyDescent="0.3">
      <c r="A119" s="18"/>
      <c r="B119" s="48" t="s">
        <v>4</v>
      </c>
      <c r="C119" s="51">
        <v>-360</v>
      </c>
      <c r="D119" s="21"/>
      <c r="E119" s="21"/>
      <c r="F119" s="21"/>
      <c r="G119" s="21"/>
      <c r="H119" s="21"/>
      <c r="I119" s="21"/>
      <c r="J119" s="21"/>
      <c r="K119" s="21"/>
      <c r="L119" s="21"/>
      <c r="M119" s="21"/>
      <c r="N119" s="21"/>
      <c r="O119" s="20"/>
    </row>
    <row r="120" spans="1:15" x14ac:dyDescent="0.3">
      <c r="A120" s="18"/>
      <c r="B120" s="21"/>
      <c r="C120" s="21"/>
      <c r="D120" s="21"/>
      <c r="E120" s="21"/>
      <c r="F120" s="21"/>
      <c r="G120" s="21"/>
      <c r="H120" s="21"/>
      <c r="I120" s="21"/>
      <c r="J120" s="21"/>
      <c r="K120" s="21"/>
      <c r="L120" s="21"/>
      <c r="M120" s="21"/>
      <c r="N120" s="21"/>
      <c r="O120" s="20"/>
    </row>
    <row r="121" spans="1:15" x14ac:dyDescent="0.3">
      <c r="A121" s="18"/>
      <c r="B121" s="584" t="s">
        <v>74</v>
      </c>
      <c r="C121" s="585"/>
      <c r="D121" s="21"/>
      <c r="E121" s="21"/>
      <c r="F121" s="21"/>
      <c r="G121" s="21"/>
      <c r="H121" s="21"/>
      <c r="I121" s="21"/>
      <c r="J121" s="21"/>
      <c r="K121" s="21"/>
      <c r="L121" s="21"/>
      <c r="M121" s="21"/>
      <c r="N121" s="21"/>
      <c r="O121" s="20"/>
    </row>
    <row r="122" spans="1:15" x14ac:dyDescent="0.3">
      <c r="A122" s="18"/>
      <c r="B122" s="52" t="s">
        <v>2</v>
      </c>
      <c r="C122" s="53" t="s">
        <v>7</v>
      </c>
      <c r="D122" s="21"/>
      <c r="E122" s="21"/>
      <c r="F122" s="21"/>
      <c r="G122" s="21"/>
      <c r="H122" s="21"/>
      <c r="I122" s="21"/>
      <c r="J122" s="21"/>
      <c r="K122" s="21"/>
      <c r="L122" s="21"/>
      <c r="M122" s="21"/>
      <c r="N122" s="21"/>
      <c r="O122" s="20"/>
    </row>
    <row r="123" spans="1:15" x14ac:dyDescent="0.3">
      <c r="A123" s="18"/>
      <c r="B123" s="54" t="s">
        <v>3</v>
      </c>
      <c r="C123" s="55">
        <v>123.4</v>
      </c>
      <c r="D123" s="21"/>
      <c r="E123" s="21"/>
      <c r="F123" s="21"/>
      <c r="G123" s="21"/>
      <c r="H123" s="21"/>
      <c r="I123" s="21"/>
      <c r="J123" s="21"/>
      <c r="K123" s="21"/>
      <c r="L123" s="21"/>
      <c r="M123" s="21"/>
      <c r="N123" s="21"/>
      <c r="O123" s="20"/>
    </row>
    <row r="124" spans="1:15" x14ac:dyDescent="0.3">
      <c r="A124" s="18"/>
      <c r="B124" s="56" t="s">
        <v>4</v>
      </c>
      <c r="C124" s="57">
        <v>67.89</v>
      </c>
      <c r="D124" s="21"/>
      <c r="E124" s="21"/>
      <c r="F124" s="21"/>
      <c r="G124" s="21"/>
      <c r="H124" s="21"/>
      <c r="I124" s="21"/>
      <c r="J124" s="21"/>
      <c r="K124" s="21"/>
      <c r="L124" s="21"/>
      <c r="M124" s="21"/>
      <c r="N124" s="21"/>
      <c r="O124" s="20"/>
    </row>
    <row r="125" spans="1:15" x14ac:dyDescent="0.3">
      <c r="A125" s="18"/>
      <c r="B125" s="21"/>
      <c r="C125" s="21"/>
      <c r="D125" s="21"/>
      <c r="E125" s="21"/>
      <c r="F125" s="21"/>
      <c r="G125" s="21"/>
      <c r="H125" s="21"/>
      <c r="I125" s="21"/>
      <c r="J125" s="21"/>
      <c r="K125" s="21"/>
      <c r="L125" s="21"/>
      <c r="M125" s="21"/>
      <c r="N125" s="21"/>
      <c r="O125" s="20"/>
    </row>
    <row r="126" spans="1:15" x14ac:dyDescent="0.3">
      <c r="A126" s="18"/>
      <c r="B126" s="21"/>
      <c r="C126" s="21"/>
      <c r="D126" s="21"/>
      <c r="E126" s="21"/>
      <c r="F126" s="21"/>
      <c r="G126" s="21"/>
      <c r="H126" s="21"/>
      <c r="I126" s="21"/>
      <c r="J126" s="21"/>
      <c r="K126" s="21"/>
      <c r="L126" s="21"/>
      <c r="M126" s="21"/>
      <c r="N126" s="21"/>
      <c r="O126" s="20"/>
    </row>
    <row r="127" spans="1:15" x14ac:dyDescent="0.3">
      <c r="A127" s="18"/>
      <c r="B127" s="21"/>
      <c r="C127" s="21"/>
      <c r="D127" s="21"/>
      <c r="E127" s="21"/>
      <c r="F127" s="21"/>
      <c r="G127" s="21"/>
      <c r="H127" s="21"/>
      <c r="I127" s="21"/>
      <c r="J127" s="21"/>
      <c r="K127" s="21"/>
      <c r="L127" s="21"/>
      <c r="M127" s="21"/>
      <c r="N127" s="21"/>
      <c r="O127" s="20"/>
    </row>
    <row r="128" spans="1:15" x14ac:dyDescent="0.3">
      <c r="A128" s="18"/>
      <c r="B128" s="21"/>
      <c r="C128" s="21"/>
      <c r="D128" s="21"/>
      <c r="E128" s="21"/>
      <c r="F128" s="21"/>
      <c r="G128" s="21"/>
      <c r="H128" s="21"/>
      <c r="I128" s="21"/>
      <c r="J128" s="21"/>
      <c r="K128" s="21"/>
      <c r="L128" s="21"/>
      <c r="M128" s="21"/>
      <c r="N128" s="21"/>
      <c r="O128" s="20"/>
    </row>
    <row r="129" spans="1:15" x14ac:dyDescent="0.3">
      <c r="A129" s="18"/>
      <c r="B129" s="21"/>
      <c r="C129" s="21"/>
      <c r="D129" s="21"/>
      <c r="E129" s="21"/>
      <c r="F129" s="21"/>
      <c r="G129" s="21"/>
      <c r="H129" s="21"/>
      <c r="I129" s="21"/>
      <c r="J129" s="21"/>
      <c r="K129" s="21"/>
      <c r="L129" s="21"/>
      <c r="M129" s="21"/>
      <c r="N129" s="21"/>
      <c r="O129" s="20"/>
    </row>
    <row r="130" spans="1:15" x14ac:dyDescent="0.3">
      <c r="A130" s="18"/>
      <c r="B130" s="21"/>
      <c r="C130" s="21"/>
      <c r="D130" s="21"/>
      <c r="E130" s="21"/>
      <c r="F130" s="21"/>
      <c r="G130" s="21"/>
      <c r="H130" s="21"/>
      <c r="I130" s="21"/>
      <c r="J130" s="21"/>
      <c r="K130" s="21"/>
      <c r="L130" s="21"/>
      <c r="M130" s="21"/>
      <c r="N130" s="21"/>
      <c r="O130" s="20"/>
    </row>
    <row r="131" spans="1:15" x14ac:dyDescent="0.3">
      <c r="A131" s="490" t="s">
        <v>1360</v>
      </c>
      <c r="B131" s="491"/>
      <c r="C131" s="491"/>
      <c r="D131" s="491"/>
      <c r="E131" s="491"/>
      <c r="F131" s="491"/>
      <c r="G131" s="491"/>
      <c r="H131" s="491"/>
      <c r="I131" s="491"/>
      <c r="J131" s="491"/>
      <c r="K131" s="491"/>
      <c r="L131" s="491"/>
      <c r="M131" s="491"/>
      <c r="N131" s="21"/>
      <c r="O131" s="20"/>
    </row>
    <row r="132" spans="1:15" x14ac:dyDescent="0.3">
      <c r="A132" s="18"/>
      <c r="B132" s="21"/>
      <c r="C132" s="21"/>
      <c r="D132" s="21"/>
      <c r="E132" s="21"/>
      <c r="F132" s="21"/>
      <c r="G132" s="21"/>
      <c r="H132" s="21"/>
      <c r="I132" s="21"/>
      <c r="J132" s="21"/>
      <c r="K132" s="21"/>
      <c r="L132" s="21"/>
      <c r="M132" s="21"/>
      <c r="N132" s="21"/>
      <c r="O132" s="20"/>
    </row>
    <row r="133" spans="1:15" x14ac:dyDescent="0.3">
      <c r="A133" s="18"/>
      <c r="B133" s="21"/>
      <c r="C133" s="21"/>
      <c r="D133" s="21"/>
      <c r="E133" s="21"/>
      <c r="F133" s="21"/>
      <c r="G133" s="21"/>
      <c r="H133" s="21"/>
      <c r="I133" s="21"/>
      <c r="J133" s="21"/>
      <c r="K133" s="21"/>
      <c r="L133" s="21"/>
      <c r="M133" s="21"/>
      <c r="N133" s="21"/>
      <c r="O133" s="20"/>
    </row>
    <row r="134" spans="1:15" x14ac:dyDescent="0.3">
      <c r="A134" s="18"/>
      <c r="B134" s="9" t="s">
        <v>1361</v>
      </c>
      <c r="C134" s="21"/>
      <c r="D134" s="21"/>
      <c r="E134" s="21"/>
      <c r="F134" s="21"/>
      <c r="G134" s="21"/>
      <c r="H134" s="21"/>
      <c r="I134" s="21"/>
      <c r="J134" s="21"/>
      <c r="K134" s="21"/>
      <c r="L134" s="21"/>
      <c r="M134" s="21"/>
      <c r="N134" s="21"/>
      <c r="O134" s="20"/>
    </row>
    <row r="135" spans="1:15" x14ac:dyDescent="0.3">
      <c r="A135" s="18"/>
      <c r="B135" s="35">
        <v>1</v>
      </c>
      <c r="C135" s="21"/>
      <c r="D135" s="21"/>
      <c r="E135" s="21"/>
      <c r="F135" s="21"/>
      <c r="G135" s="21"/>
      <c r="H135" s="21"/>
      <c r="I135" s="21"/>
      <c r="J135" s="21"/>
      <c r="K135" s="21"/>
      <c r="L135" s="21"/>
      <c r="M135" s="21"/>
      <c r="N135" s="21"/>
      <c r="O135" s="20"/>
    </row>
    <row r="136" spans="1:15" x14ac:dyDescent="0.3">
      <c r="A136" s="18"/>
      <c r="B136" s="35">
        <v>2</v>
      </c>
      <c r="C136" s="21"/>
      <c r="D136" s="21"/>
      <c r="E136" s="21"/>
      <c r="F136" s="21"/>
      <c r="G136" s="21"/>
      <c r="H136" s="21"/>
      <c r="I136" s="21"/>
      <c r="J136" s="21"/>
      <c r="K136" s="21"/>
      <c r="L136" s="21"/>
      <c r="M136" s="21"/>
      <c r="N136" s="21"/>
      <c r="O136" s="20"/>
    </row>
    <row r="137" spans="1:15" x14ac:dyDescent="0.3">
      <c r="A137" s="18"/>
      <c r="B137" s="267">
        <f>B135+B136</f>
        <v>3</v>
      </c>
      <c r="C137" s="21"/>
      <c r="D137" s="21"/>
      <c r="E137" s="21"/>
      <c r="F137" s="21"/>
      <c r="G137" s="21"/>
      <c r="H137" s="21"/>
      <c r="I137" s="21"/>
      <c r="J137" s="21"/>
      <c r="K137" s="21"/>
      <c r="L137" s="21"/>
      <c r="M137" s="21"/>
      <c r="N137" s="21"/>
      <c r="O137" s="20"/>
    </row>
    <row r="138" spans="1:15" x14ac:dyDescent="0.3">
      <c r="A138" s="18"/>
      <c r="B138" s="21"/>
      <c r="C138" s="21"/>
      <c r="D138" s="21"/>
      <c r="E138" s="21"/>
      <c r="F138" s="21"/>
      <c r="G138" s="21"/>
      <c r="H138" s="21"/>
      <c r="I138" s="21"/>
      <c r="J138" s="21"/>
      <c r="K138" s="21"/>
      <c r="L138" s="21"/>
      <c r="M138" s="21"/>
      <c r="N138" s="21"/>
      <c r="O138" s="20"/>
    </row>
    <row r="139" spans="1:15" x14ac:dyDescent="0.3">
      <c r="A139" s="18"/>
      <c r="B139" s="21"/>
      <c r="C139" s="21"/>
      <c r="D139" s="9" t="s">
        <v>3549</v>
      </c>
      <c r="E139" s="21"/>
      <c r="F139" s="21"/>
      <c r="G139" s="21"/>
      <c r="H139" s="21"/>
      <c r="I139" s="21"/>
      <c r="J139" s="21"/>
      <c r="K139" s="21"/>
      <c r="L139" s="21"/>
      <c r="M139" s="21"/>
      <c r="N139" s="21"/>
      <c r="O139" s="20"/>
    </row>
    <row r="140" spans="1:15" x14ac:dyDescent="0.3">
      <c r="A140" s="18"/>
      <c r="B140" s="268" t="s">
        <v>1362</v>
      </c>
      <c r="C140" s="21"/>
      <c r="D140" s="150" t="s">
        <v>3673</v>
      </c>
      <c r="E140" s="21"/>
      <c r="F140" s="21"/>
      <c r="G140" s="21"/>
      <c r="H140" s="21"/>
      <c r="I140" s="21"/>
      <c r="J140" s="21"/>
      <c r="K140" s="21"/>
      <c r="L140" s="21"/>
      <c r="M140" s="21"/>
      <c r="N140" s="21"/>
      <c r="O140" s="20"/>
    </row>
    <row r="141" spans="1:15" x14ac:dyDescent="0.3">
      <c r="A141" s="18"/>
      <c r="B141" s="35">
        <v>1</v>
      </c>
      <c r="C141" s="21"/>
      <c r="D141" s="21"/>
      <c r="E141" s="21"/>
      <c r="F141" s="21"/>
      <c r="G141" s="21"/>
      <c r="H141" s="21"/>
      <c r="I141" s="21"/>
      <c r="J141" s="21"/>
      <c r="K141" s="21"/>
      <c r="L141" s="21"/>
      <c r="M141" s="21"/>
      <c r="N141" s="21"/>
      <c r="O141" s="20"/>
    </row>
    <row r="142" spans="1:15" x14ac:dyDescent="0.3">
      <c r="A142" s="18"/>
      <c r="B142" s="35">
        <v>2</v>
      </c>
      <c r="C142" s="21"/>
      <c r="D142" s="21"/>
      <c r="E142" s="21"/>
      <c r="F142" s="21"/>
      <c r="G142" s="21"/>
      <c r="H142" s="21"/>
      <c r="I142" s="21"/>
      <c r="J142" s="21"/>
      <c r="K142" s="21"/>
      <c r="L142" s="21"/>
      <c r="M142" s="21"/>
      <c r="N142" s="21"/>
      <c r="O142" s="20"/>
    </row>
    <row r="143" spans="1:15" x14ac:dyDescent="0.3">
      <c r="A143" s="18"/>
      <c r="B143" s="267">
        <f>B141+B142</f>
        <v>3</v>
      </c>
      <c r="C143" s="21"/>
      <c r="D143" s="21"/>
      <c r="E143" s="21"/>
      <c r="F143" s="21"/>
      <c r="G143" s="21"/>
      <c r="H143" s="21"/>
      <c r="I143" s="21"/>
      <c r="J143" s="21"/>
      <c r="K143" s="21"/>
      <c r="L143" s="21"/>
      <c r="M143" s="21"/>
      <c r="N143" s="21"/>
      <c r="O143" s="20"/>
    </row>
    <row r="144" spans="1:15" x14ac:dyDescent="0.3">
      <c r="A144" s="18"/>
      <c r="B144" s="21"/>
      <c r="C144" s="21"/>
      <c r="D144" s="9" t="s">
        <v>1366</v>
      </c>
      <c r="E144" s="21"/>
      <c r="F144" s="21"/>
      <c r="G144" s="21"/>
      <c r="H144" s="21"/>
      <c r="I144" s="21"/>
      <c r="J144" s="21"/>
      <c r="K144" s="21"/>
      <c r="L144" s="21"/>
      <c r="M144" s="21"/>
      <c r="N144" s="21"/>
      <c r="O144" s="20"/>
    </row>
    <row r="145" spans="1:15" x14ac:dyDescent="0.3">
      <c r="A145" s="18"/>
      <c r="B145" s="268" t="s">
        <v>1363</v>
      </c>
      <c r="C145" s="21"/>
      <c r="D145" s="150" t="s">
        <v>3674</v>
      </c>
      <c r="E145" s="21"/>
      <c r="F145" s="21"/>
      <c r="G145" s="21"/>
      <c r="H145" s="21"/>
      <c r="I145" s="21"/>
      <c r="J145" s="21"/>
      <c r="K145" s="21"/>
      <c r="L145" s="21"/>
      <c r="M145" s="21"/>
      <c r="N145" s="21"/>
      <c r="O145" s="20"/>
    </row>
    <row r="146" spans="1:15" x14ac:dyDescent="0.3">
      <c r="A146" s="18"/>
      <c r="B146" s="21">
        <v>1</v>
      </c>
      <c r="C146" s="21"/>
      <c r="D146" s="21"/>
      <c r="E146" s="21"/>
      <c r="F146" s="21"/>
      <c r="G146" s="21"/>
      <c r="H146" s="21"/>
      <c r="I146" s="21"/>
      <c r="J146" s="21"/>
      <c r="K146" s="21"/>
      <c r="L146" s="21"/>
      <c r="M146" s="21"/>
      <c r="N146" s="21"/>
      <c r="O146" s="20"/>
    </row>
    <row r="147" spans="1:15" x14ac:dyDescent="0.3">
      <c r="A147" s="18"/>
      <c r="B147" s="21">
        <v>2</v>
      </c>
      <c r="C147" s="21"/>
      <c r="D147" s="21"/>
      <c r="E147" s="21"/>
      <c r="F147" s="21"/>
      <c r="G147" s="21"/>
      <c r="H147" s="21"/>
      <c r="I147" s="21"/>
      <c r="J147" s="21"/>
      <c r="K147" s="21"/>
      <c r="L147" s="21"/>
      <c r="M147" s="21"/>
      <c r="N147" s="21"/>
      <c r="O147" s="20"/>
    </row>
    <row r="148" spans="1:15" x14ac:dyDescent="0.3">
      <c r="A148" s="18"/>
      <c r="B148" s="21">
        <f>B146+B147</f>
        <v>3</v>
      </c>
      <c r="C148" s="21"/>
      <c r="D148" s="21"/>
      <c r="E148" s="21"/>
      <c r="F148" s="21"/>
      <c r="G148" s="21"/>
      <c r="H148" s="21"/>
      <c r="I148" s="21"/>
      <c r="J148" s="21"/>
      <c r="K148" s="21"/>
      <c r="L148" s="21"/>
      <c r="M148" s="21"/>
      <c r="N148" s="21"/>
      <c r="O148" s="20"/>
    </row>
    <row r="149" spans="1:15" x14ac:dyDescent="0.3">
      <c r="A149" s="18"/>
      <c r="B149" s="21"/>
      <c r="C149" s="21"/>
      <c r="D149" s="9" t="s">
        <v>1367</v>
      </c>
      <c r="E149" s="21"/>
      <c r="F149" s="21"/>
      <c r="G149" s="21"/>
      <c r="H149" s="21"/>
      <c r="I149" s="21"/>
      <c r="J149" s="21"/>
      <c r="K149" s="21"/>
      <c r="L149" s="21"/>
      <c r="M149" s="21"/>
      <c r="N149" s="21"/>
      <c r="O149" s="20"/>
    </row>
    <row r="150" spans="1:15" x14ac:dyDescent="0.3">
      <c r="A150" s="18"/>
      <c r="B150" s="268" t="s">
        <v>1364</v>
      </c>
      <c r="C150" s="21"/>
      <c r="D150" s="150" t="s">
        <v>3675</v>
      </c>
      <c r="E150" s="21"/>
      <c r="F150" s="21"/>
      <c r="G150" s="21"/>
      <c r="H150" s="21"/>
      <c r="I150" s="21"/>
      <c r="J150" s="21"/>
      <c r="K150" s="21"/>
      <c r="L150" s="21"/>
      <c r="M150" s="21"/>
      <c r="N150" s="21"/>
      <c r="O150" s="20"/>
    </row>
    <row r="151" spans="1:15" x14ac:dyDescent="0.3">
      <c r="A151" s="18"/>
      <c r="B151" s="35"/>
      <c r="C151" s="21"/>
      <c r="D151" s="21"/>
      <c r="E151" s="21"/>
      <c r="F151" s="21"/>
      <c r="G151" s="21"/>
      <c r="H151" s="21"/>
      <c r="I151" s="21"/>
      <c r="J151" s="21"/>
      <c r="K151" s="21"/>
      <c r="L151" s="21"/>
      <c r="M151" s="21"/>
      <c r="N151" s="21"/>
      <c r="O151" s="20"/>
    </row>
    <row r="152" spans="1:15" x14ac:dyDescent="0.3">
      <c r="A152" s="18"/>
      <c r="B152" s="35"/>
      <c r="C152" s="21"/>
      <c r="D152" s="21"/>
      <c r="E152" s="21"/>
      <c r="F152" s="21"/>
      <c r="G152" s="21"/>
      <c r="H152" s="21"/>
      <c r="I152" s="21"/>
      <c r="J152" s="21"/>
      <c r="K152" s="21"/>
      <c r="L152" s="21"/>
      <c r="M152" s="21"/>
      <c r="N152" s="21"/>
      <c r="O152" s="20"/>
    </row>
    <row r="153" spans="1:15" x14ac:dyDescent="0.3">
      <c r="A153" s="18"/>
      <c r="B153" s="267"/>
      <c r="C153" s="21"/>
      <c r="D153" s="21"/>
      <c r="E153" s="21"/>
      <c r="F153" s="21"/>
      <c r="G153" s="21"/>
      <c r="H153" s="21"/>
      <c r="I153" s="21"/>
      <c r="J153" s="21"/>
      <c r="K153" s="21"/>
      <c r="L153" s="21"/>
      <c r="M153" s="21"/>
      <c r="N153" s="21"/>
      <c r="O153" s="20"/>
    </row>
    <row r="154" spans="1:15" x14ac:dyDescent="0.3">
      <c r="A154" s="18"/>
      <c r="B154" s="21"/>
      <c r="C154" s="21"/>
      <c r="D154" s="9" t="s">
        <v>1368</v>
      </c>
      <c r="E154" s="21"/>
      <c r="F154" s="21"/>
      <c r="G154" s="21"/>
      <c r="H154" s="21"/>
      <c r="I154" s="21"/>
      <c r="J154" s="21"/>
      <c r="K154" s="21"/>
      <c r="L154" s="21"/>
      <c r="M154" s="21"/>
      <c r="N154" s="21"/>
      <c r="O154" s="20"/>
    </row>
    <row r="155" spans="1:15" x14ac:dyDescent="0.3">
      <c r="A155" s="18"/>
      <c r="B155" s="268" t="s">
        <v>1365</v>
      </c>
      <c r="C155" s="21"/>
      <c r="D155" s="150" t="s">
        <v>3676</v>
      </c>
      <c r="E155" s="21"/>
      <c r="F155" s="21"/>
      <c r="G155" s="21"/>
      <c r="H155" s="21"/>
      <c r="I155" s="21"/>
      <c r="J155" s="21"/>
      <c r="K155" s="21"/>
      <c r="L155" s="21"/>
      <c r="M155" s="21"/>
      <c r="N155" s="21"/>
      <c r="O155" s="20"/>
    </row>
    <row r="156" spans="1:15" x14ac:dyDescent="0.3">
      <c r="A156" s="18"/>
      <c r="B156" s="35">
        <v>1</v>
      </c>
      <c r="C156" s="21"/>
      <c r="D156" s="21"/>
      <c r="E156" s="21"/>
      <c r="F156" s="21"/>
      <c r="G156" s="21"/>
      <c r="H156" s="21"/>
      <c r="I156" s="21"/>
      <c r="J156" s="21"/>
      <c r="K156" s="21"/>
      <c r="L156" s="21"/>
      <c r="M156" s="21"/>
      <c r="N156" s="21"/>
      <c r="O156" s="20"/>
    </row>
    <row r="157" spans="1:15" x14ac:dyDescent="0.3">
      <c r="A157" s="18"/>
      <c r="B157" s="35">
        <v>2</v>
      </c>
      <c r="C157" s="21"/>
      <c r="D157" s="21"/>
      <c r="E157" s="21"/>
      <c r="F157" s="21"/>
      <c r="G157" s="21"/>
      <c r="H157" s="21"/>
      <c r="I157" s="21"/>
      <c r="J157" s="21"/>
      <c r="K157" s="21"/>
      <c r="L157" s="21"/>
      <c r="M157" s="21"/>
      <c r="N157" s="21"/>
      <c r="O157" s="20"/>
    </row>
    <row r="158" spans="1:15" x14ac:dyDescent="0.3">
      <c r="A158" s="18"/>
      <c r="B158" s="267">
        <v>3</v>
      </c>
      <c r="C158" s="21"/>
      <c r="D158" s="21"/>
      <c r="E158" s="21"/>
      <c r="F158" s="21"/>
      <c r="G158" s="21"/>
      <c r="H158" s="21"/>
      <c r="I158" s="21"/>
      <c r="J158" s="21"/>
      <c r="K158" s="21"/>
      <c r="L158" s="21"/>
      <c r="M158" s="21"/>
      <c r="N158" s="21"/>
      <c r="O158" s="20"/>
    </row>
    <row r="159" spans="1:15" x14ac:dyDescent="0.3">
      <c r="A159" s="18"/>
      <c r="B159" s="21"/>
      <c r="C159" s="21"/>
      <c r="D159" s="21"/>
      <c r="E159" s="21"/>
      <c r="F159" s="21"/>
      <c r="G159" s="21"/>
      <c r="H159" s="21"/>
      <c r="I159" s="21"/>
      <c r="J159" s="21"/>
      <c r="K159" s="21"/>
      <c r="L159" s="21"/>
      <c r="M159" s="21"/>
      <c r="N159" s="21"/>
      <c r="O159" s="20"/>
    </row>
    <row r="160" spans="1:15" x14ac:dyDescent="0.3">
      <c r="A160" s="18"/>
      <c r="B160" s="21"/>
      <c r="C160" s="21"/>
      <c r="D160" s="21"/>
      <c r="E160" s="21"/>
      <c r="F160" s="21"/>
      <c r="G160" s="21"/>
      <c r="H160" s="21"/>
      <c r="I160" s="21"/>
      <c r="J160" s="21"/>
      <c r="K160" s="21"/>
      <c r="L160" s="21"/>
      <c r="M160" s="21"/>
      <c r="N160" s="21"/>
      <c r="O160" s="20"/>
    </row>
    <row r="161" spans="1:15" x14ac:dyDescent="0.3">
      <c r="A161" s="490" t="s">
        <v>2556</v>
      </c>
      <c r="B161" s="491"/>
      <c r="C161" s="491"/>
      <c r="D161" s="491"/>
      <c r="E161" s="491"/>
      <c r="F161" s="491"/>
      <c r="G161" s="491"/>
      <c r="H161" s="491"/>
      <c r="I161" s="491"/>
      <c r="J161" s="491"/>
      <c r="K161" s="491"/>
      <c r="L161" s="491"/>
      <c r="M161" s="491"/>
      <c r="N161" s="21"/>
      <c r="O161" s="20"/>
    </row>
    <row r="162" spans="1:15" x14ac:dyDescent="0.3">
      <c r="A162" s="18"/>
      <c r="B162" s="21"/>
      <c r="C162" s="21"/>
      <c r="D162" s="21"/>
      <c r="E162" s="21"/>
      <c r="F162" s="21"/>
      <c r="G162" s="21"/>
      <c r="H162" s="21"/>
      <c r="I162" s="21"/>
      <c r="J162" s="21"/>
      <c r="K162" s="21"/>
      <c r="L162" s="21"/>
      <c r="M162" s="21"/>
      <c r="N162" s="21"/>
      <c r="O162" s="20"/>
    </row>
    <row r="163" spans="1:15" x14ac:dyDescent="0.3">
      <c r="A163" s="18"/>
      <c r="B163" s="21"/>
      <c r="C163" s="21"/>
      <c r="D163" s="21"/>
      <c r="E163" s="21"/>
      <c r="F163" s="21"/>
      <c r="G163" s="21"/>
      <c r="H163" s="21"/>
      <c r="I163" s="21"/>
      <c r="J163" s="21"/>
      <c r="K163" s="21"/>
      <c r="L163" s="21"/>
      <c r="M163" s="21"/>
      <c r="N163" s="21"/>
      <c r="O163" s="20"/>
    </row>
    <row r="164" spans="1:15" x14ac:dyDescent="0.3">
      <c r="A164" s="18"/>
      <c r="B164" s="520" t="s">
        <v>394</v>
      </c>
      <c r="C164" s="520"/>
      <c r="D164" s="190" t="s">
        <v>2557</v>
      </c>
      <c r="E164" s="21"/>
      <c r="F164" s="21"/>
      <c r="G164" s="21"/>
      <c r="H164" s="21"/>
      <c r="I164" s="21"/>
      <c r="J164" s="21"/>
      <c r="K164" s="21"/>
      <c r="L164" s="21"/>
      <c r="M164" s="21"/>
      <c r="N164" s="21"/>
      <c r="O164" s="20"/>
    </row>
    <row r="165" spans="1:15" x14ac:dyDescent="0.3">
      <c r="A165" s="18"/>
      <c r="B165" s="384">
        <v>1</v>
      </c>
      <c r="C165" s="384">
        <v>2</v>
      </c>
      <c r="D165" s="209" cm="1">
        <f t="array" ref="D165">_xll.U.COPY_PASTE(B165+C165,B166:C166,"down")</f>
        <v>3</v>
      </c>
      <c r="E165" s="21"/>
      <c r="F165" s="21"/>
      <c r="G165" s="21"/>
      <c r="H165" s="21"/>
      <c r="I165" s="21"/>
      <c r="J165" s="21"/>
      <c r="K165" s="21"/>
      <c r="L165" s="21"/>
      <c r="M165" s="21"/>
      <c r="N165" s="21"/>
      <c r="O165" s="20"/>
    </row>
    <row r="166" spans="1:15" x14ac:dyDescent="0.3">
      <c r="A166" s="18"/>
      <c r="B166" s="208"/>
      <c r="C166" s="208"/>
      <c r="D166" s="209"/>
      <c r="E166" s="21"/>
      <c r="F166" s="21"/>
      <c r="G166" s="21"/>
      <c r="H166" s="21"/>
      <c r="I166" s="21"/>
      <c r="J166" s="21"/>
      <c r="K166" s="21"/>
      <c r="L166" s="21"/>
      <c r="M166" s="21"/>
      <c r="N166" s="21"/>
      <c r="O166" s="20"/>
    </row>
    <row r="167" spans="1:15" x14ac:dyDescent="0.3">
      <c r="A167" s="18"/>
      <c r="B167" s="208"/>
      <c r="C167" s="208"/>
      <c r="D167" s="209"/>
      <c r="E167" s="21"/>
      <c r="F167" s="21"/>
      <c r="G167" s="21"/>
      <c r="H167" s="21"/>
      <c r="I167" s="21"/>
      <c r="J167" s="21"/>
      <c r="K167" s="21"/>
      <c r="L167" s="21"/>
      <c r="M167" s="21"/>
      <c r="N167" s="21"/>
      <c r="O167" s="20"/>
    </row>
    <row r="168" spans="1:15" x14ac:dyDescent="0.3">
      <c r="A168" s="18"/>
      <c r="B168" s="208"/>
      <c r="C168" s="208"/>
      <c r="D168" s="209"/>
      <c r="E168" s="21"/>
      <c r="F168" s="21"/>
      <c r="G168" s="21"/>
      <c r="H168" s="21"/>
      <c r="I168" s="21"/>
      <c r="J168" s="21"/>
      <c r="K168" s="21"/>
      <c r="L168" s="21"/>
      <c r="M168" s="21"/>
      <c r="N168" s="21"/>
      <c r="O168" s="20"/>
    </row>
    <row r="169" spans="1:15" x14ac:dyDescent="0.3">
      <c r="A169" s="18"/>
      <c r="B169" s="21"/>
      <c r="C169" s="21"/>
      <c r="D169" s="21"/>
      <c r="E169" s="21"/>
      <c r="F169" s="21"/>
      <c r="G169" s="21"/>
      <c r="H169" s="21"/>
      <c r="I169" s="21"/>
      <c r="J169" s="21"/>
      <c r="K169" s="21"/>
      <c r="L169" s="21"/>
      <c r="M169" s="21"/>
      <c r="N169" s="21"/>
      <c r="O169" s="20"/>
    </row>
    <row r="170" spans="1:15" x14ac:dyDescent="0.3">
      <c r="A170" s="18"/>
      <c r="B170" s="21"/>
      <c r="C170" s="21"/>
      <c r="D170" s="21"/>
      <c r="E170" s="21"/>
      <c r="F170" s="21"/>
      <c r="G170" s="21"/>
      <c r="H170" s="21"/>
      <c r="I170" s="21"/>
      <c r="J170" s="21"/>
      <c r="K170" s="21"/>
      <c r="L170" s="21"/>
      <c r="M170" s="21"/>
      <c r="N170" s="21"/>
      <c r="O170" s="20"/>
    </row>
    <row r="171" spans="1:15" x14ac:dyDescent="0.3">
      <c r="A171" s="18"/>
      <c r="B171" s="21"/>
      <c r="C171" s="21"/>
      <c r="D171" s="21"/>
      <c r="E171" s="21"/>
      <c r="F171" s="21"/>
      <c r="G171" s="21"/>
      <c r="H171" s="21"/>
      <c r="I171" s="21"/>
      <c r="J171" s="21"/>
      <c r="K171" s="21"/>
      <c r="L171" s="21"/>
      <c r="M171" s="21"/>
      <c r="N171" s="21"/>
      <c r="O171" s="20"/>
    </row>
    <row r="172" spans="1:15" x14ac:dyDescent="0.3">
      <c r="A172" s="18"/>
      <c r="B172" s="21"/>
      <c r="C172" s="21"/>
      <c r="D172" s="21"/>
      <c r="E172" s="21"/>
      <c r="F172" s="21"/>
      <c r="G172" s="21"/>
      <c r="H172" s="21"/>
      <c r="I172" s="21"/>
      <c r="J172" s="21"/>
      <c r="K172" s="21"/>
      <c r="L172" s="21"/>
      <c r="M172" s="21"/>
      <c r="N172" s="21"/>
      <c r="O172" s="20"/>
    </row>
    <row r="173" spans="1:15" x14ac:dyDescent="0.3">
      <c r="A173" s="18"/>
      <c r="B173" s="21"/>
      <c r="C173" s="21"/>
      <c r="D173" s="21"/>
      <c r="E173" s="21"/>
      <c r="F173" s="21"/>
      <c r="G173" s="21"/>
      <c r="H173" s="21"/>
      <c r="I173" s="21"/>
      <c r="J173" s="21"/>
      <c r="K173" s="21"/>
      <c r="L173" s="21"/>
      <c r="M173" s="21"/>
      <c r="N173" s="21"/>
      <c r="O173" s="20"/>
    </row>
    <row r="174" spans="1:15" x14ac:dyDescent="0.3">
      <c r="A174" s="18"/>
      <c r="B174" s="21"/>
      <c r="C174" s="21"/>
      <c r="D174" s="21"/>
      <c r="E174" s="21"/>
      <c r="F174" s="21"/>
      <c r="G174" s="21"/>
      <c r="H174" s="21"/>
      <c r="I174" s="21"/>
      <c r="J174" s="21"/>
      <c r="K174" s="21"/>
      <c r="L174" s="21"/>
      <c r="M174" s="21"/>
      <c r="N174" s="21"/>
      <c r="O174" s="20"/>
    </row>
    <row r="175" spans="1:15" x14ac:dyDescent="0.3">
      <c r="A175" s="18"/>
      <c r="B175" s="21"/>
      <c r="C175" s="21"/>
      <c r="D175" s="21"/>
      <c r="E175" s="21"/>
      <c r="F175" s="21"/>
      <c r="G175" s="21"/>
      <c r="H175" s="21"/>
      <c r="I175" s="21"/>
      <c r="J175" s="21"/>
      <c r="K175" s="21"/>
      <c r="L175" s="21"/>
      <c r="M175" s="21"/>
      <c r="N175" s="21"/>
      <c r="O175" s="20"/>
    </row>
    <row r="176" spans="1:15" x14ac:dyDescent="0.3">
      <c r="A176" s="18"/>
      <c r="B176" s="21"/>
      <c r="C176" s="21"/>
      <c r="D176" s="21"/>
      <c r="E176" s="21"/>
      <c r="F176" s="21"/>
      <c r="G176" s="21"/>
      <c r="H176" s="21"/>
      <c r="I176" s="21"/>
      <c r="J176" s="21"/>
      <c r="K176" s="21"/>
      <c r="L176" s="21"/>
      <c r="M176" s="21"/>
      <c r="N176" s="21"/>
      <c r="O176" s="20"/>
    </row>
    <row r="177" spans="1:15" x14ac:dyDescent="0.3">
      <c r="A177" s="18"/>
      <c r="B177" s="21"/>
      <c r="C177" s="21"/>
      <c r="D177" s="21"/>
      <c r="E177" s="21"/>
      <c r="F177" s="21"/>
      <c r="G177" s="21"/>
      <c r="H177" s="21"/>
      <c r="I177" s="21"/>
      <c r="J177" s="21"/>
      <c r="K177" s="21"/>
      <c r="L177" s="21"/>
      <c r="M177" s="21"/>
      <c r="N177" s="21"/>
      <c r="O177" s="20"/>
    </row>
    <row r="178" spans="1:15" x14ac:dyDescent="0.3">
      <c r="A178" s="18"/>
      <c r="B178" s="21"/>
      <c r="C178" s="21"/>
      <c r="D178" s="21"/>
      <c r="E178" s="21"/>
      <c r="F178" s="21"/>
      <c r="G178" s="21"/>
      <c r="H178" s="21"/>
      <c r="I178" s="21"/>
      <c r="J178" s="21"/>
      <c r="K178" s="21"/>
      <c r="L178" s="21"/>
      <c r="M178" s="21"/>
      <c r="N178" s="21"/>
      <c r="O178" s="20"/>
    </row>
    <row r="179" spans="1:15" x14ac:dyDescent="0.3">
      <c r="A179" s="18"/>
      <c r="B179" s="21"/>
      <c r="C179" s="21"/>
      <c r="D179" s="21"/>
      <c r="E179" s="21"/>
      <c r="F179" s="21"/>
      <c r="G179" s="21"/>
      <c r="H179" s="21"/>
      <c r="I179" s="21"/>
      <c r="J179" s="21"/>
      <c r="K179" s="21"/>
      <c r="L179" s="21"/>
      <c r="M179" s="21"/>
      <c r="N179" s="21"/>
      <c r="O179" s="20"/>
    </row>
    <row r="180" spans="1:15" x14ac:dyDescent="0.3">
      <c r="A180" s="18"/>
      <c r="B180" s="21"/>
      <c r="C180" s="21"/>
      <c r="D180" s="21"/>
      <c r="E180" s="21"/>
      <c r="F180" s="21"/>
      <c r="G180" s="21"/>
      <c r="H180" s="21"/>
      <c r="I180" s="21"/>
      <c r="J180" s="21"/>
      <c r="K180" s="21"/>
      <c r="L180" s="21"/>
      <c r="M180" s="21"/>
      <c r="N180" s="21"/>
      <c r="O180" s="20"/>
    </row>
    <row r="181" spans="1:15" x14ac:dyDescent="0.3">
      <c r="A181" s="18"/>
      <c r="B181" s="21"/>
      <c r="C181" s="21"/>
      <c r="D181" s="21"/>
      <c r="E181" s="21"/>
      <c r="F181" s="21"/>
      <c r="G181" s="21"/>
      <c r="H181" s="21"/>
      <c r="I181" s="21"/>
      <c r="J181" s="21"/>
      <c r="K181" s="21"/>
      <c r="L181" s="21"/>
      <c r="M181" s="21"/>
      <c r="N181" s="21"/>
      <c r="O181" s="20"/>
    </row>
    <row r="182" spans="1:15" x14ac:dyDescent="0.3">
      <c r="A182" s="18"/>
      <c r="B182" s="21"/>
      <c r="C182" s="21"/>
      <c r="D182" s="21"/>
      <c r="E182" s="21"/>
      <c r="F182" s="21"/>
      <c r="G182" s="21"/>
      <c r="H182" s="21"/>
      <c r="I182" s="21"/>
      <c r="J182" s="21"/>
      <c r="K182" s="21"/>
      <c r="L182" s="21"/>
      <c r="M182" s="21"/>
      <c r="N182" s="21"/>
      <c r="O182" s="20"/>
    </row>
    <row r="183" spans="1:15" x14ac:dyDescent="0.3">
      <c r="A183" s="18"/>
      <c r="B183" s="21"/>
      <c r="C183" s="21"/>
      <c r="D183" s="21"/>
      <c r="E183" s="21"/>
      <c r="F183" s="21"/>
      <c r="G183" s="21"/>
      <c r="H183" s="21"/>
      <c r="I183" s="21"/>
      <c r="J183" s="21"/>
      <c r="K183" s="21"/>
      <c r="L183" s="21"/>
      <c r="M183" s="21"/>
      <c r="N183" s="21"/>
      <c r="O183" s="20"/>
    </row>
    <row r="184" spans="1:15" x14ac:dyDescent="0.3">
      <c r="A184" s="18"/>
      <c r="B184" s="21"/>
      <c r="C184" s="21"/>
      <c r="D184" s="21"/>
      <c r="E184" s="21"/>
      <c r="F184" s="21"/>
      <c r="G184" s="21"/>
      <c r="H184" s="21"/>
      <c r="I184" s="21"/>
      <c r="J184" s="21"/>
      <c r="K184" s="21"/>
      <c r="L184" s="21"/>
      <c r="M184" s="21"/>
      <c r="N184" s="21"/>
      <c r="O184" s="20"/>
    </row>
    <row r="185" spans="1:15" x14ac:dyDescent="0.3">
      <c r="A185" s="18"/>
      <c r="B185" s="21"/>
      <c r="C185" s="21"/>
      <c r="D185" s="21"/>
      <c r="E185" s="21"/>
      <c r="F185" s="21"/>
      <c r="G185" s="21"/>
      <c r="H185" s="21"/>
      <c r="I185" s="21"/>
      <c r="J185" s="21"/>
      <c r="K185" s="21"/>
      <c r="L185" s="21"/>
      <c r="M185" s="21"/>
      <c r="N185" s="21"/>
      <c r="O185" s="20"/>
    </row>
    <row r="186" spans="1:15" x14ac:dyDescent="0.3">
      <c r="A186" s="18"/>
      <c r="B186" s="21"/>
      <c r="C186" s="21"/>
      <c r="D186" s="21"/>
      <c r="E186" s="21"/>
      <c r="F186" s="21"/>
      <c r="G186" s="21"/>
      <c r="H186" s="21"/>
      <c r="I186" s="21"/>
      <c r="J186" s="21"/>
      <c r="K186" s="21"/>
      <c r="L186" s="21"/>
      <c r="M186" s="21"/>
      <c r="N186" s="21"/>
      <c r="O186" s="20"/>
    </row>
    <row r="187" spans="1:15" x14ac:dyDescent="0.3">
      <c r="A187" s="18"/>
      <c r="B187" s="21"/>
      <c r="C187" s="21"/>
      <c r="D187" s="21"/>
      <c r="E187" s="21"/>
      <c r="F187" s="21"/>
      <c r="G187" s="21"/>
      <c r="H187" s="21"/>
      <c r="I187" s="21"/>
      <c r="J187" s="21"/>
      <c r="K187" s="21"/>
      <c r="L187" s="21"/>
      <c r="M187" s="21"/>
      <c r="N187" s="21"/>
      <c r="O187" s="20"/>
    </row>
    <row r="188" spans="1:15" x14ac:dyDescent="0.3">
      <c r="A188" s="18"/>
      <c r="B188" s="21"/>
      <c r="C188" s="385">
        <v>2</v>
      </c>
      <c r="D188" s="385"/>
      <c r="E188" s="21"/>
      <c r="F188" s="21"/>
      <c r="G188" s="21"/>
      <c r="H188" s="21"/>
      <c r="I188" s="21"/>
      <c r="J188" s="21"/>
      <c r="K188" s="21"/>
      <c r="L188" s="21"/>
      <c r="M188" s="21"/>
      <c r="N188" s="21"/>
      <c r="O188" s="20"/>
    </row>
    <row r="189" spans="1:15" x14ac:dyDescent="0.3">
      <c r="A189" s="18"/>
      <c r="B189" s="385">
        <v>1</v>
      </c>
      <c r="C189" s="35" cm="1">
        <f t="array" ref="C189">_xll.U.COPY_PASTE($B189*C$188,($B190,D$188),"down,across")</f>
        <v>2</v>
      </c>
      <c r="D189" s="35"/>
      <c r="E189" s="21"/>
      <c r="F189" s="21"/>
      <c r="G189" s="21"/>
      <c r="H189" s="21"/>
      <c r="I189" s="21"/>
      <c r="J189" s="21"/>
      <c r="K189" s="21"/>
      <c r="L189" s="21"/>
      <c r="M189" s="21"/>
      <c r="N189" s="21"/>
      <c r="O189" s="20"/>
    </row>
    <row r="190" spans="1:15" x14ac:dyDescent="0.3">
      <c r="A190" s="18"/>
      <c r="B190" s="385"/>
      <c r="C190" s="35"/>
      <c r="D190" s="35"/>
      <c r="E190" s="21"/>
      <c r="F190" s="21"/>
      <c r="G190" s="21"/>
      <c r="H190" s="21"/>
      <c r="I190" s="21"/>
      <c r="J190" s="21"/>
      <c r="K190" s="21"/>
      <c r="L190" s="21"/>
      <c r="M190" s="21"/>
      <c r="N190" s="21"/>
      <c r="O190" s="20"/>
    </row>
    <row r="191" spans="1:15" x14ac:dyDescent="0.3">
      <c r="A191" s="18"/>
      <c r="B191" s="385"/>
      <c r="C191" s="35"/>
      <c r="D191" s="35"/>
      <c r="E191" s="21"/>
      <c r="F191" s="21"/>
      <c r="G191" s="21"/>
      <c r="H191" s="21"/>
      <c r="I191" s="21"/>
      <c r="J191" s="21"/>
      <c r="K191" s="21"/>
      <c r="L191" s="21"/>
      <c r="M191" s="21"/>
      <c r="N191" s="21"/>
      <c r="O191" s="20"/>
    </row>
    <row r="192" spans="1:15" x14ac:dyDescent="0.3">
      <c r="A192" s="18"/>
      <c r="B192" s="385"/>
      <c r="C192" s="35"/>
      <c r="D192" s="35"/>
      <c r="E192" s="21"/>
      <c r="F192" s="21"/>
      <c r="G192" s="21"/>
      <c r="H192" s="21"/>
      <c r="I192" s="21"/>
      <c r="J192" s="21"/>
      <c r="K192" s="21"/>
      <c r="L192" s="21"/>
      <c r="M192" s="21"/>
      <c r="N192" s="21"/>
      <c r="O192" s="20"/>
    </row>
    <row r="193" spans="1:15" x14ac:dyDescent="0.3">
      <c r="A193" s="18"/>
      <c r="B193" s="21"/>
      <c r="C193" s="21"/>
      <c r="D193" s="21"/>
      <c r="E193" s="21"/>
      <c r="F193" s="21"/>
      <c r="G193" s="21"/>
      <c r="H193" s="21"/>
      <c r="I193" s="21"/>
      <c r="J193" s="21"/>
      <c r="K193" s="21"/>
      <c r="L193" s="21"/>
      <c r="M193" s="21"/>
      <c r="N193" s="21"/>
      <c r="O193" s="20"/>
    </row>
    <row r="194" spans="1:15" ht="15" thickBot="1" x14ac:dyDescent="0.35">
      <c r="A194" s="22"/>
      <c r="B194" s="23"/>
      <c r="C194" s="23"/>
      <c r="D194" s="23"/>
      <c r="E194" s="23"/>
      <c r="F194" s="23"/>
      <c r="G194" s="23"/>
      <c r="H194" s="23"/>
      <c r="I194" s="23"/>
      <c r="J194" s="23"/>
      <c r="K194" s="23"/>
      <c r="L194" s="23"/>
      <c r="M194" s="23"/>
      <c r="N194" s="23"/>
      <c r="O194" s="24"/>
    </row>
  </sheetData>
  <mergeCells count="83">
    <mergeCell ref="A161:M161"/>
    <mergeCell ref="B164:C164"/>
    <mergeCell ref="A131:M131"/>
    <mergeCell ref="Q60:Z60"/>
    <mergeCell ref="Q61:R63"/>
    <mergeCell ref="S61:Z63"/>
    <mergeCell ref="Q64:R64"/>
    <mergeCell ref="S64:Y64"/>
    <mergeCell ref="Q65:R67"/>
    <mergeCell ref="S65:Y67"/>
    <mergeCell ref="Z65:Z67"/>
    <mergeCell ref="Q71:R73"/>
    <mergeCell ref="S71:Y73"/>
    <mergeCell ref="Z71:Z73"/>
    <mergeCell ref="Q68:R70"/>
    <mergeCell ref="S68:Y70"/>
    <mergeCell ref="Z68:Z70"/>
    <mergeCell ref="B116:C116"/>
    <mergeCell ref="Q54:R56"/>
    <mergeCell ref="S54:Y56"/>
    <mergeCell ref="Z54:Z56"/>
    <mergeCell ref="Q74:R76"/>
    <mergeCell ref="S74:Y76"/>
    <mergeCell ref="Z74:Z76"/>
    <mergeCell ref="B102:C102"/>
    <mergeCell ref="E102:F102"/>
    <mergeCell ref="Q49:Z49"/>
    <mergeCell ref="Q50:R52"/>
    <mergeCell ref="S50:Z52"/>
    <mergeCell ref="Q53:R53"/>
    <mergeCell ref="S53:Y53"/>
    <mergeCell ref="B121:C121"/>
    <mergeCell ref="B5:C5"/>
    <mergeCell ref="A3:M3"/>
    <mergeCell ref="A73:M73"/>
    <mergeCell ref="B12:D12"/>
    <mergeCell ref="B75:C75"/>
    <mergeCell ref="B80:C80"/>
    <mergeCell ref="B88:C88"/>
    <mergeCell ref="E88:F88"/>
    <mergeCell ref="A108:M108"/>
    <mergeCell ref="B18:C18"/>
    <mergeCell ref="B28:C28"/>
    <mergeCell ref="Q3:Z3"/>
    <mergeCell ref="Q4:R6"/>
    <mergeCell ref="S4:Z6"/>
    <mergeCell ref="Q7:R7"/>
    <mergeCell ref="S7:Y7"/>
    <mergeCell ref="Q8:R10"/>
    <mergeCell ref="S8:Y10"/>
    <mergeCell ref="Z8:Z10"/>
    <mergeCell ref="Q11:R13"/>
    <mergeCell ref="S11:Y13"/>
    <mergeCell ref="Z11:Z13"/>
    <mergeCell ref="Q20:R22"/>
    <mergeCell ref="S20:Y22"/>
    <mergeCell ref="Z20:Z22"/>
    <mergeCell ref="Q23:R25"/>
    <mergeCell ref="S23:Y25"/>
    <mergeCell ref="Z23:Z25"/>
    <mergeCell ref="Q14:R16"/>
    <mergeCell ref="S14:Y16"/>
    <mergeCell ref="Z14:Z16"/>
    <mergeCell ref="Q17:R19"/>
    <mergeCell ref="S17:Y19"/>
    <mergeCell ref="Z17:Z19"/>
    <mergeCell ref="Q38:Z38"/>
    <mergeCell ref="Q39:R41"/>
    <mergeCell ref="S39:Z41"/>
    <mergeCell ref="Q26:R28"/>
    <mergeCell ref="S26:Y28"/>
    <mergeCell ref="Z26:Z28"/>
    <mergeCell ref="Q32:R34"/>
    <mergeCell ref="S32:Y34"/>
    <mergeCell ref="Z32:Z34"/>
    <mergeCell ref="Q29:R31"/>
    <mergeCell ref="S29:Y31"/>
    <mergeCell ref="Z29:Z31"/>
    <mergeCell ref="Q43:R45"/>
    <mergeCell ref="S43:Y45"/>
    <mergeCell ref="Z43:Z45"/>
    <mergeCell ref="Q42:R42"/>
    <mergeCell ref="S42:Y42"/>
  </mergeCells>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170"/>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30.44140625" customWidth="1"/>
    <col min="4" max="4" width="24" bestFit="1" customWidth="1"/>
    <col min="5" max="6" width="16.44140625" customWidth="1"/>
    <col min="7" max="7" width="28.21875" customWidth="1"/>
    <col min="8" max="8" width="48.77734375" customWidth="1"/>
    <col min="9" max="9" width="68.21875" customWidth="1"/>
    <col min="11" max="12" width="12.5546875" customWidth="1"/>
    <col min="13" max="19" width="22.77734375" customWidth="1"/>
    <col min="20" max="20" width="12.5546875" customWidth="1"/>
  </cols>
  <sheetData>
    <row r="1" spans="1:20" ht="34.5" customHeight="1" thickBot="1" x14ac:dyDescent="0.35">
      <c r="A1" s="292" t="s">
        <v>1580</v>
      </c>
      <c r="B1" s="473" t="e" vm="1">
        <v>#VALUE!</v>
      </c>
      <c r="C1" s="8" t="s">
        <v>730</v>
      </c>
      <c r="D1" s="27"/>
      <c r="E1" s="16"/>
      <c r="F1" s="16"/>
      <c r="G1" s="16"/>
      <c r="H1" s="16"/>
      <c r="I1" s="19"/>
    </row>
    <row r="2" spans="1:20" ht="15" customHeight="1" x14ac:dyDescent="0.3">
      <c r="A2" s="18"/>
      <c r="B2" s="25"/>
      <c r="C2" s="25"/>
      <c r="D2" s="21"/>
      <c r="E2" s="21"/>
      <c r="F2" s="21"/>
      <c r="G2" s="21"/>
      <c r="H2" s="21"/>
      <c r="I2" s="20"/>
    </row>
    <row r="3" spans="1:20" ht="15" customHeight="1" x14ac:dyDescent="0.3">
      <c r="A3" s="528" t="s">
        <v>731</v>
      </c>
      <c r="B3" s="528"/>
      <c r="C3" s="528"/>
      <c r="D3" s="528"/>
      <c r="E3" s="528"/>
      <c r="F3" s="528"/>
      <c r="G3" s="528"/>
      <c r="H3" s="21"/>
      <c r="I3" s="20"/>
      <c r="K3" s="486" t="s">
        <v>3373</v>
      </c>
      <c r="L3" s="486"/>
      <c r="M3" s="486"/>
      <c r="N3" s="486"/>
      <c r="O3" s="486"/>
      <c r="P3" s="486"/>
      <c r="Q3" s="486"/>
      <c r="R3" s="486"/>
      <c r="S3" s="486"/>
      <c r="T3" s="486"/>
    </row>
    <row r="4" spans="1:20" ht="15" customHeight="1" x14ac:dyDescent="0.3">
      <c r="A4" s="18"/>
      <c r="B4" s="25"/>
      <c r="C4" s="25"/>
      <c r="D4" s="21"/>
      <c r="E4" s="21"/>
      <c r="F4" s="21"/>
      <c r="G4" s="21"/>
      <c r="H4" s="21"/>
      <c r="I4" s="20"/>
      <c r="K4" s="487" t="s">
        <v>333</v>
      </c>
      <c r="L4" s="487"/>
      <c r="M4" s="487" t="s">
        <v>696</v>
      </c>
      <c r="N4" s="487"/>
      <c r="O4" s="487"/>
      <c r="P4" s="487"/>
      <c r="Q4" s="487"/>
      <c r="R4" s="487"/>
      <c r="S4" s="487"/>
      <c r="T4" s="487"/>
    </row>
    <row r="5" spans="1:20" ht="31.2" x14ac:dyDescent="0.3">
      <c r="A5" s="18"/>
      <c r="B5" s="25"/>
      <c r="C5" s="25"/>
      <c r="D5" s="21"/>
      <c r="E5" s="21"/>
      <c r="F5" s="21"/>
      <c r="G5" s="21"/>
      <c r="H5" s="21"/>
      <c r="I5" s="20"/>
      <c r="K5" s="487"/>
      <c r="L5" s="487"/>
      <c r="M5" s="487"/>
      <c r="N5" s="487"/>
      <c r="O5" s="487"/>
      <c r="P5" s="487"/>
      <c r="Q5" s="487"/>
      <c r="R5" s="487"/>
      <c r="S5" s="487"/>
      <c r="T5" s="487"/>
    </row>
    <row r="6" spans="1:20" x14ac:dyDescent="0.3">
      <c r="A6" s="18"/>
      <c r="B6" s="21"/>
      <c r="C6" s="106"/>
      <c r="D6" s="26"/>
      <c r="E6" s="21"/>
      <c r="F6" s="21"/>
      <c r="G6" s="21"/>
      <c r="H6" s="21"/>
      <c r="I6" s="20"/>
      <c r="K6" s="487"/>
      <c r="L6" s="487"/>
      <c r="M6" s="487"/>
      <c r="N6" s="487"/>
      <c r="O6" s="487"/>
      <c r="P6" s="487"/>
      <c r="Q6" s="487"/>
      <c r="R6" s="487"/>
      <c r="S6" s="487"/>
      <c r="T6" s="487"/>
    </row>
    <row r="7" spans="1:20" x14ac:dyDescent="0.3">
      <c r="A7" s="18"/>
      <c r="B7" s="58" t="s">
        <v>3373</v>
      </c>
      <c r="C7" s="100" t="s">
        <v>3374</v>
      </c>
      <c r="D7" s="26"/>
      <c r="E7" s="21"/>
      <c r="F7" s="21"/>
      <c r="G7" s="21"/>
      <c r="H7" s="21"/>
      <c r="I7" s="20"/>
      <c r="K7" s="483" t="s">
        <v>323</v>
      </c>
      <c r="L7" s="483"/>
      <c r="M7" s="483" t="s">
        <v>1</v>
      </c>
      <c r="N7" s="483"/>
      <c r="O7" s="483"/>
      <c r="P7" s="483"/>
      <c r="Q7" s="483"/>
      <c r="R7" s="483"/>
      <c r="S7" s="483"/>
      <c r="T7" s="85" t="s">
        <v>324</v>
      </c>
    </row>
    <row r="8" spans="1:20" ht="15" customHeight="1" x14ac:dyDescent="0.3">
      <c r="A8" s="18"/>
      <c r="B8" s="21"/>
      <c r="C8" s="21"/>
      <c r="D8" s="21"/>
      <c r="E8" s="21"/>
      <c r="F8" s="21"/>
      <c r="G8" s="21"/>
      <c r="H8" s="21"/>
      <c r="I8" s="20"/>
      <c r="K8" s="488" t="s">
        <v>699</v>
      </c>
      <c r="L8" s="488"/>
      <c r="M8" s="488" t="s">
        <v>3880</v>
      </c>
      <c r="N8" s="488"/>
      <c r="O8" s="488"/>
      <c r="P8" s="488"/>
      <c r="Q8" s="488"/>
      <c r="R8" s="488"/>
      <c r="S8" s="488"/>
      <c r="T8" s="489" t="s">
        <v>325</v>
      </c>
    </row>
    <row r="9" spans="1:20" x14ac:dyDescent="0.3">
      <c r="A9" s="18"/>
      <c r="B9" s="21"/>
      <c r="C9" s="21"/>
      <c r="D9" s="21"/>
      <c r="E9" s="21"/>
      <c r="F9" s="21"/>
      <c r="G9" s="21"/>
      <c r="H9" s="21"/>
      <c r="I9" s="20"/>
      <c r="K9" s="488"/>
      <c r="L9" s="488"/>
      <c r="M9" s="488"/>
      <c r="N9" s="488"/>
      <c r="O9" s="488"/>
      <c r="P9" s="488"/>
      <c r="Q9" s="488"/>
      <c r="R9" s="488"/>
      <c r="S9" s="488"/>
      <c r="T9" s="489"/>
    </row>
    <row r="10" spans="1:20" x14ac:dyDescent="0.3">
      <c r="A10" s="18"/>
      <c r="B10" s="85" t="s">
        <v>693</v>
      </c>
      <c r="C10" s="165" t="s">
        <v>694</v>
      </c>
      <c r="D10" s="21"/>
      <c r="E10" s="21"/>
      <c r="F10" s="21"/>
      <c r="G10" s="21"/>
      <c r="H10" s="21"/>
      <c r="I10" s="20"/>
      <c r="K10" s="488"/>
      <c r="L10" s="488"/>
      <c r="M10" s="488"/>
      <c r="N10" s="488"/>
      <c r="O10" s="488"/>
      <c r="P10" s="488"/>
      <c r="Q10" s="488"/>
      <c r="R10" s="488"/>
      <c r="S10" s="488"/>
      <c r="T10" s="489"/>
    </row>
    <row r="11" spans="1:20" ht="15" customHeight="1" x14ac:dyDescent="0.3">
      <c r="A11" s="18"/>
      <c r="B11" s="21"/>
      <c r="C11" s="165" t="s">
        <v>695</v>
      </c>
      <c r="D11" s="21"/>
      <c r="E11" s="21"/>
      <c r="F11" s="21"/>
      <c r="G11" s="21"/>
      <c r="H11" s="21"/>
      <c r="I11" s="20"/>
      <c r="K11" s="488" t="s">
        <v>697</v>
      </c>
      <c r="L11" s="488"/>
      <c r="M11" s="488" t="s">
        <v>706</v>
      </c>
      <c r="N11" s="488"/>
      <c r="O11" s="488"/>
      <c r="P11" s="488"/>
      <c r="Q11" s="488"/>
      <c r="R11" s="488"/>
      <c r="S11" s="488"/>
      <c r="T11" s="489" t="s">
        <v>325</v>
      </c>
    </row>
    <row r="12" spans="1:20" x14ac:dyDescent="0.3">
      <c r="A12" s="18"/>
      <c r="B12" s="21"/>
      <c r="C12" s="21"/>
      <c r="D12" s="21"/>
      <c r="E12" s="21"/>
      <c r="F12" s="21"/>
      <c r="G12" s="21"/>
      <c r="H12" s="21"/>
      <c r="I12" s="20"/>
      <c r="K12" s="488"/>
      <c r="L12" s="488"/>
      <c r="M12" s="488"/>
      <c r="N12" s="488"/>
      <c r="O12" s="488"/>
      <c r="P12" s="488"/>
      <c r="Q12" s="488"/>
      <c r="R12" s="488"/>
      <c r="S12" s="488"/>
      <c r="T12" s="489"/>
    </row>
    <row r="13" spans="1:20" x14ac:dyDescent="0.3">
      <c r="A13" s="18"/>
      <c r="B13" s="85" t="s">
        <v>691</v>
      </c>
      <c r="C13" s="164" t="s">
        <v>692</v>
      </c>
      <c r="D13" s="21"/>
      <c r="E13" s="21"/>
      <c r="F13" s="21"/>
      <c r="G13" s="21"/>
      <c r="H13" s="21"/>
      <c r="I13" s="20"/>
      <c r="K13" s="488"/>
      <c r="L13" s="488"/>
      <c r="M13" s="488"/>
      <c r="N13" s="488"/>
      <c r="O13" s="488"/>
      <c r="P13" s="488"/>
      <c r="Q13" s="488"/>
      <c r="R13" s="488"/>
      <c r="S13" s="488"/>
      <c r="T13" s="489"/>
    </row>
    <row r="14" spans="1:20" ht="15" customHeight="1" x14ac:dyDescent="0.3">
      <c r="A14" s="18"/>
      <c r="B14" s="21"/>
      <c r="C14" s="21"/>
      <c r="D14" s="21"/>
      <c r="E14" s="21"/>
      <c r="F14" s="21"/>
      <c r="G14" s="21"/>
      <c r="H14" s="21"/>
      <c r="I14" s="20"/>
      <c r="K14" s="488" t="s">
        <v>698</v>
      </c>
      <c r="L14" s="488"/>
      <c r="M14" s="488" t="s">
        <v>1798</v>
      </c>
      <c r="N14" s="488"/>
      <c r="O14" s="488"/>
      <c r="P14" s="488"/>
      <c r="Q14" s="488"/>
      <c r="R14" s="488"/>
      <c r="S14" s="488"/>
      <c r="T14" s="489" t="s">
        <v>325</v>
      </c>
    </row>
    <row r="15" spans="1:20" ht="15" customHeight="1" x14ac:dyDescent="0.3">
      <c r="A15" s="18"/>
      <c r="B15" s="3" t="s">
        <v>77</v>
      </c>
      <c r="C15" s="30">
        <v>1</v>
      </c>
      <c r="D15" s="21"/>
      <c r="E15" s="21"/>
      <c r="F15" s="21"/>
      <c r="G15" s="21"/>
      <c r="H15" s="21"/>
      <c r="I15" s="20"/>
      <c r="K15" s="488"/>
      <c r="L15" s="488"/>
      <c r="M15" s="488"/>
      <c r="N15" s="488"/>
      <c r="O15" s="488"/>
      <c r="P15" s="488"/>
      <c r="Q15" s="488"/>
      <c r="R15" s="488"/>
      <c r="S15" s="488"/>
      <c r="T15" s="489"/>
    </row>
    <row r="16" spans="1:20" x14ac:dyDescent="0.3">
      <c r="A16" s="18"/>
      <c r="B16" s="3" t="s">
        <v>78</v>
      </c>
      <c r="C16" s="30">
        <v>2</v>
      </c>
      <c r="D16" s="21"/>
      <c r="E16" s="21"/>
      <c r="F16" s="21"/>
      <c r="G16" s="21"/>
      <c r="H16" s="21"/>
      <c r="I16" s="20"/>
      <c r="K16" s="488"/>
      <c r="L16" s="488"/>
      <c r="M16" s="488"/>
      <c r="N16" s="488"/>
      <c r="O16" s="488"/>
      <c r="P16" s="488"/>
      <c r="Q16" s="488"/>
      <c r="R16" s="488"/>
      <c r="S16" s="488"/>
      <c r="T16" s="489"/>
    </row>
    <row r="17" spans="1:20" x14ac:dyDescent="0.3">
      <c r="A17" s="18"/>
      <c r="B17" s="3" t="s">
        <v>79</v>
      </c>
      <c r="C17" s="30">
        <v>3</v>
      </c>
      <c r="D17" s="21"/>
      <c r="E17" s="21"/>
      <c r="F17" s="21"/>
      <c r="G17" s="21"/>
      <c r="H17" s="21"/>
      <c r="I17" s="20"/>
      <c r="K17" s="484" t="s">
        <v>700</v>
      </c>
      <c r="L17" s="484"/>
      <c r="M17" s="484" t="s">
        <v>3726</v>
      </c>
      <c r="N17" s="484"/>
      <c r="O17" s="484"/>
      <c r="P17" s="484"/>
      <c r="Q17" s="484"/>
      <c r="R17" s="484"/>
      <c r="S17" s="484"/>
      <c r="T17" s="485" t="s">
        <v>326</v>
      </c>
    </row>
    <row r="18" spans="1:20" x14ac:dyDescent="0.3">
      <c r="A18" s="18"/>
      <c r="B18" s="21"/>
      <c r="C18" s="21"/>
      <c r="D18" s="21"/>
      <c r="E18" s="21"/>
      <c r="F18" s="21"/>
      <c r="G18" s="21"/>
      <c r="H18" s="21"/>
      <c r="I18" s="20"/>
      <c r="K18" s="484"/>
      <c r="L18" s="484"/>
      <c r="M18" s="484"/>
      <c r="N18" s="484"/>
      <c r="O18" s="484"/>
      <c r="P18" s="484"/>
      <c r="Q18" s="484"/>
      <c r="R18" s="484"/>
      <c r="S18" s="484"/>
      <c r="T18" s="485"/>
    </row>
    <row r="19" spans="1:20" ht="15" customHeight="1" x14ac:dyDescent="0.3">
      <c r="A19" s="18"/>
      <c r="B19" s="21"/>
      <c r="C19" s="21"/>
      <c r="D19" s="21"/>
      <c r="E19" s="21"/>
      <c r="F19" s="21"/>
      <c r="G19" s="21"/>
      <c r="H19" s="21"/>
      <c r="I19" s="20"/>
      <c r="K19" s="484"/>
      <c r="L19" s="484"/>
      <c r="M19" s="484"/>
      <c r="N19" s="484"/>
      <c r="O19" s="484"/>
      <c r="P19" s="484"/>
      <c r="Q19" s="484"/>
      <c r="R19" s="484"/>
      <c r="S19" s="484"/>
      <c r="T19" s="485"/>
    </row>
    <row r="20" spans="1:20" x14ac:dyDescent="0.3">
      <c r="A20" s="18"/>
      <c r="B20" s="21"/>
      <c r="C20" s="21"/>
      <c r="D20" s="21"/>
      <c r="E20" s="21"/>
      <c r="F20" s="21"/>
      <c r="G20" s="21"/>
      <c r="H20" s="21"/>
      <c r="I20" s="20"/>
      <c r="K20" s="484" t="s">
        <v>701</v>
      </c>
      <c r="L20" s="484"/>
      <c r="M20" s="484" t="s">
        <v>980</v>
      </c>
      <c r="N20" s="484"/>
      <c r="O20" s="484"/>
      <c r="P20" s="484"/>
      <c r="Q20" s="484"/>
      <c r="R20" s="484"/>
      <c r="S20" s="484"/>
      <c r="T20" s="485" t="s">
        <v>326</v>
      </c>
    </row>
    <row r="21" spans="1:20" x14ac:dyDescent="0.3">
      <c r="A21" s="18"/>
      <c r="B21" s="21"/>
      <c r="C21" s="21"/>
      <c r="D21" s="21"/>
      <c r="E21" s="21"/>
      <c r="F21" s="21"/>
      <c r="G21" s="21"/>
      <c r="H21" s="21"/>
      <c r="I21" s="20"/>
      <c r="K21" s="484"/>
      <c r="L21" s="484"/>
      <c r="M21" s="484"/>
      <c r="N21" s="484"/>
      <c r="O21" s="484"/>
      <c r="P21" s="484"/>
      <c r="Q21" s="484"/>
      <c r="R21" s="484"/>
      <c r="S21" s="484"/>
      <c r="T21" s="485"/>
    </row>
    <row r="22" spans="1:20" x14ac:dyDescent="0.3">
      <c r="A22" s="18"/>
      <c r="B22" s="21"/>
      <c r="C22" s="21"/>
      <c r="D22" s="21"/>
      <c r="E22" s="21"/>
      <c r="F22" s="21"/>
      <c r="G22" s="21"/>
      <c r="H22" s="21"/>
      <c r="I22" s="20"/>
      <c r="K22" s="484"/>
      <c r="L22" s="484"/>
      <c r="M22" s="484"/>
      <c r="N22" s="484"/>
      <c r="O22" s="484"/>
      <c r="P22" s="484"/>
      <c r="Q22" s="484"/>
      <c r="R22" s="484"/>
      <c r="S22" s="484"/>
      <c r="T22" s="485"/>
    </row>
    <row r="23" spans="1:20" x14ac:dyDescent="0.3">
      <c r="A23" s="18"/>
      <c r="B23" s="21"/>
      <c r="C23" s="21"/>
      <c r="D23" s="21"/>
      <c r="E23" s="21"/>
      <c r="F23" s="21"/>
      <c r="G23" s="21"/>
      <c r="H23" s="21"/>
      <c r="I23" s="20"/>
      <c r="K23" s="484" t="s">
        <v>702</v>
      </c>
      <c r="L23" s="484"/>
      <c r="M23" s="484" t="s">
        <v>707</v>
      </c>
      <c r="N23" s="484"/>
      <c r="O23" s="484"/>
      <c r="P23" s="484"/>
      <c r="Q23" s="484"/>
      <c r="R23" s="484"/>
      <c r="S23" s="484"/>
      <c r="T23" s="485" t="s">
        <v>326</v>
      </c>
    </row>
    <row r="24" spans="1:20" x14ac:dyDescent="0.3">
      <c r="A24" s="18"/>
      <c r="B24" s="21"/>
      <c r="C24" s="21"/>
      <c r="D24" s="21"/>
      <c r="E24" s="21"/>
      <c r="F24" s="21"/>
      <c r="G24" s="21"/>
      <c r="H24" s="21"/>
      <c r="I24" s="20"/>
      <c r="K24" s="484"/>
      <c r="L24" s="484"/>
      <c r="M24" s="484"/>
      <c r="N24" s="484"/>
      <c r="O24" s="484"/>
      <c r="P24" s="484"/>
      <c r="Q24" s="484"/>
      <c r="R24" s="484"/>
      <c r="S24" s="484"/>
      <c r="T24" s="485"/>
    </row>
    <row r="25" spans="1:20" x14ac:dyDescent="0.3">
      <c r="A25" s="18"/>
      <c r="B25" s="21"/>
      <c r="C25" s="21"/>
      <c r="D25" s="21"/>
      <c r="E25" s="21"/>
      <c r="F25" s="21"/>
      <c r="G25" s="21"/>
      <c r="H25" s="21"/>
      <c r="I25" s="20"/>
      <c r="K25" s="484"/>
      <c r="L25" s="484"/>
      <c r="M25" s="484"/>
      <c r="N25" s="484"/>
      <c r="O25" s="484"/>
      <c r="P25" s="484"/>
      <c r="Q25" s="484"/>
      <c r="R25" s="484"/>
      <c r="S25" s="484"/>
      <c r="T25" s="485"/>
    </row>
    <row r="26" spans="1:20" ht="15" customHeight="1" x14ac:dyDescent="0.3">
      <c r="A26" s="18"/>
      <c r="B26" s="21"/>
      <c r="C26" s="21"/>
      <c r="D26" s="21"/>
      <c r="E26" s="21"/>
      <c r="F26" s="21"/>
      <c r="G26" s="21"/>
      <c r="H26" s="21"/>
      <c r="I26" s="20"/>
      <c r="K26" s="484" t="s">
        <v>703</v>
      </c>
      <c r="L26" s="484"/>
      <c r="M26" s="484" t="s">
        <v>3375</v>
      </c>
      <c r="N26" s="484"/>
      <c r="O26" s="484"/>
      <c r="P26" s="484"/>
      <c r="Q26" s="484"/>
      <c r="R26" s="484"/>
      <c r="S26" s="484"/>
      <c r="T26" s="485" t="s">
        <v>326</v>
      </c>
    </row>
    <row r="27" spans="1:20" x14ac:dyDescent="0.3">
      <c r="A27" s="18"/>
      <c r="B27" s="21"/>
      <c r="C27" s="21"/>
      <c r="D27" s="21"/>
      <c r="E27" s="21"/>
      <c r="F27" s="21"/>
      <c r="G27" s="21"/>
      <c r="H27" s="21"/>
      <c r="I27" s="20"/>
      <c r="K27" s="484"/>
      <c r="L27" s="484"/>
      <c r="M27" s="484"/>
      <c r="N27" s="484"/>
      <c r="O27" s="484"/>
      <c r="P27" s="484"/>
      <c r="Q27" s="484"/>
      <c r="R27" s="484"/>
      <c r="S27" s="484"/>
      <c r="T27" s="485"/>
    </row>
    <row r="28" spans="1:20" x14ac:dyDescent="0.3">
      <c r="A28" s="18"/>
      <c r="B28" s="21"/>
      <c r="C28" s="21"/>
      <c r="D28" s="21"/>
      <c r="E28" s="21"/>
      <c r="F28" s="21"/>
      <c r="G28" s="21"/>
      <c r="H28" s="21"/>
      <c r="I28" s="20"/>
      <c r="K28" s="484"/>
      <c r="L28" s="484"/>
      <c r="M28" s="484"/>
      <c r="N28" s="484"/>
      <c r="O28" s="484"/>
      <c r="P28" s="484"/>
      <c r="Q28" s="484"/>
      <c r="R28" s="484"/>
      <c r="S28" s="484"/>
      <c r="T28" s="485"/>
    </row>
    <row r="29" spans="1:20" x14ac:dyDescent="0.3">
      <c r="A29" s="18"/>
      <c r="B29" s="21"/>
      <c r="C29" s="21"/>
      <c r="D29" s="21"/>
      <c r="E29" s="21"/>
      <c r="F29" s="21"/>
      <c r="G29" s="21"/>
      <c r="H29" s="21"/>
      <c r="I29" s="20"/>
      <c r="K29" s="484" t="s">
        <v>704</v>
      </c>
      <c r="L29" s="484"/>
      <c r="M29" s="484" t="s">
        <v>2632</v>
      </c>
      <c r="N29" s="484"/>
      <c r="O29" s="484"/>
      <c r="P29" s="484"/>
      <c r="Q29" s="484"/>
      <c r="R29" s="484"/>
      <c r="S29" s="484"/>
      <c r="T29" s="485" t="s">
        <v>326</v>
      </c>
    </row>
    <row r="30" spans="1:20" ht="15" customHeight="1" x14ac:dyDescent="0.3">
      <c r="A30" s="18"/>
      <c r="B30" s="21"/>
      <c r="C30" s="21"/>
      <c r="D30" s="21"/>
      <c r="E30" s="21"/>
      <c r="F30" s="21"/>
      <c r="G30" s="21"/>
      <c r="H30" s="21"/>
      <c r="I30" s="20"/>
      <c r="K30" s="484"/>
      <c r="L30" s="484"/>
      <c r="M30" s="484"/>
      <c r="N30" s="484"/>
      <c r="O30" s="484"/>
      <c r="P30" s="484"/>
      <c r="Q30" s="484"/>
      <c r="R30" s="484"/>
      <c r="S30" s="484"/>
      <c r="T30" s="485"/>
    </row>
    <row r="31" spans="1:20" x14ac:dyDescent="0.3">
      <c r="A31" s="21"/>
      <c r="B31" s="21"/>
      <c r="C31" s="21"/>
      <c r="D31" s="21"/>
      <c r="E31" s="21"/>
      <c r="F31" s="21"/>
      <c r="G31" s="21"/>
      <c r="H31" s="21"/>
      <c r="I31" s="20"/>
      <c r="K31" s="484"/>
      <c r="L31" s="484"/>
      <c r="M31" s="484"/>
      <c r="N31" s="484"/>
      <c r="O31" s="484"/>
      <c r="P31" s="484"/>
      <c r="Q31" s="484"/>
      <c r="R31" s="484"/>
      <c r="S31" s="484"/>
      <c r="T31" s="485"/>
    </row>
    <row r="32" spans="1:20" x14ac:dyDescent="0.3">
      <c r="A32" s="21"/>
      <c r="B32" s="21"/>
      <c r="C32" s="21"/>
      <c r="D32" s="21"/>
      <c r="E32" s="21"/>
      <c r="F32" s="21"/>
      <c r="G32" s="21"/>
      <c r="H32" s="21"/>
      <c r="I32" s="20"/>
      <c r="K32" s="484" t="s">
        <v>705</v>
      </c>
      <c r="L32" s="484"/>
      <c r="M32" s="484" t="s">
        <v>2634</v>
      </c>
      <c r="N32" s="484"/>
      <c r="O32" s="484"/>
      <c r="P32" s="484"/>
      <c r="Q32" s="484"/>
      <c r="R32" s="484"/>
      <c r="S32" s="484"/>
      <c r="T32" s="485" t="s">
        <v>326</v>
      </c>
    </row>
    <row r="33" spans="1:20" ht="15" customHeight="1" x14ac:dyDescent="0.3">
      <c r="A33" s="21"/>
      <c r="B33" s="21"/>
      <c r="C33" s="21"/>
      <c r="D33" s="21"/>
      <c r="E33" s="21"/>
      <c r="F33" s="21"/>
      <c r="G33" s="21"/>
      <c r="H33" s="21"/>
      <c r="I33" s="20"/>
      <c r="K33" s="484"/>
      <c r="L33" s="484"/>
      <c r="M33" s="484"/>
      <c r="N33" s="484"/>
      <c r="O33" s="484"/>
      <c r="P33" s="484"/>
      <c r="Q33" s="484"/>
      <c r="R33" s="484"/>
      <c r="S33" s="484"/>
      <c r="T33" s="485"/>
    </row>
    <row r="34" spans="1:20" x14ac:dyDescent="0.3">
      <c r="A34" s="21"/>
      <c r="B34" s="21"/>
      <c r="C34" s="21"/>
      <c r="D34" s="21"/>
      <c r="E34" s="21"/>
      <c r="F34" s="21"/>
      <c r="G34" s="21"/>
      <c r="H34" s="21"/>
      <c r="I34" s="20"/>
      <c r="K34" s="484"/>
      <c r="L34" s="484"/>
      <c r="M34" s="484"/>
      <c r="N34" s="484"/>
      <c r="O34" s="484"/>
      <c r="P34" s="484"/>
      <c r="Q34" s="484"/>
      <c r="R34" s="484"/>
      <c r="S34" s="484"/>
      <c r="T34" s="485"/>
    </row>
    <row r="35" spans="1:20" ht="15" customHeight="1" x14ac:dyDescent="0.3">
      <c r="A35" s="21"/>
      <c r="B35" s="21"/>
      <c r="C35" s="21"/>
      <c r="D35" s="21"/>
      <c r="E35" s="21"/>
      <c r="F35" s="21"/>
      <c r="G35" s="21"/>
      <c r="H35" s="21"/>
      <c r="I35" s="20"/>
      <c r="K35" s="496" t="s">
        <v>2299</v>
      </c>
      <c r="L35" s="497"/>
      <c r="M35" s="496" t="s">
        <v>3088</v>
      </c>
      <c r="N35" s="502"/>
      <c r="O35" s="502"/>
      <c r="P35" s="502"/>
      <c r="Q35" s="502"/>
      <c r="R35" s="502"/>
      <c r="S35" s="497"/>
      <c r="T35" s="505" t="s">
        <v>326</v>
      </c>
    </row>
    <row r="36" spans="1:20" ht="15" customHeight="1" x14ac:dyDescent="0.3">
      <c r="A36" s="21"/>
      <c r="B36" s="21"/>
      <c r="C36" s="21"/>
      <c r="D36" s="21"/>
      <c r="E36" s="21"/>
      <c r="F36" s="21"/>
      <c r="G36" s="21"/>
      <c r="H36" s="21"/>
      <c r="I36" s="20"/>
      <c r="K36" s="498"/>
      <c r="L36" s="499"/>
      <c r="M36" s="498"/>
      <c r="N36" s="503"/>
      <c r="O36" s="503"/>
      <c r="P36" s="503"/>
      <c r="Q36" s="503"/>
      <c r="R36" s="503"/>
      <c r="S36" s="499"/>
      <c r="T36" s="506"/>
    </row>
    <row r="37" spans="1:20" x14ac:dyDescent="0.3">
      <c r="A37" s="21"/>
      <c r="B37" s="21"/>
      <c r="C37" s="21"/>
      <c r="D37" s="21"/>
      <c r="E37" s="21"/>
      <c r="F37" s="21"/>
      <c r="G37" s="21"/>
      <c r="H37" s="21"/>
      <c r="I37" s="20"/>
      <c r="K37" s="500"/>
      <c r="L37" s="501"/>
      <c r="M37" s="500"/>
      <c r="N37" s="504"/>
      <c r="O37" s="504"/>
      <c r="P37" s="504"/>
      <c r="Q37" s="504"/>
      <c r="R37" s="504"/>
      <c r="S37" s="501"/>
      <c r="T37" s="507"/>
    </row>
    <row r="38" spans="1:20" x14ac:dyDescent="0.3">
      <c r="A38" s="21"/>
      <c r="B38" s="21"/>
      <c r="C38" s="21"/>
      <c r="D38" s="21"/>
      <c r="E38" s="21"/>
      <c r="F38" s="21"/>
      <c r="G38" s="21"/>
      <c r="H38" s="21"/>
      <c r="I38" s="20"/>
      <c r="K38" s="126" t="s">
        <v>328</v>
      </c>
    </row>
    <row r="39" spans="1:20" x14ac:dyDescent="0.3">
      <c r="A39" s="21"/>
      <c r="B39" s="21"/>
      <c r="C39" s="21"/>
      <c r="D39" s="21"/>
      <c r="E39" s="21"/>
      <c r="F39" s="21"/>
      <c r="G39" s="21"/>
      <c r="H39" s="21"/>
      <c r="I39" s="20"/>
    </row>
    <row r="40" spans="1:20" x14ac:dyDescent="0.3">
      <c r="A40" s="21"/>
      <c r="B40" s="21"/>
      <c r="C40" s="21"/>
      <c r="D40" s="21"/>
      <c r="E40" s="21"/>
      <c r="F40" s="21"/>
      <c r="G40" s="21"/>
      <c r="H40" s="21"/>
      <c r="I40" s="20"/>
    </row>
    <row r="41" spans="1:20" x14ac:dyDescent="0.3">
      <c r="A41" s="21"/>
      <c r="B41" s="21"/>
      <c r="C41" s="21"/>
      <c r="D41" s="21"/>
      <c r="E41" s="21"/>
      <c r="F41" s="21"/>
      <c r="G41" s="21"/>
      <c r="H41" s="21"/>
      <c r="I41" s="20"/>
      <c r="K41" s="486" t="s">
        <v>3376</v>
      </c>
      <c r="L41" s="486"/>
      <c r="M41" s="486"/>
      <c r="N41" s="486"/>
      <c r="O41" s="486"/>
      <c r="P41" s="486"/>
      <c r="Q41" s="486"/>
      <c r="R41" s="486"/>
      <c r="S41" s="486"/>
      <c r="T41" s="486"/>
    </row>
    <row r="42" spans="1:20" x14ac:dyDescent="0.3">
      <c r="A42" s="18"/>
      <c r="B42" s="21"/>
      <c r="C42" s="21"/>
      <c r="D42" s="21"/>
      <c r="E42" s="21"/>
      <c r="F42" s="21"/>
      <c r="G42" s="21"/>
      <c r="H42" s="21"/>
      <c r="I42" s="20"/>
      <c r="K42" s="487" t="s">
        <v>333</v>
      </c>
      <c r="L42" s="487"/>
      <c r="M42" s="487" t="s">
        <v>3377</v>
      </c>
      <c r="N42" s="487"/>
      <c r="O42" s="487"/>
      <c r="P42" s="487"/>
      <c r="Q42" s="487"/>
      <c r="R42" s="487"/>
      <c r="S42" s="487"/>
      <c r="T42" s="487"/>
    </row>
    <row r="43" spans="1:20" ht="15" customHeight="1" x14ac:dyDescent="0.3">
      <c r="A43" s="21"/>
      <c r="B43" s="21"/>
      <c r="C43" s="21"/>
      <c r="D43" s="21"/>
      <c r="E43" s="21"/>
      <c r="F43" s="21"/>
      <c r="G43" s="21"/>
      <c r="H43" s="21"/>
      <c r="I43" s="20"/>
      <c r="K43" s="487"/>
      <c r="L43" s="487"/>
      <c r="M43" s="487"/>
      <c r="N43" s="487"/>
      <c r="O43" s="487"/>
      <c r="P43" s="487"/>
      <c r="Q43" s="487"/>
      <c r="R43" s="487"/>
      <c r="S43" s="487"/>
      <c r="T43" s="487"/>
    </row>
    <row r="44" spans="1:20" x14ac:dyDescent="0.3">
      <c r="A44" s="21"/>
      <c r="B44" s="21"/>
      <c r="C44" s="21"/>
      <c r="D44" s="21"/>
      <c r="E44" s="21"/>
      <c r="F44" s="21"/>
      <c r="G44" s="21"/>
      <c r="H44" s="21"/>
      <c r="I44" s="20"/>
      <c r="K44" s="487"/>
      <c r="L44" s="487"/>
      <c r="M44" s="487"/>
      <c r="N44" s="487"/>
      <c r="O44" s="487"/>
      <c r="P44" s="487"/>
      <c r="Q44" s="487"/>
      <c r="R44" s="487"/>
      <c r="S44" s="487"/>
      <c r="T44" s="487"/>
    </row>
    <row r="45" spans="1:20" x14ac:dyDescent="0.3">
      <c r="A45" s="21"/>
      <c r="B45" s="21"/>
      <c r="C45" s="21"/>
      <c r="D45" s="21"/>
      <c r="E45" s="21"/>
      <c r="F45" s="21"/>
      <c r="G45" s="21"/>
      <c r="H45" s="21"/>
      <c r="I45" s="20"/>
      <c r="K45" s="483" t="s">
        <v>323</v>
      </c>
      <c r="L45" s="483"/>
      <c r="M45" s="483" t="s">
        <v>1</v>
      </c>
      <c r="N45" s="483"/>
      <c r="O45" s="483"/>
      <c r="P45" s="483"/>
      <c r="Q45" s="483"/>
      <c r="R45" s="483"/>
      <c r="S45" s="483"/>
      <c r="T45" s="85" t="s">
        <v>324</v>
      </c>
    </row>
    <row r="46" spans="1:20" x14ac:dyDescent="0.3">
      <c r="A46" s="521" t="s">
        <v>708</v>
      </c>
      <c r="B46" s="522"/>
      <c r="C46" s="522"/>
      <c r="D46" s="522"/>
      <c r="E46" s="522"/>
      <c r="F46" s="522"/>
      <c r="G46" s="523"/>
      <c r="H46" s="21"/>
      <c r="I46" s="20"/>
      <c r="K46" s="488" t="s">
        <v>718</v>
      </c>
      <c r="L46" s="488"/>
      <c r="M46" s="488" t="s">
        <v>719</v>
      </c>
      <c r="N46" s="488"/>
      <c r="O46" s="488"/>
      <c r="P46" s="488"/>
      <c r="Q46" s="488"/>
      <c r="R46" s="488"/>
      <c r="S46" s="488"/>
      <c r="T46" s="489" t="s">
        <v>325</v>
      </c>
    </row>
    <row r="47" spans="1:20" x14ac:dyDescent="0.3">
      <c r="A47" s="18"/>
      <c r="B47" s="21"/>
      <c r="C47" s="21"/>
      <c r="D47" s="21"/>
      <c r="E47" s="21"/>
      <c r="F47" s="21"/>
      <c r="G47" s="21"/>
      <c r="H47" s="21"/>
      <c r="I47" s="20"/>
      <c r="K47" s="488"/>
      <c r="L47" s="488"/>
      <c r="M47" s="488"/>
      <c r="N47" s="488"/>
      <c r="O47" s="488"/>
      <c r="P47" s="488"/>
      <c r="Q47" s="488"/>
      <c r="R47" s="488"/>
      <c r="S47" s="488"/>
      <c r="T47" s="489"/>
    </row>
    <row r="48" spans="1:20" x14ac:dyDescent="0.3">
      <c r="A48" s="18"/>
      <c r="B48" s="21"/>
      <c r="C48" s="21"/>
      <c r="D48" s="21"/>
      <c r="E48" s="21"/>
      <c r="F48" s="21"/>
      <c r="G48" s="21"/>
      <c r="H48" s="21"/>
      <c r="I48" s="20"/>
      <c r="K48" s="488"/>
      <c r="L48" s="488"/>
      <c r="M48" s="488"/>
      <c r="N48" s="488"/>
      <c r="O48" s="488"/>
      <c r="P48" s="488"/>
      <c r="Q48" s="488"/>
      <c r="R48" s="488"/>
      <c r="S48" s="488"/>
      <c r="T48" s="489"/>
    </row>
    <row r="49" spans="1:20" x14ac:dyDescent="0.3">
      <c r="A49" s="18"/>
      <c r="B49" s="58" t="s">
        <v>3376</v>
      </c>
      <c r="C49" s="150" t="s">
        <v>3881</v>
      </c>
      <c r="D49" s="21"/>
      <c r="E49" s="21"/>
      <c r="F49" s="21"/>
      <c r="G49" s="21"/>
      <c r="H49" s="21"/>
      <c r="I49" s="20"/>
      <c r="K49" s="484" t="s">
        <v>720</v>
      </c>
      <c r="L49" s="484"/>
      <c r="M49" s="484" t="s">
        <v>3834</v>
      </c>
      <c r="N49" s="484"/>
      <c r="O49" s="484"/>
      <c r="P49" s="484"/>
      <c r="Q49" s="484"/>
      <c r="R49" s="484"/>
      <c r="S49" s="484"/>
      <c r="T49" s="485" t="s">
        <v>326</v>
      </c>
    </row>
    <row r="50" spans="1:20" x14ac:dyDescent="0.3">
      <c r="A50" s="18"/>
      <c r="B50" s="21"/>
      <c r="C50" s="21"/>
      <c r="D50" s="21"/>
      <c r="E50" s="21"/>
      <c r="F50" s="21"/>
      <c r="G50" s="21"/>
      <c r="H50" s="21"/>
      <c r="I50" s="20"/>
      <c r="K50" s="484"/>
      <c r="L50" s="484"/>
      <c r="M50" s="484"/>
      <c r="N50" s="484"/>
      <c r="O50" s="484"/>
      <c r="P50" s="484"/>
      <c r="Q50" s="484"/>
      <c r="R50" s="484"/>
      <c r="S50" s="484"/>
      <c r="T50" s="485"/>
    </row>
    <row r="51" spans="1:20" x14ac:dyDescent="0.3">
      <c r="A51" s="18"/>
      <c r="B51" s="21"/>
      <c r="C51" s="21"/>
      <c r="D51" s="21"/>
      <c r="E51" s="21"/>
      <c r="F51" s="21"/>
      <c r="G51" s="21"/>
      <c r="H51" s="21"/>
      <c r="I51" s="20"/>
      <c r="K51" s="484"/>
      <c r="L51" s="484"/>
      <c r="M51" s="484"/>
      <c r="N51" s="484"/>
      <c r="O51" s="484"/>
      <c r="P51" s="484"/>
      <c r="Q51" s="484"/>
      <c r="R51" s="484"/>
      <c r="S51" s="484"/>
      <c r="T51" s="485"/>
    </row>
    <row r="52" spans="1:20" x14ac:dyDescent="0.3">
      <c r="A52" s="18"/>
      <c r="B52" s="3" t="s">
        <v>709</v>
      </c>
      <c r="C52" s="168" t="s">
        <v>711</v>
      </c>
      <c r="D52" s="21"/>
      <c r="E52" s="21"/>
      <c r="F52" s="21"/>
      <c r="G52" s="21"/>
      <c r="H52" s="21"/>
      <c r="I52" s="20"/>
      <c r="K52" s="484" t="s">
        <v>721</v>
      </c>
      <c r="L52" s="484"/>
      <c r="M52" s="484" t="s">
        <v>722</v>
      </c>
      <c r="N52" s="484"/>
      <c r="O52" s="484"/>
      <c r="P52" s="484"/>
      <c r="Q52" s="484"/>
      <c r="R52" s="484"/>
      <c r="S52" s="484"/>
      <c r="T52" s="485" t="s">
        <v>326</v>
      </c>
    </row>
    <row r="53" spans="1:20" x14ac:dyDescent="0.3">
      <c r="A53" s="18"/>
      <c r="B53" s="3" t="s">
        <v>710</v>
      </c>
      <c r="C53" s="168" t="s">
        <v>712</v>
      </c>
      <c r="D53" s="21"/>
      <c r="E53" s="21"/>
      <c r="F53" s="21"/>
      <c r="G53" s="21"/>
      <c r="H53" s="21"/>
      <c r="I53" s="20"/>
      <c r="K53" s="484"/>
      <c r="L53" s="484"/>
      <c r="M53" s="484"/>
      <c r="N53" s="484"/>
      <c r="O53" s="484"/>
      <c r="P53" s="484"/>
      <c r="Q53" s="484"/>
      <c r="R53" s="484"/>
      <c r="S53" s="484"/>
      <c r="T53" s="485"/>
    </row>
    <row r="54" spans="1:20" x14ac:dyDescent="0.3">
      <c r="A54" s="18"/>
      <c r="B54" s="3" t="s">
        <v>713</v>
      </c>
      <c r="C54" s="164" t="s">
        <v>714</v>
      </c>
      <c r="D54" s="21"/>
      <c r="E54" s="21"/>
      <c r="F54" s="21"/>
      <c r="G54" s="21"/>
      <c r="H54" s="21"/>
      <c r="I54" s="20"/>
      <c r="K54" s="484"/>
      <c r="L54" s="484"/>
      <c r="M54" s="484"/>
      <c r="N54" s="484"/>
      <c r="O54" s="484"/>
      <c r="P54" s="484"/>
      <c r="Q54" s="484"/>
      <c r="R54" s="484"/>
      <c r="S54" s="484"/>
      <c r="T54" s="485"/>
    </row>
    <row r="55" spans="1:20" x14ac:dyDescent="0.3">
      <c r="A55" s="18"/>
      <c r="B55" s="3" t="s">
        <v>733</v>
      </c>
      <c r="C55" s="164" t="s">
        <v>715</v>
      </c>
      <c r="D55" s="21"/>
      <c r="E55" s="21"/>
      <c r="F55" s="21"/>
      <c r="G55" s="21"/>
      <c r="H55" s="21"/>
      <c r="I55" s="20"/>
      <c r="K55" s="484" t="s">
        <v>723</v>
      </c>
      <c r="L55" s="484"/>
      <c r="M55" s="484" t="s">
        <v>982</v>
      </c>
      <c r="N55" s="484"/>
      <c r="O55" s="484"/>
      <c r="P55" s="484"/>
      <c r="Q55" s="484"/>
      <c r="R55" s="484"/>
      <c r="S55" s="484"/>
      <c r="T55" s="485" t="s">
        <v>326</v>
      </c>
    </row>
    <row r="56" spans="1:20" x14ac:dyDescent="0.3">
      <c r="A56" s="18"/>
      <c r="B56" s="3" t="s">
        <v>716</v>
      </c>
      <c r="C56" s="164">
        <v>587</v>
      </c>
      <c r="D56" s="21"/>
      <c r="E56" s="21"/>
      <c r="F56" s="21"/>
      <c r="G56" s="21"/>
      <c r="H56" s="21"/>
      <c r="I56" s="20"/>
      <c r="K56" s="484"/>
      <c r="L56" s="484"/>
      <c r="M56" s="484"/>
      <c r="N56" s="484"/>
      <c r="O56" s="484"/>
      <c r="P56" s="484"/>
      <c r="Q56" s="484"/>
      <c r="R56" s="484"/>
      <c r="S56" s="484"/>
      <c r="T56" s="485"/>
    </row>
    <row r="57" spans="1:20" x14ac:dyDescent="0.3">
      <c r="A57" s="18"/>
      <c r="B57" s="3" t="s">
        <v>717</v>
      </c>
      <c r="C57" s="164" t="b">
        <v>0</v>
      </c>
      <c r="D57" s="21"/>
      <c r="E57" s="21"/>
      <c r="F57" s="21"/>
      <c r="G57" s="21"/>
      <c r="H57" s="21"/>
      <c r="I57" s="20"/>
      <c r="K57" s="484"/>
      <c r="L57" s="484"/>
      <c r="M57" s="484"/>
      <c r="N57" s="484"/>
      <c r="O57" s="484"/>
      <c r="P57" s="484"/>
      <c r="Q57" s="484"/>
      <c r="R57" s="484"/>
      <c r="S57" s="484"/>
      <c r="T57" s="485"/>
    </row>
    <row r="58" spans="1:20" x14ac:dyDescent="0.3">
      <c r="A58" s="18"/>
      <c r="B58" s="21"/>
      <c r="C58" s="21"/>
      <c r="D58" s="21"/>
      <c r="E58" s="21"/>
      <c r="F58" s="21"/>
      <c r="G58" s="21"/>
      <c r="H58" s="21"/>
      <c r="I58" s="20"/>
      <c r="K58" s="484" t="s">
        <v>724</v>
      </c>
      <c r="L58" s="484"/>
      <c r="M58" s="484" t="s">
        <v>726</v>
      </c>
      <c r="N58" s="484"/>
      <c r="O58" s="484"/>
      <c r="P58" s="484"/>
      <c r="Q58" s="484"/>
      <c r="R58" s="484"/>
      <c r="S58" s="484"/>
      <c r="T58" s="485" t="s">
        <v>326</v>
      </c>
    </row>
    <row r="59" spans="1:20" x14ac:dyDescent="0.3">
      <c r="A59" s="18"/>
      <c r="B59" s="21"/>
      <c r="C59" s="21"/>
      <c r="D59" s="21"/>
      <c r="E59" s="21"/>
      <c r="F59" s="21"/>
      <c r="G59" s="21"/>
      <c r="H59" s="21"/>
      <c r="I59" s="20"/>
      <c r="K59" s="484"/>
      <c r="L59" s="484"/>
      <c r="M59" s="484"/>
      <c r="N59" s="484"/>
      <c r="O59" s="484"/>
      <c r="P59" s="484"/>
      <c r="Q59" s="484"/>
      <c r="R59" s="484"/>
      <c r="S59" s="484"/>
      <c r="T59" s="485"/>
    </row>
    <row r="60" spans="1:20" x14ac:dyDescent="0.3">
      <c r="A60" s="18"/>
      <c r="B60" s="21"/>
      <c r="C60" s="21"/>
      <c r="D60" s="21"/>
      <c r="E60" s="21"/>
      <c r="F60" s="21"/>
      <c r="G60" s="21"/>
      <c r="H60" s="21"/>
      <c r="I60" s="20"/>
      <c r="K60" s="484"/>
      <c r="L60" s="484"/>
      <c r="M60" s="484"/>
      <c r="N60" s="484"/>
      <c r="O60" s="484"/>
      <c r="P60" s="484"/>
      <c r="Q60" s="484"/>
      <c r="R60" s="484"/>
      <c r="S60" s="484"/>
      <c r="T60" s="485"/>
    </row>
    <row r="61" spans="1:20" x14ac:dyDescent="0.3">
      <c r="A61" s="18"/>
      <c r="B61" s="21"/>
      <c r="C61" s="21"/>
      <c r="D61" s="21"/>
      <c r="E61" s="21"/>
      <c r="F61" s="21"/>
      <c r="G61" s="21"/>
      <c r="H61" s="21"/>
      <c r="I61" s="20"/>
      <c r="K61" s="484" t="s">
        <v>725</v>
      </c>
      <c r="L61" s="484"/>
      <c r="M61" s="484" t="s">
        <v>727</v>
      </c>
      <c r="N61" s="484"/>
      <c r="O61" s="484"/>
      <c r="P61" s="484"/>
      <c r="Q61" s="484"/>
      <c r="R61" s="484"/>
      <c r="S61" s="484"/>
      <c r="T61" s="485" t="s">
        <v>326</v>
      </c>
    </row>
    <row r="62" spans="1:20" x14ac:dyDescent="0.3">
      <c r="A62" s="18"/>
      <c r="B62" s="21"/>
      <c r="C62" s="21"/>
      <c r="D62" s="21"/>
      <c r="E62" s="21"/>
      <c r="F62" s="21"/>
      <c r="G62" s="21"/>
      <c r="H62" s="21"/>
      <c r="I62" s="20"/>
      <c r="K62" s="484"/>
      <c r="L62" s="484"/>
      <c r="M62" s="484"/>
      <c r="N62" s="484"/>
      <c r="O62" s="484"/>
      <c r="P62" s="484"/>
      <c r="Q62" s="484"/>
      <c r="R62" s="484"/>
      <c r="S62" s="484"/>
      <c r="T62" s="485"/>
    </row>
    <row r="63" spans="1:20" x14ac:dyDescent="0.3">
      <c r="A63" s="18"/>
      <c r="B63" s="21"/>
      <c r="C63" s="21"/>
      <c r="D63" s="21"/>
      <c r="E63" s="21"/>
      <c r="F63" s="21"/>
      <c r="G63" s="21"/>
      <c r="H63" s="21"/>
      <c r="I63" s="20"/>
      <c r="K63" s="484"/>
      <c r="L63" s="484"/>
      <c r="M63" s="484"/>
      <c r="N63" s="484"/>
      <c r="O63" s="484"/>
      <c r="P63" s="484"/>
      <c r="Q63" s="484"/>
      <c r="R63" s="484"/>
      <c r="S63" s="484"/>
      <c r="T63" s="485"/>
    </row>
    <row r="64" spans="1:20" x14ac:dyDescent="0.3">
      <c r="A64" s="18"/>
      <c r="B64" s="21"/>
      <c r="C64" s="21"/>
      <c r="D64" s="21"/>
      <c r="E64" s="21"/>
      <c r="F64" s="21"/>
      <c r="G64" s="21"/>
      <c r="H64" s="21"/>
      <c r="I64" s="20"/>
      <c r="K64" s="126" t="s">
        <v>328</v>
      </c>
    </row>
    <row r="65" spans="1:20" x14ac:dyDescent="0.3">
      <c r="A65" s="18"/>
      <c r="B65" s="21"/>
      <c r="C65" s="21"/>
      <c r="D65" s="21"/>
      <c r="E65" s="21"/>
      <c r="F65" s="21"/>
      <c r="G65" s="21"/>
      <c r="H65" s="21"/>
      <c r="I65" s="20"/>
    </row>
    <row r="66" spans="1:20" x14ac:dyDescent="0.3">
      <c r="A66" s="18"/>
      <c r="B66" s="21"/>
      <c r="C66" s="21"/>
      <c r="D66" s="21"/>
      <c r="E66" s="21"/>
      <c r="F66" s="21"/>
      <c r="G66" s="21"/>
      <c r="H66" s="21"/>
      <c r="I66" s="20"/>
    </row>
    <row r="67" spans="1:20" x14ac:dyDescent="0.3">
      <c r="A67" s="18"/>
      <c r="B67" s="21"/>
      <c r="C67" s="21"/>
      <c r="D67" s="21"/>
      <c r="E67" s="21"/>
      <c r="F67" s="21"/>
      <c r="G67" s="21"/>
      <c r="H67" s="21"/>
      <c r="I67" s="20"/>
      <c r="K67" s="486" t="s">
        <v>3378</v>
      </c>
      <c r="L67" s="486"/>
      <c r="M67" s="486"/>
      <c r="N67" s="486"/>
      <c r="O67" s="486"/>
      <c r="P67" s="486"/>
      <c r="Q67" s="486"/>
      <c r="R67" s="486"/>
      <c r="S67" s="486"/>
      <c r="T67" s="486"/>
    </row>
    <row r="68" spans="1:20" x14ac:dyDescent="0.3">
      <c r="A68" s="521" t="s">
        <v>732</v>
      </c>
      <c r="B68" s="522"/>
      <c r="C68" s="522"/>
      <c r="D68" s="522"/>
      <c r="E68" s="522"/>
      <c r="F68" s="522"/>
      <c r="G68" s="523"/>
      <c r="H68" s="21"/>
      <c r="I68" s="20"/>
      <c r="K68" s="487" t="s">
        <v>333</v>
      </c>
      <c r="L68" s="487"/>
      <c r="M68" s="487" t="s">
        <v>3864</v>
      </c>
      <c r="N68" s="487"/>
      <c r="O68" s="487"/>
      <c r="P68" s="487"/>
      <c r="Q68" s="487"/>
      <c r="R68" s="487"/>
      <c r="S68" s="487"/>
      <c r="T68" s="487"/>
    </row>
    <row r="69" spans="1:20" x14ac:dyDescent="0.3">
      <c r="A69" s="18"/>
      <c r="B69" s="21"/>
      <c r="C69" s="21"/>
      <c r="D69" s="21"/>
      <c r="E69" s="21"/>
      <c r="F69" s="21"/>
      <c r="G69" s="21"/>
      <c r="H69" s="21"/>
      <c r="I69" s="20"/>
      <c r="K69" s="487"/>
      <c r="L69" s="487"/>
      <c r="M69" s="487"/>
      <c r="N69" s="487"/>
      <c r="O69" s="487"/>
      <c r="P69" s="487"/>
      <c r="Q69" s="487"/>
      <c r="R69" s="487"/>
      <c r="S69" s="487"/>
      <c r="T69" s="487"/>
    </row>
    <row r="70" spans="1:20" x14ac:dyDescent="0.3">
      <c r="A70" s="18"/>
      <c r="B70" s="58" t="s">
        <v>3378</v>
      </c>
      <c r="C70" s="100" t="s">
        <v>3379</v>
      </c>
      <c r="D70" s="21"/>
      <c r="E70" s="21"/>
      <c r="F70" s="21"/>
      <c r="G70" s="21"/>
      <c r="H70" s="21"/>
      <c r="I70" s="20"/>
      <c r="K70" s="487"/>
      <c r="L70" s="487"/>
      <c r="M70" s="487"/>
      <c r="N70" s="487"/>
      <c r="O70" s="487"/>
      <c r="P70" s="487"/>
      <c r="Q70" s="487"/>
      <c r="R70" s="487"/>
      <c r="S70" s="487"/>
      <c r="T70" s="487"/>
    </row>
    <row r="71" spans="1:20" x14ac:dyDescent="0.3">
      <c r="A71" s="18"/>
      <c r="B71" s="21"/>
      <c r="C71" s="21"/>
      <c r="D71" s="21"/>
      <c r="E71" s="21"/>
      <c r="F71" s="21"/>
      <c r="G71" s="21"/>
      <c r="H71" s="21"/>
      <c r="I71" s="20"/>
      <c r="K71" s="483" t="s">
        <v>323</v>
      </c>
      <c r="L71" s="483"/>
      <c r="M71" s="483" t="s">
        <v>1</v>
      </c>
      <c r="N71" s="483"/>
      <c r="O71" s="483"/>
      <c r="P71" s="483"/>
      <c r="Q71" s="483"/>
      <c r="R71" s="483"/>
      <c r="S71" s="483"/>
      <c r="T71" s="85" t="s">
        <v>324</v>
      </c>
    </row>
    <row r="72" spans="1:20" x14ac:dyDescent="0.3">
      <c r="A72" s="18"/>
      <c r="B72" s="21"/>
      <c r="C72" s="21"/>
      <c r="D72" s="21"/>
      <c r="E72" s="21"/>
      <c r="F72" s="21"/>
      <c r="G72" s="21"/>
      <c r="H72" s="21"/>
      <c r="I72" s="20"/>
      <c r="K72" s="488" t="s">
        <v>699</v>
      </c>
      <c r="L72" s="488"/>
      <c r="M72" s="488" t="s">
        <v>1189</v>
      </c>
      <c r="N72" s="488"/>
      <c r="O72" s="488"/>
      <c r="P72" s="488"/>
      <c r="Q72" s="488"/>
      <c r="R72" s="488"/>
      <c r="S72" s="488"/>
      <c r="T72" s="489" t="s">
        <v>325</v>
      </c>
    </row>
    <row r="73" spans="1:20" x14ac:dyDescent="0.3">
      <c r="A73" s="18"/>
      <c r="B73" s="169" t="s">
        <v>693</v>
      </c>
      <c r="C73" s="167" t="s">
        <v>734</v>
      </c>
      <c r="D73" s="21"/>
      <c r="E73" s="21"/>
      <c r="F73" s="21"/>
      <c r="G73" s="21"/>
      <c r="H73" s="21"/>
      <c r="I73" s="20"/>
      <c r="K73" s="488"/>
      <c r="L73" s="488"/>
      <c r="M73" s="488"/>
      <c r="N73" s="488"/>
      <c r="O73" s="488"/>
      <c r="P73" s="488"/>
      <c r="Q73" s="488"/>
      <c r="R73" s="488"/>
      <c r="S73" s="488"/>
      <c r="T73" s="489"/>
    </row>
    <row r="74" spans="1:20" x14ac:dyDescent="0.3">
      <c r="A74" s="18"/>
      <c r="B74" s="21"/>
      <c r="C74" s="167" t="s">
        <v>735</v>
      </c>
      <c r="D74" s="21"/>
      <c r="E74" s="21"/>
      <c r="F74" s="21"/>
      <c r="G74" s="21"/>
      <c r="H74" s="21"/>
      <c r="I74" s="20"/>
      <c r="K74" s="488"/>
      <c r="L74" s="488"/>
      <c r="M74" s="488"/>
      <c r="N74" s="488"/>
      <c r="O74" s="488"/>
      <c r="P74" s="488"/>
      <c r="Q74" s="488"/>
      <c r="R74" s="488"/>
      <c r="S74" s="488"/>
      <c r="T74" s="489"/>
    </row>
    <row r="75" spans="1:20" ht="15" customHeight="1" x14ac:dyDescent="0.3">
      <c r="A75" s="18"/>
      <c r="B75" s="21"/>
      <c r="C75" s="21"/>
      <c r="D75" s="21"/>
      <c r="E75" s="21"/>
      <c r="F75" s="21"/>
      <c r="G75" s="21"/>
      <c r="H75" s="21"/>
      <c r="I75" s="20"/>
      <c r="K75" s="488" t="s">
        <v>740</v>
      </c>
      <c r="L75" s="488"/>
      <c r="M75" s="488" t="s">
        <v>741</v>
      </c>
      <c r="N75" s="488"/>
      <c r="O75" s="488"/>
      <c r="P75" s="488"/>
      <c r="Q75" s="488"/>
      <c r="R75" s="488"/>
      <c r="S75" s="488"/>
      <c r="T75" s="489" t="s">
        <v>325</v>
      </c>
    </row>
    <row r="76" spans="1:20" x14ac:dyDescent="0.3">
      <c r="A76" s="18"/>
      <c r="B76" s="21"/>
      <c r="C76" s="21"/>
      <c r="D76" s="21"/>
      <c r="E76" s="21"/>
      <c r="F76" s="21"/>
      <c r="G76" s="21"/>
      <c r="H76" s="21"/>
      <c r="I76" s="20"/>
      <c r="K76" s="488"/>
      <c r="L76" s="488"/>
      <c r="M76" s="488"/>
      <c r="N76" s="488"/>
      <c r="O76" s="488"/>
      <c r="P76" s="488"/>
      <c r="Q76" s="488"/>
      <c r="R76" s="488"/>
      <c r="S76" s="488"/>
      <c r="T76" s="489"/>
    </row>
    <row r="77" spans="1:20" x14ac:dyDescent="0.3">
      <c r="A77" s="18"/>
      <c r="B77" s="85" t="s">
        <v>736</v>
      </c>
      <c r="C77" s="164" t="s">
        <v>737</v>
      </c>
      <c r="D77" s="21"/>
      <c r="E77" s="21"/>
      <c r="F77" s="21"/>
      <c r="G77" s="21"/>
      <c r="H77" s="21"/>
      <c r="I77" s="20"/>
      <c r="K77" s="488"/>
      <c r="L77" s="488"/>
      <c r="M77" s="488"/>
      <c r="N77" s="488"/>
      <c r="O77" s="488"/>
      <c r="P77" s="488"/>
      <c r="Q77" s="488"/>
      <c r="R77" s="488"/>
      <c r="S77" s="488"/>
      <c r="T77" s="489"/>
    </row>
    <row r="78" spans="1:20" ht="15" customHeight="1" x14ac:dyDescent="0.3">
      <c r="A78" s="18"/>
      <c r="B78" s="21"/>
      <c r="C78" s="164" t="s">
        <v>738</v>
      </c>
      <c r="D78" s="21"/>
      <c r="E78" s="21"/>
      <c r="F78" s="21"/>
      <c r="G78" s="21"/>
      <c r="H78" s="21"/>
      <c r="I78" s="20"/>
      <c r="K78" s="484" t="s">
        <v>700</v>
      </c>
      <c r="L78" s="484"/>
      <c r="M78" s="484" t="s">
        <v>3865</v>
      </c>
      <c r="N78" s="484"/>
      <c r="O78" s="484"/>
      <c r="P78" s="484"/>
      <c r="Q78" s="484"/>
      <c r="R78" s="484"/>
      <c r="S78" s="484"/>
      <c r="T78" s="485" t="s">
        <v>326</v>
      </c>
    </row>
    <row r="79" spans="1:20" x14ac:dyDescent="0.3">
      <c r="A79" s="18"/>
      <c r="B79" s="21"/>
      <c r="C79" s="21"/>
      <c r="D79" s="21"/>
      <c r="E79" s="21"/>
      <c r="F79" s="21"/>
      <c r="G79" s="21"/>
      <c r="H79" s="21"/>
      <c r="I79" s="20"/>
      <c r="K79" s="484"/>
      <c r="L79" s="484"/>
      <c r="M79" s="484"/>
      <c r="N79" s="484"/>
      <c r="O79" s="484"/>
      <c r="P79" s="484"/>
      <c r="Q79" s="484"/>
      <c r="R79" s="484"/>
      <c r="S79" s="484"/>
      <c r="T79" s="485"/>
    </row>
    <row r="80" spans="1:20" x14ac:dyDescent="0.3">
      <c r="A80" s="18"/>
      <c r="B80" s="21"/>
      <c r="C80" s="21"/>
      <c r="D80" s="21"/>
      <c r="E80" s="21"/>
      <c r="F80" s="21"/>
      <c r="G80" s="21"/>
      <c r="H80" s="21"/>
      <c r="I80" s="20"/>
      <c r="K80" s="484"/>
      <c r="L80" s="484"/>
      <c r="M80" s="484"/>
      <c r="N80" s="484"/>
      <c r="O80" s="484"/>
      <c r="P80" s="484"/>
      <c r="Q80" s="484"/>
      <c r="R80" s="484"/>
      <c r="S80" s="484"/>
      <c r="T80" s="485"/>
    </row>
    <row r="81" spans="1:20" x14ac:dyDescent="0.3">
      <c r="A81" s="18"/>
      <c r="B81" s="21"/>
      <c r="C81" s="21"/>
      <c r="D81" s="21"/>
      <c r="E81" s="21"/>
      <c r="F81" s="21"/>
      <c r="G81" s="21"/>
      <c r="H81" s="21"/>
      <c r="I81" s="20"/>
      <c r="K81" s="484" t="s">
        <v>703</v>
      </c>
      <c r="L81" s="484"/>
      <c r="M81" s="484" t="s">
        <v>3702</v>
      </c>
      <c r="N81" s="484"/>
      <c r="O81" s="484"/>
      <c r="P81" s="484"/>
      <c r="Q81" s="484"/>
      <c r="R81" s="484"/>
      <c r="S81" s="484"/>
      <c r="T81" s="485" t="s">
        <v>326</v>
      </c>
    </row>
    <row r="82" spans="1:20" x14ac:dyDescent="0.3">
      <c r="A82" s="18"/>
      <c r="B82" s="21"/>
      <c r="C82" s="21"/>
      <c r="D82" s="21"/>
      <c r="E82" s="21"/>
      <c r="F82" s="21"/>
      <c r="G82" s="21"/>
      <c r="H82" s="21"/>
      <c r="I82" s="20"/>
      <c r="K82" s="484"/>
      <c r="L82" s="484"/>
      <c r="M82" s="484"/>
      <c r="N82" s="484"/>
      <c r="O82" s="484"/>
      <c r="P82" s="484"/>
      <c r="Q82" s="484"/>
      <c r="R82" s="484"/>
      <c r="S82" s="484"/>
      <c r="T82" s="485"/>
    </row>
    <row r="83" spans="1:20" x14ac:dyDescent="0.3">
      <c r="A83" s="18"/>
      <c r="B83" s="21"/>
      <c r="C83" s="21"/>
      <c r="D83" s="21"/>
      <c r="E83" s="21"/>
      <c r="F83" s="21"/>
      <c r="G83" s="21"/>
      <c r="H83" s="21"/>
      <c r="I83" s="20"/>
      <c r="K83" s="484"/>
      <c r="L83" s="484"/>
      <c r="M83" s="484"/>
      <c r="N83" s="484"/>
      <c r="O83" s="484"/>
      <c r="P83" s="484"/>
      <c r="Q83" s="484"/>
      <c r="R83" s="484"/>
      <c r="S83" s="484"/>
      <c r="T83" s="485"/>
    </row>
    <row r="84" spans="1:20" ht="15" customHeight="1" x14ac:dyDescent="0.3">
      <c r="A84" s="18"/>
      <c r="B84" s="21"/>
      <c r="C84" s="21"/>
      <c r="D84" s="21"/>
      <c r="E84" s="21"/>
      <c r="F84" s="21"/>
      <c r="G84" s="21"/>
      <c r="H84" s="21"/>
      <c r="I84" s="20"/>
      <c r="K84" s="484" t="s">
        <v>742</v>
      </c>
      <c r="L84" s="484"/>
      <c r="M84" s="484" t="s">
        <v>744</v>
      </c>
      <c r="N84" s="484"/>
      <c r="O84" s="484"/>
      <c r="P84" s="484"/>
      <c r="Q84" s="484"/>
      <c r="R84" s="484"/>
      <c r="S84" s="484"/>
      <c r="T84" s="485" t="s">
        <v>326</v>
      </c>
    </row>
    <row r="85" spans="1:20" x14ac:dyDescent="0.3">
      <c r="A85" s="18"/>
      <c r="B85" s="21"/>
      <c r="C85" s="21"/>
      <c r="D85" s="21"/>
      <c r="E85" s="21"/>
      <c r="F85" s="21"/>
      <c r="G85" s="21"/>
      <c r="H85" s="21"/>
      <c r="I85" s="20"/>
      <c r="K85" s="484"/>
      <c r="L85" s="484"/>
      <c r="M85" s="484"/>
      <c r="N85" s="484"/>
      <c r="O85" s="484"/>
      <c r="P85" s="484"/>
      <c r="Q85" s="484"/>
      <c r="R85" s="484"/>
      <c r="S85" s="484"/>
      <c r="T85" s="485"/>
    </row>
    <row r="86" spans="1:20" x14ac:dyDescent="0.3">
      <c r="A86" s="18"/>
      <c r="B86" s="21"/>
      <c r="C86" s="21"/>
      <c r="D86" s="21"/>
      <c r="E86" s="21"/>
      <c r="F86" s="21"/>
      <c r="G86" s="21"/>
      <c r="H86" s="21"/>
      <c r="I86" s="20"/>
      <c r="K86" s="484"/>
      <c r="L86" s="484"/>
      <c r="M86" s="484"/>
      <c r="N86" s="484"/>
      <c r="O86" s="484"/>
      <c r="P86" s="484"/>
      <c r="Q86" s="484"/>
      <c r="R86" s="484"/>
      <c r="S86" s="484"/>
      <c r="T86" s="485"/>
    </row>
    <row r="87" spans="1:20" x14ac:dyDescent="0.3">
      <c r="A87" s="18"/>
      <c r="B87" s="21"/>
      <c r="C87" s="21"/>
      <c r="D87" s="21"/>
      <c r="E87" s="21"/>
      <c r="F87" s="21"/>
      <c r="G87" s="21"/>
      <c r="H87" s="21"/>
      <c r="I87" s="20"/>
      <c r="K87" s="484" t="s">
        <v>743</v>
      </c>
      <c r="L87" s="484"/>
      <c r="M87" s="484" t="s">
        <v>745</v>
      </c>
      <c r="N87" s="484"/>
      <c r="O87" s="484"/>
      <c r="P87" s="484"/>
      <c r="Q87" s="484"/>
      <c r="R87" s="484"/>
      <c r="S87" s="484"/>
      <c r="T87" s="485" t="s">
        <v>326</v>
      </c>
    </row>
    <row r="88" spans="1:20" x14ac:dyDescent="0.3">
      <c r="A88" s="18"/>
      <c r="B88" s="21"/>
      <c r="C88" s="21"/>
      <c r="D88" s="21"/>
      <c r="E88" s="21"/>
      <c r="F88" s="21"/>
      <c r="G88" s="21"/>
      <c r="H88" s="21"/>
      <c r="I88" s="20"/>
      <c r="K88" s="484"/>
      <c r="L88" s="484"/>
      <c r="M88" s="484"/>
      <c r="N88" s="484"/>
      <c r="O88" s="484"/>
      <c r="P88" s="484"/>
      <c r="Q88" s="484"/>
      <c r="R88" s="484"/>
      <c r="S88" s="484"/>
      <c r="T88" s="485"/>
    </row>
    <row r="89" spans="1:20" x14ac:dyDescent="0.3">
      <c r="A89" s="18"/>
      <c r="B89" s="21"/>
      <c r="C89" s="21"/>
      <c r="D89" s="21"/>
      <c r="E89" s="21"/>
      <c r="F89" s="21"/>
      <c r="G89" s="21"/>
      <c r="H89" s="21"/>
      <c r="I89" s="20"/>
      <c r="K89" s="484"/>
      <c r="L89" s="484"/>
      <c r="M89" s="484"/>
      <c r="N89" s="484"/>
      <c r="O89" s="484"/>
      <c r="P89" s="484"/>
      <c r="Q89" s="484"/>
      <c r="R89" s="484"/>
      <c r="S89" s="484"/>
      <c r="T89" s="485"/>
    </row>
    <row r="90" spans="1:20" ht="15" customHeight="1" x14ac:dyDescent="0.3">
      <c r="A90" s="18"/>
      <c r="B90" s="21"/>
      <c r="C90" s="21"/>
      <c r="D90" s="21"/>
      <c r="E90" s="21"/>
      <c r="F90" s="21"/>
      <c r="G90" s="21"/>
      <c r="H90" s="21"/>
      <c r="I90" s="20"/>
      <c r="K90" s="496" t="s">
        <v>2299</v>
      </c>
      <c r="L90" s="497"/>
      <c r="M90" s="496" t="s">
        <v>3088</v>
      </c>
      <c r="N90" s="502"/>
      <c r="O90" s="502"/>
      <c r="P90" s="502"/>
      <c r="Q90" s="502"/>
      <c r="R90" s="502"/>
      <c r="S90" s="497"/>
      <c r="T90" s="505" t="s">
        <v>326</v>
      </c>
    </row>
    <row r="91" spans="1:20" x14ac:dyDescent="0.3">
      <c r="A91" s="18"/>
      <c r="B91" s="21"/>
      <c r="C91" s="21"/>
      <c r="D91" s="21"/>
      <c r="E91" s="21"/>
      <c r="F91" s="21"/>
      <c r="G91" s="21"/>
      <c r="H91" s="21"/>
      <c r="I91" s="20"/>
      <c r="K91" s="498"/>
      <c r="L91" s="499"/>
      <c r="M91" s="498"/>
      <c r="N91" s="503"/>
      <c r="O91" s="503"/>
      <c r="P91" s="503"/>
      <c r="Q91" s="503"/>
      <c r="R91" s="503"/>
      <c r="S91" s="499"/>
      <c r="T91" s="506"/>
    </row>
    <row r="92" spans="1:20" x14ac:dyDescent="0.3">
      <c r="A92" s="18"/>
      <c r="B92" s="21"/>
      <c r="C92" s="21"/>
      <c r="D92" s="21"/>
      <c r="E92" s="21"/>
      <c r="F92" s="21"/>
      <c r="G92" s="21"/>
      <c r="H92" s="21"/>
      <c r="I92" s="20"/>
      <c r="K92" s="500"/>
      <c r="L92" s="501"/>
      <c r="M92" s="500"/>
      <c r="N92" s="504"/>
      <c r="O92" s="504"/>
      <c r="P92" s="504"/>
      <c r="Q92" s="504"/>
      <c r="R92" s="504"/>
      <c r="S92" s="501"/>
      <c r="T92" s="507"/>
    </row>
    <row r="93" spans="1:20" x14ac:dyDescent="0.3">
      <c r="A93" s="521" t="s">
        <v>739</v>
      </c>
      <c r="B93" s="522"/>
      <c r="C93" s="522"/>
      <c r="D93" s="522"/>
      <c r="E93" s="522"/>
      <c r="F93" s="522"/>
      <c r="G93" s="523"/>
      <c r="H93" s="21"/>
      <c r="I93" s="20"/>
      <c r="K93" s="126" t="s">
        <v>328</v>
      </c>
    </row>
    <row r="94" spans="1:20" x14ac:dyDescent="0.3">
      <c r="A94" s="18"/>
      <c r="B94" s="21"/>
      <c r="C94" s="21"/>
      <c r="D94" s="21"/>
      <c r="E94" s="21"/>
      <c r="F94" s="21"/>
      <c r="G94" s="21"/>
      <c r="H94" s="21"/>
      <c r="I94" s="20"/>
    </row>
    <row r="95" spans="1:20" x14ac:dyDescent="0.3">
      <c r="A95" s="18"/>
      <c r="B95" s="21"/>
      <c r="C95" s="21"/>
      <c r="D95" s="21"/>
      <c r="E95" s="21"/>
      <c r="F95" s="21"/>
      <c r="G95" s="21"/>
      <c r="H95" s="21"/>
      <c r="I95" s="20"/>
    </row>
    <row r="96" spans="1:20" x14ac:dyDescent="0.3">
      <c r="A96" s="18"/>
      <c r="B96" s="58" t="s">
        <v>3380</v>
      </c>
      <c r="C96" s="150" t="s">
        <v>3381</v>
      </c>
      <c r="D96" s="21"/>
      <c r="E96" s="21"/>
      <c r="F96" s="21"/>
      <c r="G96" s="21"/>
      <c r="H96" s="21"/>
      <c r="I96" s="20"/>
      <c r="K96" s="486" t="s">
        <v>3380</v>
      </c>
      <c r="L96" s="486"/>
      <c r="M96" s="486"/>
      <c r="N96" s="486"/>
      <c r="O96" s="486"/>
      <c r="P96" s="486"/>
      <c r="Q96" s="486"/>
      <c r="R96" s="486"/>
      <c r="S96" s="486"/>
      <c r="T96" s="486"/>
    </row>
    <row r="97" spans="1:20" x14ac:dyDescent="0.3">
      <c r="A97" s="18"/>
      <c r="B97" s="21"/>
      <c r="C97" s="21"/>
      <c r="D97" s="21"/>
      <c r="E97" s="21"/>
      <c r="F97" s="21"/>
      <c r="G97" s="21"/>
      <c r="H97" s="21"/>
      <c r="I97" s="20"/>
      <c r="K97" s="487" t="s">
        <v>333</v>
      </c>
      <c r="L97" s="487"/>
      <c r="M97" s="487" t="s">
        <v>3382</v>
      </c>
      <c r="N97" s="487"/>
      <c r="O97" s="487"/>
      <c r="P97" s="487"/>
      <c r="Q97" s="487"/>
      <c r="R97" s="487"/>
      <c r="S97" s="487"/>
      <c r="T97" s="487"/>
    </row>
    <row r="98" spans="1:20" x14ac:dyDescent="0.3">
      <c r="A98" s="18"/>
      <c r="B98" s="21"/>
      <c r="C98" s="21"/>
      <c r="D98" s="21"/>
      <c r="E98" s="21"/>
      <c r="F98" s="21"/>
      <c r="G98" s="21"/>
      <c r="H98" s="21"/>
      <c r="I98" s="20"/>
      <c r="K98" s="487"/>
      <c r="L98" s="487"/>
      <c r="M98" s="487"/>
      <c r="N98" s="487"/>
      <c r="O98" s="487"/>
      <c r="P98" s="487"/>
      <c r="Q98" s="487"/>
      <c r="R98" s="487"/>
      <c r="S98" s="487"/>
      <c r="T98" s="487"/>
    </row>
    <row r="99" spans="1:20" x14ac:dyDescent="0.3">
      <c r="A99" s="18"/>
      <c r="B99" s="3" t="s">
        <v>746</v>
      </c>
      <c r="C99" s="167" t="s">
        <v>761</v>
      </c>
      <c r="D99" s="21"/>
      <c r="E99" s="21"/>
      <c r="F99" s="21"/>
      <c r="G99" s="21"/>
      <c r="H99" s="21"/>
      <c r="I99" s="20"/>
      <c r="K99" s="487"/>
      <c r="L99" s="487"/>
      <c r="M99" s="487"/>
      <c r="N99" s="487"/>
      <c r="O99" s="487"/>
      <c r="P99" s="487"/>
      <c r="Q99" s="487"/>
      <c r="R99" s="487"/>
      <c r="S99" s="487"/>
      <c r="T99" s="487"/>
    </row>
    <row r="100" spans="1:20" x14ac:dyDescent="0.3">
      <c r="A100" s="18"/>
      <c r="B100" s="3" t="s">
        <v>747</v>
      </c>
      <c r="C100" s="167" t="s">
        <v>748</v>
      </c>
      <c r="D100" s="21"/>
      <c r="E100" s="21"/>
      <c r="F100" s="21"/>
      <c r="G100" s="21"/>
      <c r="H100" s="21"/>
      <c r="I100" s="20"/>
      <c r="K100" s="483" t="s">
        <v>323</v>
      </c>
      <c r="L100" s="483"/>
      <c r="M100" s="483" t="s">
        <v>1</v>
      </c>
      <c r="N100" s="483"/>
      <c r="O100" s="483"/>
      <c r="P100" s="483"/>
      <c r="Q100" s="483"/>
      <c r="R100" s="483"/>
      <c r="S100" s="483"/>
      <c r="T100" s="85" t="s">
        <v>324</v>
      </c>
    </row>
    <row r="101" spans="1:20" x14ac:dyDescent="0.3">
      <c r="A101" s="18"/>
      <c r="B101" s="3" t="s">
        <v>710</v>
      </c>
      <c r="C101" s="166" t="s">
        <v>749</v>
      </c>
      <c r="D101" s="21"/>
      <c r="E101" s="21"/>
      <c r="F101" s="21"/>
      <c r="G101" s="21"/>
      <c r="H101" s="21"/>
      <c r="I101" s="20"/>
      <c r="K101" s="488" t="s">
        <v>746</v>
      </c>
      <c r="L101" s="488"/>
      <c r="M101" s="488" t="s">
        <v>3736</v>
      </c>
      <c r="N101" s="488"/>
      <c r="O101" s="488"/>
      <c r="P101" s="488"/>
      <c r="Q101" s="488"/>
      <c r="R101" s="488"/>
      <c r="S101" s="488"/>
      <c r="T101" s="489" t="s">
        <v>325</v>
      </c>
    </row>
    <row r="102" spans="1:20" x14ac:dyDescent="0.3">
      <c r="A102" s="18"/>
      <c r="B102" s="21"/>
      <c r="C102" s="21"/>
      <c r="D102" s="21"/>
      <c r="E102" s="21"/>
      <c r="F102" s="21"/>
      <c r="G102" s="21"/>
      <c r="H102" s="21"/>
      <c r="I102" s="20"/>
      <c r="K102" s="488"/>
      <c r="L102" s="488"/>
      <c r="M102" s="488"/>
      <c r="N102" s="488"/>
      <c r="O102" s="488"/>
      <c r="P102" s="488"/>
      <c r="Q102" s="488"/>
      <c r="R102" s="488"/>
      <c r="S102" s="488"/>
      <c r="T102" s="489"/>
    </row>
    <row r="103" spans="1:20" x14ac:dyDescent="0.3">
      <c r="A103" s="18"/>
      <c r="B103" s="21"/>
      <c r="C103" s="21"/>
      <c r="D103" s="21"/>
      <c r="E103" s="21"/>
      <c r="F103" s="21"/>
      <c r="G103" s="21"/>
      <c r="H103" s="21"/>
      <c r="I103" s="20"/>
      <c r="K103" s="488"/>
      <c r="L103" s="488"/>
      <c r="M103" s="488"/>
      <c r="N103" s="488"/>
      <c r="O103" s="488"/>
      <c r="P103" s="488"/>
      <c r="Q103" s="488"/>
      <c r="R103" s="488"/>
      <c r="S103" s="488"/>
      <c r="T103" s="489"/>
    </row>
    <row r="104" spans="1:20" x14ac:dyDescent="0.3">
      <c r="A104" s="18"/>
      <c r="B104" s="21"/>
      <c r="C104" s="21"/>
      <c r="D104" s="21"/>
      <c r="E104" s="21"/>
      <c r="F104" s="21"/>
      <c r="G104" s="21"/>
      <c r="H104" s="21"/>
      <c r="I104" s="20"/>
      <c r="K104" s="488" t="s">
        <v>750</v>
      </c>
      <c r="L104" s="488"/>
      <c r="M104" s="488" t="s">
        <v>751</v>
      </c>
      <c r="N104" s="488"/>
      <c r="O104" s="488"/>
      <c r="P104" s="488"/>
      <c r="Q104" s="488"/>
      <c r="R104" s="488"/>
      <c r="S104" s="488"/>
      <c r="T104" s="489" t="s">
        <v>325</v>
      </c>
    </row>
    <row r="105" spans="1:20" x14ac:dyDescent="0.3">
      <c r="A105" s="18"/>
      <c r="B105" s="21"/>
      <c r="C105" s="21"/>
      <c r="D105" s="21"/>
      <c r="E105" s="21"/>
      <c r="F105" s="21"/>
      <c r="G105" s="21"/>
      <c r="H105" s="21"/>
      <c r="I105" s="20"/>
      <c r="K105" s="488"/>
      <c r="L105" s="488"/>
      <c r="M105" s="488"/>
      <c r="N105" s="488"/>
      <c r="O105" s="488"/>
      <c r="P105" s="488"/>
      <c r="Q105" s="488"/>
      <c r="R105" s="488"/>
      <c r="S105" s="488"/>
      <c r="T105" s="489"/>
    </row>
    <row r="106" spans="1:20" x14ac:dyDescent="0.3">
      <c r="A106" s="18"/>
      <c r="B106" s="21"/>
      <c r="C106" s="21"/>
      <c r="D106" s="21"/>
      <c r="E106" s="21"/>
      <c r="F106" s="21"/>
      <c r="G106" s="21"/>
      <c r="H106" s="21"/>
      <c r="I106" s="20"/>
      <c r="K106" s="488"/>
      <c r="L106" s="488"/>
      <c r="M106" s="488"/>
      <c r="N106" s="488"/>
      <c r="O106" s="488"/>
      <c r="P106" s="488"/>
      <c r="Q106" s="488"/>
      <c r="R106" s="488"/>
      <c r="S106" s="488"/>
      <c r="T106" s="489"/>
    </row>
    <row r="107" spans="1:20" x14ac:dyDescent="0.3">
      <c r="A107" s="18"/>
      <c r="B107" s="21"/>
      <c r="C107" s="21"/>
      <c r="D107" s="21"/>
      <c r="E107" s="21"/>
      <c r="F107" s="21"/>
      <c r="G107" s="21"/>
      <c r="H107" s="21"/>
      <c r="I107" s="20"/>
      <c r="K107" s="488" t="s">
        <v>720</v>
      </c>
      <c r="L107" s="488"/>
      <c r="M107" s="488" t="s">
        <v>752</v>
      </c>
      <c r="N107" s="488"/>
      <c r="O107" s="488"/>
      <c r="P107" s="488"/>
      <c r="Q107" s="488"/>
      <c r="R107" s="488"/>
      <c r="S107" s="488"/>
      <c r="T107" s="489" t="s">
        <v>325</v>
      </c>
    </row>
    <row r="108" spans="1:20" x14ac:dyDescent="0.3">
      <c r="A108" s="18"/>
      <c r="B108" s="21"/>
      <c r="C108" s="21"/>
      <c r="D108" s="21"/>
      <c r="E108" s="21"/>
      <c r="F108" s="21"/>
      <c r="G108" s="21"/>
      <c r="H108" s="21"/>
      <c r="I108" s="20"/>
      <c r="K108" s="488"/>
      <c r="L108" s="488"/>
      <c r="M108" s="488"/>
      <c r="N108" s="488"/>
      <c r="O108" s="488"/>
      <c r="P108" s="488"/>
      <c r="Q108" s="488"/>
      <c r="R108" s="488"/>
      <c r="S108" s="488"/>
      <c r="T108" s="489"/>
    </row>
    <row r="109" spans="1:20" x14ac:dyDescent="0.3">
      <c r="A109" s="18"/>
      <c r="B109" s="21"/>
      <c r="C109" s="21"/>
      <c r="D109" s="21"/>
      <c r="E109" s="21"/>
      <c r="F109" s="21"/>
      <c r="G109" s="21"/>
      <c r="H109" s="21"/>
      <c r="I109" s="20"/>
      <c r="K109" s="488"/>
      <c r="L109" s="488"/>
      <c r="M109" s="488"/>
      <c r="N109" s="488"/>
      <c r="O109" s="488"/>
      <c r="P109" s="488"/>
      <c r="Q109" s="488"/>
      <c r="R109" s="488"/>
      <c r="S109" s="488"/>
      <c r="T109" s="489"/>
    </row>
    <row r="110" spans="1:20" x14ac:dyDescent="0.3">
      <c r="A110" s="18"/>
      <c r="B110" s="21"/>
      <c r="C110" s="21"/>
      <c r="D110" s="21"/>
      <c r="E110" s="21"/>
      <c r="F110" s="21"/>
      <c r="G110" s="21"/>
      <c r="H110" s="21"/>
      <c r="I110" s="20"/>
      <c r="K110" s="126" t="s">
        <v>328</v>
      </c>
    </row>
    <row r="111" spans="1:20" x14ac:dyDescent="0.3">
      <c r="A111" s="18"/>
      <c r="B111" s="21"/>
      <c r="C111" s="21"/>
      <c r="D111" s="21"/>
      <c r="E111" s="21"/>
      <c r="F111" s="21"/>
      <c r="G111" s="21"/>
      <c r="H111" s="21"/>
      <c r="I111" s="20"/>
    </row>
    <row r="112" spans="1:20" x14ac:dyDescent="0.3">
      <c r="A112" s="521" t="s">
        <v>753</v>
      </c>
      <c r="B112" s="522"/>
      <c r="C112" s="522"/>
      <c r="D112" s="522"/>
      <c r="E112" s="522"/>
      <c r="F112" s="522"/>
      <c r="G112" s="523"/>
      <c r="H112" s="21"/>
      <c r="I112" s="20"/>
    </row>
    <row r="113" spans="1:20" x14ac:dyDescent="0.3">
      <c r="A113" s="18"/>
      <c r="B113" s="21"/>
      <c r="C113" s="21"/>
      <c r="D113" s="21"/>
      <c r="E113" s="21"/>
      <c r="F113" s="21"/>
      <c r="G113" s="21"/>
      <c r="H113" s="21"/>
      <c r="I113" s="20"/>
      <c r="K113" s="486" t="s">
        <v>3383</v>
      </c>
      <c r="L113" s="486"/>
      <c r="M113" s="486"/>
      <c r="N113" s="486"/>
      <c r="O113" s="486"/>
      <c r="P113" s="486"/>
      <c r="Q113" s="486"/>
      <c r="R113" s="486"/>
      <c r="S113" s="486"/>
      <c r="T113" s="486"/>
    </row>
    <row r="114" spans="1:20" x14ac:dyDescent="0.3">
      <c r="A114" s="18"/>
      <c r="B114" s="21"/>
      <c r="C114" s="21"/>
      <c r="D114" s="21"/>
      <c r="E114" s="21"/>
      <c r="F114" s="21"/>
      <c r="G114" s="21"/>
      <c r="H114" s="21"/>
      <c r="I114" s="20"/>
      <c r="K114" s="487" t="s">
        <v>333</v>
      </c>
      <c r="L114" s="487"/>
      <c r="M114" s="487" t="s">
        <v>754</v>
      </c>
      <c r="N114" s="487"/>
      <c r="O114" s="487"/>
      <c r="P114" s="487"/>
      <c r="Q114" s="487"/>
      <c r="R114" s="487"/>
      <c r="S114" s="487"/>
      <c r="T114" s="487"/>
    </row>
    <row r="115" spans="1:20" x14ac:dyDescent="0.3">
      <c r="A115" s="18"/>
      <c r="B115" s="58" t="s">
        <v>3383</v>
      </c>
      <c r="C115" s="150" cm="1">
        <f t="array" ref="C115">_xll.U.SOUND(C117,1)</f>
        <v>46072.453056631944</v>
      </c>
      <c r="D115" s="21"/>
      <c r="E115" s="21"/>
      <c r="F115" s="21"/>
      <c r="G115" s="21"/>
      <c r="H115" s="21"/>
      <c r="I115" s="20"/>
      <c r="K115" s="487"/>
      <c r="L115" s="487"/>
      <c r="M115" s="487"/>
      <c r="N115" s="487"/>
      <c r="O115" s="487"/>
      <c r="P115" s="487"/>
      <c r="Q115" s="487"/>
      <c r="R115" s="487"/>
      <c r="S115" s="487"/>
      <c r="T115" s="487"/>
    </row>
    <row r="116" spans="1:20" x14ac:dyDescent="0.3">
      <c r="A116" s="18"/>
      <c r="B116" s="21"/>
      <c r="C116" s="21"/>
      <c r="D116" s="21"/>
      <c r="E116" s="21"/>
      <c r="F116" s="21"/>
      <c r="G116" s="21"/>
      <c r="H116" s="21"/>
      <c r="I116" s="20"/>
      <c r="K116" s="487"/>
      <c r="L116" s="487"/>
      <c r="M116" s="487"/>
      <c r="N116" s="487"/>
      <c r="O116" s="487"/>
      <c r="P116" s="487"/>
      <c r="Q116" s="487"/>
      <c r="R116" s="487"/>
      <c r="S116" s="487"/>
      <c r="T116" s="487"/>
    </row>
    <row r="117" spans="1:20" x14ac:dyDescent="0.3">
      <c r="A117" s="18"/>
      <c r="B117" s="3" t="s">
        <v>762</v>
      </c>
      <c r="C117" s="168" t="s">
        <v>3906</v>
      </c>
      <c r="D117" s="21"/>
      <c r="E117" s="21"/>
      <c r="F117" s="21"/>
      <c r="G117" s="21"/>
      <c r="H117" s="21"/>
      <c r="I117" s="20"/>
      <c r="K117" s="483" t="s">
        <v>323</v>
      </c>
      <c r="L117" s="483"/>
      <c r="M117" s="483" t="s">
        <v>1</v>
      </c>
      <c r="N117" s="483"/>
      <c r="O117" s="483"/>
      <c r="P117" s="483"/>
      <c r="Q117" s="483"/>
      <c r="R117" s="483"/>
      <c r="S117" s="483"/>
      <c r="T117" s="85" t="s">
        <v>324</v>
      </c>
    </row>
    <row r="118" spans="1:20" x14ac:dyDescent="0.3">
      <c r="A118" s="18"/>
      <c r="B118" s="21"/>
      <c r="C118" s="21"/>
      <c r="D118" s="21"/>
      <c r="E118" s="21"/>
      <c r="F118" s="21"/>
      <c r="G118" s="21"/>
      <c r="H118" s="21"/>
      <c r="I118" s="20"/>
      <c r="K118" s="488" t="s">
        <v>755</v>
      </c>
      <c r="L118" s="488"/>
      <c r="M118" s="488" t="s">
        <v>758</v>
      </c>
      <c r="N118" s="488"/>
      <c r="O118" s="488"/>
      <c r="P118" s="488"/>
      <c r="Q118" s="488"/>
      <c r="R118" s="488"/>
      <c r="S118" s="488"/>
      <c r="T118" s="489" t="s">
        <v>325</v>
      </c>
    </row>
    <row r="119" spans="1:20" x14ac:dyDescent="0.3">
      <c r="A119" s="18"/>
      <c r="B119" s="21"/>
      <c r="C119" s="21"/>
      <c r="D119" s="21"/>
      <c r="E119" s="21"/>
      <c r="F119" s="21"/>
      <c r="G119" s="21"/>
      <c r="H119" s="21"/>
      <c r="I119" s="20"/>
      <c r="K119" s="488"/>
      <c r="L119" s="488"/>
      <c r="M119" s="488"/>
      <c r="N119" s="488"/>
      <c r="O119" s="488"/>
      <c r="P119" s="488"/>
      <c r="Q119" s="488"/>
      <c r="R119" s="488"/>
      <c r="S119" s="488"/>
      <c r="T119" s="489"/>
    </row>
    <row r="120" spans="1:20" x14ac:dyDescent="0.3">
      <c r="A120" s="18"/>
      <c r="B120" s="21"/>
      <c r="C120" s="21"/>
      <c r="D120" s="21"/>
      <c r="E120" s="21"/>
      <c r="F120" s="21"/>
      <c r="G120" s="21"/>
      <c r="H120" s="21"/>
      <c r="I120" s="20"/>
      <c r="K120" s="488"/>
      <c r="L120" s="488"/>
      <c r="M120" s="488"/>
      <c r="N120" s="488"/>
      <c r="O120" s="488"/>
      <c r="P120" s="488"/>
      <c r="Q120" s="488"/>
      <c r="R120" s="488"/>
      <c r="S120" s="488"/>
      <c r="T120" s="489"/>
    </row>
    <row r="121" spans="1:20" x14ac:dyDescent="0.3">
      <c r="A121" s="18"/>
      <c r="B121" s="21"/>
      <c r="C121" s="21"/>
      <c r="D121" s="21"/>
      <c r="E121" s="21"/>
      <c r="F121" s="21"/>
      <c r="G121" s="21"/>
      <c r="H121" s="21"/>
      <c r="I121" s="20"/>
      <c r="K121" s="484" t="s">
        <v>756</v>
      </c>
      <c r="L121" s="484"/>
      <c r="M121" s="484" t="s">
        <v>757</v>
      </c>
      <c r="N121" s="484"/>
      <c r="O121" s="484"/>
      <c r="P121" s="484"/>
      <c r="Q121" s="484"/>
      <c r="R121" s="484"/>
      <c r="S121" s="484"/>
      <c r="T121" s="485" t="s">
        <v>326</v>
      </c>
    </row>
    <row r="122" spans="1:20" x14ac:dyDescent="0.3">
      <c r="A122" s="18"/>
      <c r="B122" s="21"/>
      <c r="C122" s="26"/>
      <c r="D122" s="21"/>
      <c r="E122" s="21"/>
      <c r="F122" s="21"/>
      <c r="G122" s="21"/>
      <c r="H122" s="21"/>
      <c r="I122" s="20"/>
      <c r="K122" s="484"/>
      <c r="L122" s="484"/>
      <c r="M122" s="484"/>
      <c r="N122" s="484"/>
      <c r="O122" s="484"/>
      <c r="P122" s="484"/>
      <c r="Q122" s="484"/>
      <c r="R122" s="484"/>
      <c r="S122" s="484"/>
      <c r="T122" s="485"/>
    </row>
    <row r="123" spans="1:20" x14ac:dyDescent="0.3">
      <c r="A123" s="18"/>
      <c r="B123" s="21"/>
      <c r="C123" s="21"/>
      <c r="D123" s="21"/>
      <c r="E123" s="21"/>
      <c r="F123" s="21"/>
      <c r="G123" s="21"/>
      <c r="H123" s="21"/>
      <c r="I123" s="20"/>
      <c r="K123" s="484"/>
      <c r="L123" s="484"/>
      <c r="M123" s="484"/>
      <c r="N123" s="484"/>
      <c r="O123" s="484"/>
      <c r="P123" s="484"/>
      <c r="Q123" s="484"/>
      <c r="R123" s="484"/>
      <c r="S123" s="484"/>
      <c r="T123" s="485"/>
    </row>
    <row r="124" spans="1:20" x14ac:dyDescent="0.3">
      <c r="A124" s="18"/>
      <c r="B124" s="21"/>
      <c r="C124" s="21"/>
      <c r="D124" s="21"/>
      <c r="E124" s="21"/>
      <c r="F124" s="21"/>
      <c r="G124" s="21"/>
      <c r="H124" s="21"/>
      <c r="I124" s="20"/>
      <c r="K124" s="484" t="s">
        <v>814</v>
      </c>
      <c r="L124" s="484"/>
      <c r="M124" s="484" t="s">
        <v>1729</v>
      </c>
      <c r="N124" s="484"/>
      <c r="O124" s="484"/>
      <c r="P124" s="484"/>
      <c r="Q124" s="484"/>
      <c r="R124" s="484"/>
      <c r="S124" s="484"/>
      <c r="T124" s="485" t="s">
        <v>326</v>
      </c>
    </row>
    <row r="125" spans="1:20" x14ac:dyDescent="0.3">
      <c r="A125" s="18"/>
      <c r="B125" s="21"/>
      <c r="C125" s="21"/>
      <c r="D125" s="21"/>
      <c r="E125" s="21"/>
      <c r="F125" s="21"/>
      <c r="G125" s="21"/>
      <c r="H125" s="21"/>
      <c r="I125" s="20"/>
      <c r="K125" s="484"/>
      <c r="L125" s="484"/>
      <c r="M125" s="484"/>
      <c r="N125" s="484"/>
      <c r="O125" s="484"/>
      <c r="P125" s="484"/>
      <c r="Q125" s="484"/>
      <c r="R125" s="484"/>
      <c r="S125" s="484"/>
      <c r="T125" s="485"/>
    </row>
    <row r="126" spans="1:20" x14ac:dyDescent="0.3">
      <c r="A126" s="18"/>
      <c r="B126" s="21"/>
      <c r="C126" s="21"/>
      <c r="D126" s="21"/>
      <c r="E126" s="21"/>
      <c r="F126" s="21"/>
      <c r="G126" s="21"/>
      <c r="H126" s="21"/>
      <c r="I126" s="20"/>
      <c r="K126" s="484"/>
      <c r="L126" s="484"/>
      <c r="M126" s="484"/>
      <c r="N126" s="484"/>
      <c r="O126" s="484"/>
      <c r="P126" s="484"/>
      <c r="Q126" s="484"/>
      <c r="R126" s="484"/>
      <c r="S126" s="484"/>
      <c r="T126" s="485"/>
    </row>
    <row r="127" spans="1:20" ht="15" customHeight="1" x14ac:dyDescent="0.3">
      <c r="A127" s="18"/>
      <c r="B127" s="21"/>
      <c r="C127" s="21"/>
      <c r="D127" s="21"/>
      <c r="E127" s="21"/>
      <c r="F127" s="21"/>
      <c r="G127" s="21"/>
      <c r="H127" s="21"/>
      <c r="I127" s="20"/>
      <c r="K127" s="496" t="s">
        <v>2299</v>
      </c>
      <c r="L127" s="497"/>
      <c r="M127" s="496" t="s">
        <v>3088</v>
      </c>
      <c r="N127" s="502"/>
      <c r="O127" s="502"/>
      <c r="P127" s="502"/>
      <c r="Q127" s="502"/>
      <c r="R127" s="502"/>
      <c r="S127" s="497"/>
      <c r="T127" s="505" t="s">
        <v>326</v>
      </c>
    </row>
    <row r="128" spans="1:20" x14ac:dyDescent="0.3">
      <c r="A128" s="18"/>
      <c r="B128" s="21"/>
      <c r="C128" s="21"/>
      <c r="D128" s="21"/>
      <c r="E128" s="21"/>
      <c r="F128" s="21"/>
      <c r="G128" s="21"/>
      <c r="H128" s="21"/>
      <c r="I128" s="20"/>
      <c r="K128" s="498"/>
      <c r="L128" s="499"/>
      <c r="M128" s="498"/>
      <c r="N128" s="503"/>
      <c r="O128" s="503"/>
      <c r="P128" s="503"/>
      <c r="Q128" s="503"/>
      <c r="R128" s="503"/>
      <c r="S128" s="499"/>
      <c r="T128" s="506"/>
    </row>
    <row r="129" spans="1:20" x14ac:dyDescent="0.3">
      <c r="A129" s="18"/>
      <c r="B129" s="21"/>
      <c r="C129" s="21"/>
      <c r="D129" s="21"/>
      <c r="E129" s="21"/>
      <c r="F129" s="21"/>
      <c r="G129" s="21"/>
      <c r="H129" s="21"/>
      <c r="I129" s="20"/>
      <c r="K129" s="500"/>
      <c r="L129" s="501"/>
      <c r="M129" s="500"/>
      <c r="N129" s="504"/>
      <c r="O129" s="504"/>
      <c r="P129" s="504"/>
      <c r="Q129" s="504"/>
      <c r="R129" s="504"/>
      <c r="S129" s="501"/>
      <c r="T129" s="507"/>
    </row>
    <row r="130" spans="1:20" x14ac:dyDescent="0.3">
      <c r="A130" s="18"/>
      <c r="B130" s="21"/>
      <c r="C130" s="21"/>
      <c r="D130" s="21"/>
      <c r="E130" s="21"/>
      <c r="F130" s="21"/>
      <c r="G130" s="21"/>
      <c r="H130" s="21"/>
      <c r="I130" s="20"/>
      <c r="K130" s="126" t="s">
        <v>328</v>
      </c>
    </row>
    <row r="131" spans="1:20" x14ac:dyDescent="0.3">
      <c r="A131" s="18"/>
      <c r="B131" s="21"/>
      <c r="C131" s="21"/>
      <c r="D131" s="21"/>
      <c r="E131" s="21"/>
      <c r="F131" s="21"/>
      <c r="G131" s="21"/>
      <c r="H131" s="21"/>
      <c r="I131" s="20"/>
    </row>
    <row r="132" spans="1:20" x14ac:dyDescent="0.3">
      <c r="A132" s="18"/>
      <c r="B132" s="21"/>
      <c r="C132" s="21"/>
      <c r="D132" s="21"/>
      <c r="E132" s="21"/>
      <c r="F132" s="21"/>
      <c r="G132" s="21"/>
      <c r="H132" s="21"/>
      <c r="I132" s="20"/>
    </row>
    <row r="133" spans="1:20" x14ac:dyDescent="0.3">
      <c r="A133" s="18"/>
      <c r="B133" s="21"/>
      <c r="C133" s="21"/>
      <c r="D133" s="21"/>
      <c r="E133" s="21"/>
      <c r="F133" s="21"/>
      <c r="G133" s="21"/>
      <c r="H133" s="21"/>
      <c r="I133" s="20"/>
      <c r="K133" s="486" t="s">
        <v>3385</v>
      </c>
      <c r="L133" s="486"/>
      <c r="M133" s="486"/>
      <c r="N133" s="486"/>
      <c r="O133" s="486"/>
      <c r="P133" s="486"/>
      <c r="Q133" s="486"/>
      <c r="R133" s="486"/>
      <c r="S133" s="486"/>
      <c r="T133" s="486"/>
    </row>
    <row r="134" spans="1:20" x14ac:dyDescent="0.3">
      <c r="A134" s="18"/>
      <c r="B134" s="21"/>
      <c r="C134" s="21"/>
      <c r="D134" s="21"/>
      <c r="E134" s="21"/>
      <c r="F134" s="21"/>
      <c r="G134" s="21"/>
      <c r="H134" s="21"/>
      <c r="I134" s="20"/>
      <c r="K134" s="487" t="s">
        <v>333</v>
      </c>
      <c r="L134" s="487"/>
      <c r="M134" s="487" t="s">
        <v>981</v>
      </c>
      <c r="N134" s="487"/>
      <c r="O134" s="487"/>
      <c r="P134" s="487"/>
      <c r="Q134" s="487"/>
      <c r="R134" s="487"/>
      <c r="S134" s="487"/>
      <c r="T134" s="487"/>
    </row>
    <row r="135" spans="1:20" x14ac:dyDescent="0.3">
      <c r="A135" s="18"/>
      <c r="B135" s="21"/>
      <c r="C135" s="21"/>
      <c r="D135" s="21"/>
      <c r="E135" s="21"/>
      <c r="F135" s="21"/>
      <c r="G135" s="21"/>
      <c r="H135" s="21"/>
      <c r="I135" s="20"/>
      <c r="K135" s="487"/>
      <c r="L135" s="487"/>
      <c r="M135" s="487"/>
      <c r="N135" s="487"/>
      <c r="O135" s="487"/>
      <c r="P135" s="487"/>
      <c r="Q135" s="487"/>
      <c r="R135" s="487"/>
      <c r="S135" s="487"/>
      <c r="T135" s="487"/>
    </row>
    <row r="136" spans="1:20" x14ac:dyDescent="0.3">
      <c r="A136" s="18"/>
      <c r="B136" s="58" t="s">
        <v>3383</v>
      </c>
      <c r="C136" s="150" t="s">
        <v>3384</v>
      </c>
      <c r="D136" s="21"/>
      <c r="E136" s="21"/>
      <c r="F136" s="21"/>
      <c r="G136" s="21"/>
      <c r="H136" s="21"/>
      <c r="I136" s="20"/>
      <c r="K136" s="487"/>
      <c r="L136" s="487"/>
      <c r="M136" s="487"/>
      <c r="N136" s="487"/>
      <c r="O136" s="487"/>
      <c r="P136" s="487"/>
      <c r="Q136" s="487"/>
      <c r="R136" s="487"/>
      <c r="S136" s="487"/>
      <c r="T136" s="487"/>
    </row>
    <row r="137" spans="1:20" x14ac:dyDescent="0.3">
      <c r="A137" s="18"/>
      <c r="B137" s="21"/>
      <c r="C137" s="21"/>
      <c r="D137" s="21"/>
      <c r="E137" s="21"/>
      <c r="F137" s="21"/>
      <c r="G137" s="21"/>
      <c r="H137" s="21"/>
      <c r="I137" s="20"/>
      <c r="K137" s="483" t="s">
        <v>323</v>
      </c>
      <c r="L137" s="483"/>
      <c r="M137" s="483" t="s">
        <v>1</v>
      </c>
      <c r="N137" s="483"/>
      <c r="O137" s="483"/>
      <c r="P137" s="483"/>
      <c r="Q137" s="483"/>
      <c r="R137" s="483"/>
      <c r="S137" s="483"/>
      <c r="T137" s="85" t="s">
        <v>324</v>
      </c>
    </row>
    <row r="138" spans="1:20" x14ac:dyDescent="0.3">
      <c r="A138" s="18"/>
      <c r="B138" s="3" t="s">
        <v>1152</v>
      </c>
      <c r="C138" s="3" t="s">
        <v>1153</v>
      </c>
      <c r="D138" s="21"/>
      <c r="E138" s="21"/>
      <c r="F138" s="21"/>
      <c r="G138" s="21"/>
      <c r="H138" s="21"/>
      <c r="I138" s="20"/>
      <c r="K138" s="488" t="s">
        <v>740</v>
      </c>
      <c r="L138" s="488"/>
      <c r="M138" s="488" t="s">
        <v>763</v>
      </c>
      <c r="N138" s="488"/>
      <c r="O138" s="488"/>
      <c r="P138" s="488"/>
      <c r="Q138" s="488"/>
      <c r="R138" s="488"/>
      <c r="S138" s="488"/>
      <c r="T138" s="489" t="s">
        <v>325</v>
      </c>
    </row>
    <row r="139" spans="1:20" x14ac:dyDescent="0.3">
      <c r="A139" s="18"/>
      <c r="B139" s="30" t="s">
        <v>1154</v>
      </c>
      <c r="C139" s="30" t="s">
        <v>1156</v>
      </c>
      <c r="D139" s="21"/>
      <c r="E139" s="21"/>
      <c r="F139" s="21"/>
      <c r="G139" s="21"/>
      <c r="H139" s="21"/>
      <c r="I139" s="20"/>
      <c r="K139" s="488"/>
      <c r="L139" s="488"/>
      <c r="M139" s="488"/>
      <c r="N139" s="488"/>
      <c r="O139" s="488"/>
      <c r="P139" s="488"/>
      <c r="Q139" s="488"/>
      <c r="R139" s="488"/>
      <c r="S139" s="488"/>
      <c r="T139" s="489"/>
    </row>
    <row r="140" spans="1:20" x14ac:dyDescent="0.3">
      <c r="A140" s="18"/>
      <c r="B140" s="30" t="s">
        <v>1155</v>
      </c>
      <c r="C140" s="30" t="s">
        <v>1157</v>
      </c>
      <c r="D140" s="21"/>
      <c r="E140" s="21"/>
      <c r="F140" s="21"/>
      <c r="G140" s="21"/>
      <c r="H140" s="21"/>
      <c r="I140" s="20"/>
      <c r="K140" s="488"/>
      <c r="L140" s="488"/>
      <c r="M140" s="488"/>
      <c r="N140" s="488"/>
      <c r="O140" s="488"/>
      <c r="P140" s="488"/>
      <c r="Q140" s="488"/>
      <c r="R140" s="488"/>
      <c r="S140" s="488"/>
      <c r="T140" s="489"/>
    </row>
    <row r="141" spans="1:20" x14ac:dyDescent="0.3">
      <c r="A141" s="18"/>
      <c r="B141" s="30" t="s">
        <v>1154</v>
      </c>
      <c r="C141" s="30" t="s">
        <v>1158</v>
      </c>
      <c r="D141" s="21"/>
      <c r="E141" s="21"/>
      <c r="F141" s="21"/>
      <c r="G141" s="21"/>
      <c r="H141" s="21"/>
      <c r="I141" s="20"/>
      <c r="K141" s="484" t="s">
        <v>1372</v>
      </c>
      <c r="L141" s="484"/>
      <c r="M141" s="484" t="s">
        <v>3386</v>
      </c>
      <c r="N141" s="484"/>
      <c r="O141" s="484"/>
      <c r="P141" s="484"/>
      <c r="Q141" s="484"/>
      <c r="R141" s="484"/>
      <c r="S141" s="484"/>
      <c r="T141" s="485" t="s">
        <v>326</v>
      </c>
    </row>
    <row r="142" spans="1:20" x14ac:dyDescent="0.3">
      <c r="A142" s="18"/>
      <c r="B142" s="21"/>
      <c r="C142" s="21"/>
      <c r="D142" s="21"/>
      <c r="E142" s="21"/>
      <c r="F142" s="21"/>
      <c r="G142" s="21"/>
      <c r="H142" s="21"/>
      <c r="I142" s="20"/>
      <c r="K142" s="484"/>
      <c r="L142" s="484"/>
      <c r="M142" s="484"/>
      <c r="N142" s="484"/>
      <c r="O142" s="484"/>
      <c r="P142" s="484"/>
      <c r="Q142" s="484"/>
      <c r="R142" s="484"/>
      <c r="S142" s="484"/>
      <c r="T142" s="485"/>
    </row>
    <row r="143" spans="1:20" x14ac:dyDescent="0.3">
      <c r="A143" s="21"/>
      <c r="B143" s="21"/>
      <c r="C143" s="21"/>
      <c r="D143" s="21"/>
      <c r="E143" s="21"/>
      <c r="F143" s="21"/>
      <c r="G143" s="21"/>
      <c r="H143" s="21"/>
      <c r="I143" s="20"/>
      <c r="K143" s="484"/>
      <c r="L143" s="484"/>
      <c r="M143" s="484"/>
      <c r="N143" s="484"/>
      <c r="O143" s="484"/>
      <c r="P143" s="484"/>
      <c r="Q143" s="484"/>
      <c r="R143" s="484"/>
      <c r="S143" s="484"/>
      <c r="T143" s="485"/>
    </row>
    <row r="144" spans="1:20" ht="63" customHeight="1" x14ac:dyDescent="0.3">
      <c r="A144" s="21"/>
      <c r="B144" s="21"/>
      <c r="C144" s="21"/>
      <c r="D144" s="21"/>
      <c r="E144" s="21"/>
      <c r="F144" s="21"/>
      <c r="G144" s="21"/>
      <c r="H144" s="21"/>
      <c r="I144" s="20"/>
      <c r="K144" s="484" t="s">
        <v>2455</v>
      </c>
      <c r="L144" s="484"/>
      <c r="M144" s="484" t="s">
        <v>3388</v>
      </c>
      <c r="N144" s="484"/>
      <c r="O144" s="484"/>
      <c r="P144" s="484"/>
      <c r="Q144" s="484"/>
      <c r="R144" s="484"/>
      <c r="S144" s="484"/>
      <c r="T144" s="485" t="s">
        <v>326</v>
      </c>
    </row>
    <row r="145" spans="1:20" x14ac:dyDescent="0.3">
      <c r="A145" s="21"/>
      <c r="B145" s="21"/>
      <c r="C145" s="21"/>
      <c r="D145" s="21"/>
      <c r="E145" s="21"/>
      <c r="F145" s="21"/>
      <c r="G145" s="21"/>
      <c r="H145" s="21"/>
      <c r="I145" s="20"/>
      <c r="K145" s="484"/>
      <c r="L145" s="484"/>
      <c r="M145" s="484"/>
      <c r="N145" s="484"/>
      <c r="O145" s="484"/>
      <c r="P145" s="484"/>
      <c r="Q145" s="484"/>
      <c r="R145" s="484"/>
      <c r="S145" s="484"/>
      <c r="T145" s="485"/>
    </row>
    <row r="146" spans="1:20" x14ac:dyDescent="0.3">
      <c r="A146" s="21"/>
      <c r="B146" s="58" t="s">
        <v>3383</v>
      </c>
      <c r="C146" s="150" t="s">
        <v>3387</v>
      </c>
      <c r="D146" s="21"/>
      <c r="E146" s="21"/>
      <c r="F146" s="21"/>
      <c r="G146" s="21"/>
      <c r="H146" s="21"/>
      <c r="I146" s="20"/>
      <c r="K146" s="484"/>
      <c r="L146" s="484"/>
      <c r="M146" s="484"/>
      <c r="N146" s="484"/>
      <c r="O146" s="484"/>
      <c r="P146" s="484"/>
      <c r="Q146" s="484"/>
      <c r="R146" s="484"/>
      <c r="S146" s="484"/>
      <c r="T146" s="485"/>
    </row>
    <row r="147" spans="1:20" ht="15" customHeight="1" x14ac:dyDescent="0.3">
      <c r="A147" s="21"/>
      <c r="B147" s="21"/>
      <c r="C147" s="21"/>
      <c r="D147" s="21"/>
      <c r="E147" s="21"/>
      <c r="F147" s="21"/>
      <c r="G147" s="21"/>
      <c r="H147" s="21"/>
      <c r="I147" s="20"/>
      <c r="K147" s="496" t="s">
        <v>2299</v>
      </c>
      <c r="L147" s="497"/>
      <c r="M147" s="496" t="s">
        <v>3088</v>
      </c>
      <c r="N147" s="502"/>
      <c r="O147" s="502"/>
      <c r="P147" s="502"/>
      <c r="Q147" s="502"/>
      <c r="R147" s="502"/>
      <c r="S147" s="497"/>
      <c r="T147" s="505" t="s">
        <v>326</v>
      </c>
    </row>
    <row r="148" spans="1:20" x14ac:dyDescent="0.3">
      <c r="A148" s="21"/>
      <c r="B148" s="494" t="s">
        <v>2216</v>
      </c>
      <c r="C148" s="527"/>
      <c r="D148" s="495"/>
      <c r="E148" s="21"/>
      <c r="F148" s="21"/>
      <c r="G148" s="21"/>
      <c r="H148" s="21"/>
      <c r="I148" s="20"/>
      <c r="K148" s="498"/>
      <c r="L148" s="499"/>
      <c r="M148" s="498"/>
      <c r="N148" s="503"/>
      <c r="O148" s="503"/>
      <c r="P148" s="503"/>
      <c r="Q148" s="503"/>
      <c r="R148" s="503"/>
      <c r="S148" s="499"/>
      <c r="T148" s="506"/>
    </row>
    <row r="149" spans="1:20" x14ac:dyDescent="0.3">
      <c r="A149" s="21"/>
      <c r="B149" s="524" t="s">
        <v>2217</v>
      </c>
      <c r="C149" s="525"/>
      <c r="D149" s="526"/>
      <c r="E149" s="21"/>
      <c r="F149" s="21"/>
      <c r="G149" s="21"/>
      <c r="H149" s="21"/>
      <c r="I149" s="20"/>
      <c r="K149" s="500"/>
      <c r="L149" s="501"/>
      <c r="M149" s="500"/>
      <c r="N149" s="504"/>
      <c r="O149" s="504"/>
      <c r="P149" s="504"/>
      <c r="Q149" s="504"/>
      <c r="R149" s="504"/>
      <c r="S149" s="501"/>
      <c r="T149" s="507"/>
    </row>
    <row r="150" spans="1:20" x14ac:dyDescent="0.3">
      <c r="A150" s="21"/>
      <c r="B150" s="21"/>
      <c r="C150" s="21"/>
      <c r="D150" s="21"/>
      <c r="E150" s="21"/>
      <c r="F150" s="21"/>
      <c r="G150" s="21"/>
      <c r="H150" s="21"/>
      <c r="I150" s="20"/>
      <c r="K150" s="126" t="s">
        <v>328</v>
      </c>
    </row>
    <row r="151" spans="1:20" x14ac:dyDescent="0.3">
      <c r="A151" s="21"/>
      <c r="B151" s="21"/>
      <c r="C151" s="21"/>
      <c r="D151" s="21"/>
      <c r="E151" s="21"/>
      <c r="F151" s="21"/>
      <c r="G151" s="21"/>
      <c r="H151" s="21"/>
      <c r="I151" s="20"/>
    </row>
    <row r="152" spans="1:20" x14ac:dyDescent="0.3">
      <c r="A152" s="21"/>
      <c r="B152" s="21"/>
      <c r="C152" s="21"/>
      <c r="D152" s="21"/>
      <c r="E152" s="21"/>
      <c r="F152" s="21"/>
      <c r="G152" s="21"/>
      <c r="H152" s="21"/>
      <c r="I152" s="20"/>
    </row>
    <row r="153" spans="1:20" x14ac:dyDescent="0.3">
      <c r="A153" s="21"/>
      <c r="B153" s="21"/>
      <c r="C153" s="21"/>
      <c r="D153" s="21"/>
      <c r="E153" s="21"/>
      <c r="F153" s="21"/>
      <c r="G153" s="21"/>
      <c r="H153" s="21"/>
      <c r="I153" s="20"/>
    </row>
    <row r="154" spans="1:20" x14ac:dyDescent="0.3">
      <c r="A154" s="21"/>
      <c r="B154" s="21"/>
      <c r="C154" s="21"/>
      <c r="D154" s="21"/>
      <c r="E154" s="21"/>
      <c r="F154" s="21"/>
      <c r="G154" s="21"/>
      <c r="H154" s="21"/>
      <c r="I154" s="20"/>
    </row>
    <row r="155" spans="1:20" x14ac:dyDescent="0.3">
      <c r="A155" s="21"/>
      <c r="B155" s="21"/>
      <c r="C155" s="21"/>
      <c r="D155" s="21"/>
      <c r="E155" s="21"/>
      <c r="F155" s="21"/>
      <c r="G155" s="21"/>
      <c r="H155" s="21"/>
      <c r="I155" s="20"/>
    </row>
    <row r="156" spans="1:20" x14ac:dyDescent="0.3">
      <c r="A156" s="521" t="s">
        <v>759</v>
      </c>
      <c r="B156" s="522"/>
      <c r="C156" s="522"/>
      <c r="D156" s="522"/>
      <c r="E156" s="522"/>
      <c r="F156" s="522"/>
      <c r="G156" s="523"/>
      <c r="H156" s="21"/>
      <c r="I156" s="20"/>
    </row>
    <row r="157" spans="1:20" x14ac:dyDescent="0.3">
      <c r="A157" s="18"/>
      <c r="B157" s="21"/>
      <c r="C157" s="21"/>
      <c r="D157" s="21"/>
      <c r="E157" s="21"/>
      <c r="F157" s="21"/>
      <c r="G157" s="21"/>
      <c r="H157" s="21"/>
      <c r="I157" s="20"/>
    </row>
    <row r="158" spans="1:20" x14ac:dyDescent="0.3">
      <c r="A158" s="18"/>
      <c r="B158" s="58" t="s">
        <v>3385</v>
      </c>
      <c r="C158" s="150" t="s">
        <v>3389</v>
      </c>
      <c r="D158" s="21"/>
      <c r="E158" s="21"/>
      <c r="F158" s="21"/>
      <c r="G158" s="21"/>
      <c r="H158" s="21"/>
      <c r="I158" s="20"/>
    </row>
    <row r="159" spans="1:20" x14ac:dyDescent="0.3">
      <c r="A159" s="18"/>
      <c r="B159" s="21"/>
      <c r="C159" s="21"/>
      <c r="D159" s="21"/>
      <c r="E159" s="21"/>
      <c r="F159" s="21"/>
      <c r="G159" s="21"/>
      <c r="H159" s="21"/>
      <c r="I159" s="20"/>
    </row>
    <row r="160" spans="1:20" x14ac:dyDescent="0.3">
      <c r="A160" s="18"/>
      <c r="B160" s="3" t="s">
        <v>736</v>
      </c>
      <c r="C160" s="168" t="s">
        <v>760</v>
      </c>
      <c r="D160" s="21"/>
      <c r="E160" s="21"/>
      <c r="F160" s="21"/>
      <c r="G160" s="21"/>
      <c r="H160" s="21"/>
      <c r="I160" s="20"/>
    </row>
    <row r="161" spans="1:9" x14ac:dyDescent="0.3">
      <c r="A161" s="18"/>
      <c r="B161" s="21"/>
      <c r="C161" s="21"/>
      <c r="D161" s="21"/>
      <c r="E161" s="21"/>
      <c r="F161" s="21"/>
      <c r="G161" s="21"/>
      <c r="H161" s="21"/>
      <c r="I161" s="20"/>
    </row>
    <row r="162" spans="1:9" x14ac:dyDescent="0.3">
      <c r="A162" s="18"/>
      <c r="B162" s="21"/>
      <c r="C162" s="21"/>
      <c r="D162" s="21"/>
      <c r="E162" s="21"/>
      <c r="F162" s="21"/>
      <c r="G162" s="21"/>
      <c r="H162" s="21"/>
      <c r="I162" s="20"/>
    </row>
    <row r="163" spans="1:9" x14ac:dyDescent="0.3">
      <c r="A163" s="18"/>
      <c r="B163" s="21"/>
      <c r="C163" s="21"/>
      <c r="D163" s="21"/>
      <c r="E163" s="21"/>
      <c r="F163" s="21"/>
      <c r="G163" s="21"/>
      <c r="H163" s="21"/>
      <c r="I163" s="20"/>
    </row>
    <row r="164" spans="1:9" x14ac:dyDescent="0.3">
      <c r="A164" s="18"/>
      <c r="B164" s="21"/>
      <c r="C164" s="21"/>
      <c r="D164" s="21"/>
      <c r="E164" s="21"/>
      <c r="F164" s="21"/>
      <c r="G164" s="21"/>
      <c r="H164" s="21"/>
      <c r="I164" s="20"/>
    </row>
    <row r="165" spans="1:9" x14ac:dyDescent="0.3">
      <c r="A165" s="18"/>
      <c r="B165" s="21"/>
      <c r="C165" s="21"/>
      <c r="D165" s="21"/>
      <c r="E165" s="21"/>
      <c r="F165" s="21"/>
      <c r="G165" s="21"/>
      <c r="H165" s="21"/>
      <c r="I165" s="20"/>
    </row>
    <row r="166" spans="1:9" x14ac:dyDescent="0.3">
      <c r="A166" s="18"/>
      <c r="B166" s="21"/>
      <c r="C166" s="21"/>
      <c r="D166" s="21"/>
      <c r="E166" s="21"/>
      <c r="F166" s="21"/>
      <c r="G166" s="21"/>
      <c r="H166" s="21"/>
      <c r="I166" s="20"/>
    </row>
    <row r="167" spans="1:9" x14ac:dyDescent="0.3">
      <c r="A167" s="18"/>
      <c r="B167" s="21"/>
      <c r="C167" s="21"/>
      <c r="D167" s="21"/>
      <c r="E167" s="21"/>
      <c r="F167" s="21"/>
      <c r="G167" s="21"/>
      <c r="H167" s="21"/>
      <c r="I167" s="20"/>
    </row>
    <row r="168" spans="1:9" x14ac:dyDescent="0.3">
      <c r="A168" s="18"/>
      <c r="B168" s="21"/>
      <c r="C168" s="21"/>
      <c r="D168" s="21"/>
      <c r="E168" s="21"/>
      <c r="F168" s="21"/>
      <c r="G168" s="21"/>
      <c r="H168" s="21"/>
      <c r="I168" s="20"/>
    </row>
    <row r="169" spans="1:9" x14ac:dyDescent="0.3">
      <c r="A169" s="18"/>
      <c r="B169" s="21"/>
      <c r="C169" s="21"/>
      <c r="D169" s="21"/>
      <c r="E169" s="21"/>
      <c r="F169" s="21"/>
      <c r="G169" s="21"/>
      <c r="H169" s="21"/>
      <c r="I169" s="20"/>
    </row>
    <row r="170" spans="1:9" ht="15" thickBot="1" x14ac:dyDescent="0.35">
      <c r="A170" s="22"/>
      <c r="B170" s="23"/>
      <c r="C170" s="23"/>
      <c r="D170" s="23"/>
      <c r="E170" s="23"/>
      <c r="F170" s="23"/>
      <c r="G170" s="23"/>
      <c r="H170" s="23"/>
      <c r="I170" s="24"/>
    </row>
  </sheetData>
  <mergeCells count="140">
    <mergeCell ref="K35:L37"/>
    <mergeCell ref="M35:S37"/>
    <mergeCell ref="T35:T37"/>
    <mergeCell ref="K90:L92"/>
    <mergeCell ref="M90:S92"/>
    <mergeCell ref="T90:T92"/>
    <mergeCell ref="K127:L129"/>
    <mergeCell ref="M127:S129"/>
    <mergeCell ref="T127:T129"/>
    <mergeCell ref="K49:L51"/>
    <mergeCell ref="M49:S51"/>
    <mergeCell ref="T49:T51"/>
    <mergeCell ref="K52:L54"/>
    <mergeCell ref="M52:S54"/>
    <mergeCell ref="T52:T54"/>
    <mergeCell ref="K61:L63"/>
    <mergeCell ref="M61:S63"/>
    <mergeCell ref="T61:T63"/>
    <mergeCell ref="K55:L57"/>
    <mergeCell ref="M55:S57"/>
    <mergeCell ref="T55:T57"/>
    <mergeCell ref="K58:L60"/>
    <mergeCell ref="M58:S60"/>
    <mergeCell ref="T58:T60"/>
    <mergeCell ref="A46:G46"/>
    <mergeCell ref="K42:L44"/>
    <mergeCell ref="M42:T44"/>
    <mergeCell ref="K45:L45"/>
    <mergeCell ref="M45:S45"/>
    <mergeCell ref="K41:T41"/>
    <mergeCell ref="K46:L48"/>
    <mergeCell ref="M46:S48"/>
    <mergeCell ref="T46:T48"/>
    <mergeCell ref="K26:L28"/>
    <mergeCell ref="K29:L31"/>
    <mergeCell ref="M29:S31"/>
    <mergeCell ref="M20:S22"/>
    <mergeCell ref="T20:T22"/>
    <mergeCell ref="K23:L25"/>
    <mergeCell ref="M23:S25"/>
    <mergeCell ref="T23:T25"/>
    <mergeCell ref="M8:S10"/>
    <mergeCell ref="T8:T10"/>
    <mergeCell ref="A93:G93"/>
    <mergeCell ref="K67:T67"/>
    <mergeCell ref="K68:L70"/>
    <mergeCell ref="M68:T70"/>
    <mergeCell ref="K71:L71"/>
    <mergeCell ref="M71:S71"/>
    <mergeCell ref="K72:L74"/>
    <mergeCell ref="M72:S74"/>
    <mergeCell ref="T72:T74"/>
    <mergeCell ref="K75:L77"/>
    <mergeCell ref="M75:S77"/>
    <mergeCell ref="T75:T77"/>
    <mergeCell ref="K78:L80"/>
    <mergeCell ref="M78:S80"/>
    <mergeCell ref="T78:T80"/>
    <mergeCell ref="K81:L83"/>
    <mergeCell ref="M81:S83"/>
    <mergeCell ref="T81:T83"/>
    <mergeCell ref="A3:G3"/>
    <mergeCell ref="A68:G68"/>
    <mergeCell ref="K14:L16"/>
    <mergeCell ref="M14:S16"/>
    <mergeCell ref="T17:T19"/>
    <mergeCell ref="K20:L22"/>
    <mergeCell ref="K3:T3"/>
    <mergeCell ref="K4:L6"/>
    <mergeCell ref="M4:T6"/>
    <mergeCell ref="K7:L7"/>
    <mergeCell ref="M7:S7"/>
    <mergeCell ref="K11:L13"/>
    <mergeCell ref="M11:S13"/>
    <mergeCell ref="T11:T13"/>
    <mergeCell ref="K17:L19"/>
    <mergeCell ref="M17:S19"/>
    <mergeCell ref="T14:T16"/>
    <mergeCell ref="K8:L10"/>
    <mergeCell ref="M26:S28"/>
    <mergeCell ref="T26:T28"/>
    <mergeCell ref="T29:T31"/>
    <mergeCell ref="K32:L34"/>
    <mergeCell ref="M32:S34"/>
    <mergeCell ref="T32:T34"/>
    <mergeCell ref="K96:T96"/>
    <mergeCell ref="K97:L99"/>
    <mergeCell ref="M97:T99"/>
    <mergeCell ref="K100:L100"/>
    <mergeCell ref="M100:S100"/>
    <mergeCell ref="K84:L86"/>
    <mergeCell ref="M84:S86"/>
    <mergeCell ref="T84:T86"/>
    <mergeCell ref="K87:L89"/>
    <mergeCell ref="M87:S89"/>
    <mergeCell ref="T87:T89"/>
    <mergeCell ref="K107:L109"/>
    <mergeCell ref="M107:S109"/>
    <mergeCell ref="T107:T109"/>
    <mergeCell ref="A112:G112"/>
    <mergeCell ref="K113:T113"/>
    <mergeCell ref="K101:L103"/>
    <mergeCell ref="M101:S103"/>
    <mergeCell ref="T101:T103"/>
    <mergeCell ref="K104:L106"/>
    <mergeCell ref="M104:S106"/>
    <mergeCell ref="T104:T106"/>
    <mergeCell ref="K114:L116"/>
    <mergeCell ref="M114:T116"/>
    <mergeCell ref="K117:L117"/>
    <mergeCell ref="M117:S117"/>
    <mergeCell ref="K118:L120"/>
    <mergeCell ref="M118:S120"/>
    <mergeCell ref="T118:T120"/>
    <mergeCell ref="K121:L123"/>
    <mergeCell ref="M121:S123"/>
    <mergeCell ref="T121:T123"/>
    <mergeCell ref="K137:L137"/>
    <mergeCell ref="M137:S137"/>
    <mergeCell ref="K144:L146"/>
    <mergeCell ref="M144:S146"/>
    <mergeCell ref="T144:T146"/>
    <mergeCell ref="K124:L126"/>
    <mergeCell ref="M124:S126"/>
    <mergeCell ref="T124:T126"/>
    <mergeCell ref="A156:G156"/>
    <mergeCell ref="K133:T133"/>
    <mergeCell ref="K134:L136"/>
    <mergeCell ref="M134:T136"/>
    <mergeCell ref="K138:L140"/>
    <mergeCell ref="M138:S140"/>
    <mergeCell ref="T138:T140"/>
    <mergeCell ref="K141:L143"/>
    <mergeCell ref="M141:S143"/>
    <mergeCell ref="T141:T143"/>
    <mergeCell ref="B149:D149"/>
    <mergeCell ref="B148:D148"/>
    <mergeCell ref="K147:L149"/>
    <mergeCell ref="M147:S149"/>
    <mergeCell ref="T147:T149"/>
  </mergeCells>
  <hyperlinks>
    <hyperlink ref="C10" r:id="rId1" xr:uid="{00000000-0004-0000-0400-000000000000}"/>
    <hyperlink ref="C11" r:id="rId2" xr:uid="{00000000-0004-0000-0400-000001000000}"/>
  </hyperlinks>
  <pageMargins left="0.7" right="0.7" top="0.75" bottom="0.75" header="0.3" footer="0.3"/>
  <pageSetup orientation="portrait" r:id="rId3"/>
  <drawing r:id="rId4"/>
  <legacyDrawing r:id="rId5"/>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0"/>
  <dimension ref="A1:Z71"/>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22.77734375" customWidth="1"/>
    <col min="4" max="4" width="17.44140625" customWidth="1"/>
    <col min="5" max="5" width="18.77734375" bestFit="1" customWidth="1"/>
    <col min="6" max="6" width="16.77734375" customWidth="1"/>
    <col min="10" max="11" width="11.77734375" customWidth="1"/>
    <col min="17" max="18" width="11" customWidth="1"/>
    <col min="19" max="25" width="16.21875" customWidth="1"/>
  </cols>
  <sheetData>
    <row r="1" spans="1:26" ht="34.5" customHeight="1" thickBot="1" x14ac:dyDescent="0.35">
      <c r="A1" s="292" t="s">
        <v>1580</v>
      </c>
      <c r="B1" s="473" t="e" vm="1">
        <v>#VALUE!</v>
      </c>
      <c r="C1" s="8" t="s">
        <v>1191</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3550</v>
      </c>
      <c r="R3" s="486"/>
      <c r="S3" s="486"/>
      <c r="T3" s="486"/>
      <c r="U3" s="486"/>
      <c r="V3" s="486"/>
      <c r="W3" s="486"/>
      <c r="X3" s="486"/>
      <c r="Y3" s="486"/>
      <c r="Z3" s="486"/>
    </row>
    <row r="4" spans="1:26" x14ac:dyDescent="0.3">
      <c r="A4" s="18"/>
      <c r="B4" s="101" t="s">
        <v>1192</v>
      </c>
      <c r="C4" s="21"/>
      <c r="D4" s="21"/>
      <c r="E4" s="179" t="s">
        <v>3550</v>
      </c>
      <c r="F4" s="21"/>
      <c r="G4" s="21"/>
      <c r="H4" s="21"/>
      <c r="I4" s="21"/>
      <c r="J4" s="21"/>
      <c r="K4" s="159"/>
      <c r="L4" s="21"/>
      <c r="M4" s="21"/>
      <c r="N4" s="21"/>
      <c r="O4" s="20"/>
      <c r="Q4" s="487" t="s">
        <v>333</v>
      </c>
      <c r="R4" s="487"/>
      <c r="S4" s="487" t="s">
        <v>1195</v>
      </c>
      <c r="T4" s="487"/>
      <c r="U4" s="487"/>
      <c r="V4" s="487"/>
      <c r="W4" s="487"/>
      <c r="X4" s="487"/>
      <c r="Y4" s="487"/>
      <c r="Z4" s="487"/>
    </row>
    <row r="5" spans="1:26" x14ac:dyDescent="0.3">
      <c r="A5" s="18"/>
      <c r="B5" s="247"/>
      <c r="C5" s="21"/>
      <c r="D5" s="21"/>
      <c r="E5" s="249" t="str" cm="1">
        <f t="array" ref="E5">IF(B5="","Waiting",_xll.U.PASTE(_xll.U.VAPPEND(_xll.U.CLEAR(B5),_xll.U.REGION(B8)),B8))</f>
        <v>Waiting</v>
      </c>
      <c r="F5" s="21"/>
      <c r="G5" s="21"/>
      <c r="H5" s="21"/>
      <c r="I5" s="21"/>
      <c r="J5" s="21"/>
      <c r="K5" s="159"/>
      <c r="L5" s="21"/>
      <c r="M5" s="21"/>
      <c r="N5" s="21"/>
      <c r="O5" s="20"/>
      <c r="Q5" s="487"/>
      <c r="R5" s="487"/>
      <c r="S5" s="487"/>
      <c r="T5" s="487"/>
      <c r="U5" s="487"/>
      <c r="V5" s="487"/>
      <c r="W5" s="487"/>
      <c r="X5" s="487"/>
      <c r="Y5" s="487"/>
      <c r="Z5" s="487"/>
    </row>
    <row r="6" spans="1:26" x14ac:dyDescent="0.3">
      <c r="A6" s="18"/>
      <c r="B6" s="21"/>
      <c r="C6" s="21"/>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101" t="s">
        <v>1193</v>
      </c>
      <c r="C7" s="21"/>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248"/>
      <c r="C8" s="21"/>
      <c r="D8" s="21"/>
      <c r="E8" s="21"/>
      <c r="F8" s="21"/>
      <c r="G8" s="21"/>
      <c r="H8" s="21"/>
      <c r="I8" s="21"/>
      <c r="J8" s="21"/>
      <c r="K8" s="21"/>
      <c r="L8" s="21"/>
      <c r="M8" s="21"/>
      <c r="N8" s="21"/>
      <c r="O8" s="20"/>
      <c r="Q8" s="487" t="s">
        <v>458</v>
      </c>
      <c r="R8" s="487"/>
      <c r="S8" s="487" t="s">
        <v>1196</v>
      </c>
      <c r="T8" s="487"/>
      <c r="U8" s="487"/>
      <c r="V8" s="487"/>
      <c r="W8" s="487"/>
      <c r="X8" s="487"/>
      <c r="Y8" s="487"/>
      <c r="Z8" s="509" t="s">
        <v>325</v>
      </c>
    </row>
    <row r="9" spans="1:26" x14ac:dyDescent="0.3">
      <c r="A9" s="18"/>
      <c r="B9" s="248"/>
      <c r="C9" s="21"/>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248"/>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48"/>
      <c r="C11" s="21" t="s">
        <v>71</v>
      </c>
      <c r="D11" s="21"/>
      <c r="E11" s="21"/>
      <c r="F11" s="21"/>
      <c r="G11" s="21"/>
      <c r="H11" s="21"/>
      <c r="I11" s="21"/>
      <c r="J11" s="21"/>
      <c r="K11" s="21"/>
      <c r="L11" s="21"/>
      <c r="M11" s="21"/>
      <c r="N11" s="21"/>
      <c r="O11" s="20"/>
      <c r="Q11" s="484" t="s">
        <v>1194</v>
      </c>
      <c r="R11" s="484"/>
      <c r="S11" s="484" t="s">
        <v>2631</v>
      </c>
      <c r="T11" s="484"/>
      <c r="U11" s="484"/>
      <c r="V11" s="484"/>
      <c r="W11" s="484"/>
      <c r="X11" s="484"/>
      <c r="Y11" s="484"/>
      <c r="Z11" s="485" t="s">
        <v>326</v>
      </c>
    </row>
    <row r="12" spans="1:26" x14ac:dyDescent="0.3">
      <c r="A12" s="18"/>
      <c r="B12" s="248"/>
      <c r="C12" s="21" t="s">
        <v>71</v>
      </c>
      <c r="D12" s="21"/>
      <c r="E12" s="21"/>
      <c r="F12" s="21"/>
      <c r="G12" s="21"/>
      <c r="H12" s="21"/>
      <c r="I12" s="21"/>
      <c r="J12" s="21"/>
      <c r="K12" s="21"/>
      <c r="L12" s="21"/>
      <c r="M12" s="21"/>
      <c r="N12" s="21"/>
      <c r="O12" s="20"/>
      <c r="Q12" s="484"/>
      <c r="R12" s="484"/>
      <c r="S12" s="484"/>
      <c r="T12" s="484"/>
      <c r="U12" s="484"/>
      <c r="V12" s="484"/>
      <c r="W12" s="484"/>
      <c r="X12" s="484"/>
      <c r="Y12" s="484"/>
      <c r="Z12" s="485"/>
    </row>
    <row r="13" spans="1:26" x14ac:dyDescent="0.3">
      <c r="A13" s="18"/>
      <c r="B13" s="248"/>
      <c r="C13" s="21" t="s">
        <v>71</v>
      </c>
      <c r="D13" s="21"/>
      <c r="E13" s="21"/>
      <c r="F13" s="21"/>
      <c r="G13" s="21"/>
      <c r="H13" s="21"/>
      <c r="I13" s="21"/>
      <c r="J13" s="21"/>
      <c r="K13" s="21"/>
      <c r="L13" s="21"/>
      <c r="M13" s="21"/>
      <c r="N13" s="21"/>
      <c r="O13" s="20"/>
      <c r="Q13" s="484"/>
      <c r="R13" s="484"/>
      <c r="S13" s="484"/>
      <c r="T13" s="484"/>
      <c r="U13" s="484"/>
      <c r="V13" s="484"/>
      <c r="W13" s="484"/>
      <c r="X13" s="484"/>
      <c r="Y13" s="484"/>
      <c r="Z13" s="485"/>
    </row>
    <row r="14" spans="1:26" x14ac:dyDescent="0.3">
      <c r="A14" s="18"/>
      <c r="B14" s="248"/>
      <c r="C14" s="21"/>
      <c r="D14" s="21"/>
      <c r="E14" s="21"/>
      <c r="F14" s="21"/>
      <c r="G14" s="21"/>
      <c r="H14" s="21"/>
      <c r="I14" s="21"/>
      <c r="J14" s="21"/>
      <c r="K14" s="21"/>
      <c r="L14" s="21"/>
      <c r="M14" s="21"/>
      <c r="N14" s="21"/>
      <c r="O14" s="20"/>
      <c r="Q14" s="496" t="s">
        <v>1197</v>
      </c>
      <c r="R14" s="497"/>
      <c r="S14" s="496" t="s">
        <v>1611</v>
      </c>
      <c r="T14" s="502"/>
      <c r="U14" s="502"/>
      <c r="V14" s="502"/>
      <c r="W14" s="502"/>
      <c r="X14" s="502"/>
      <c r="Y14" s="497"/>
      <c r="Z14" s="505" t="s">
        <v>326</v>
      </c>
    </row>
    <row r="15" spans="1:26" x14ac:dyDescent="0.3">
      <c r="A15" s="18"/>
      <c r="B15" s="248"/>
      <c r="C15" s="21"/>
      <c r="D15" s="2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248"/>
      <c r="C16" s="21"/>
      <c r="D16" s="21"/>
      <c r="E16" s="21"/>
      <c r="F16" s="21"/>
      <c r="G16" s="21"/>
      <c r="H16" s="21"/>
      <c r="I16" s="21"/>
      <c r="J16" s="21"/>
      <c r="K16" s="21"/>
      <c r="L16" s="21"/>
      <c r="M16" s="21"/>
      <c r="N16" s="21"/>
      <c r="O16" s="20"/>
      <c r="Q16" s="500"/>
      <c r="R16" s="501"/>
      <c r="S16" s="500"/>
      <c r="T16" s="504"/>
      <c r="U16" s="504"/>
      <c r="V16" s="504"/>
      <c r="W16" s="504"/>
      <c r="X16" s="504"/>
      <c r="Y16" s="501"/>
      <c r="Z16" s="507"/>
    </row>
    <row r="17" spans="1:26" ht="15" customHeight="1" x14ac:dyDescent="0.3">
      <c r="A17" s="18"/>
      <c r="B17" s="21"/>
      <c r="C17" s="21" t="s">
        <v>71</v>
      </c>
      <c r="D17" s="21"/>
      <c r="E17" s="21"/>
      <c r="F17" s="21"/>
      <c r="G17" s="21"/>
      <c r="H17" s="21"/>
      <c r="I17" s="21"/>
      <c r="J17" s="21"/>
      <c r="K17" s="21"/>
      <c r="L17" s="21"/>
      <c r="M17" s="21"/>
      <c r="N17" s="21"/>
      <c r="O17" s="20"/>
      <c r="Q17" s="496" t="s">
        <v>2299</v>
      </c>
      <c r="R17" s="497"/>
      <c r="S17" s="496" t="s">
        <v>3088</v>
      </c>
      <c r="T17" s="502"/>
      <c r="U17" s="502"/>
      <c r="V17" s="502"/>
      <c r="W17" s="502"/>
      <c r="X17" s="502"/>
      <c r="Y17" s="497"/>
      <c r="Z17" s="505" t="s">
        <v>326</v>
      </c>
    </row>
    <row r="18" spans="1:26" x14ac:dyDescent="0.3">
      <c r="A18" s="18"/>
      <c r="B18" s="21"/>
      <c r="C18" s="21" t="s">
        <v>71</v>
      </c>
      <c r="D18" s="21"/>
      <c r="E18" s="21"/>
      <c r="F18" s="21"/>
      <c r="G18" s="21"/>
      <c r="H18" s="21"/>
      <c r="I18" s="21"/>
      <c r="J18" s="21"/>
      <c r="K18" s="21"/>
      <c r="L18" s="21"/>
      <c r="M18" s="21"/>
      <c r="N18" s="21"/>
      <c r="O18" s="20"/>
      <c r="Q18" s="498"/>
      <c r="R18" s="499"/>
      <c r="S18" s="498"/>
      <c r="T18" s="503"/>
      <c r="U18" s="503"/>
      <c r="V18" s="503"/>
      <c r="W18" s="503"/>
      <c r="X18" s="503"/>
      <c r="Y18" s="499"/>
      <c r="Z18" s="506"/>
    </row>
    <row r="19" spans="1:26" x14ac:dyDescent="0.3">
      <c r="A19" s="18"/>
      <c r="B19" s="21"/>
      <c r="C19" s="21" t="s">
        <v>71</v>
      </c>
      <c r="D19" s="21"/>
      <c r="E19" s="21"/>
      <c r="F19" s="21"/>
      <c r="G19" s="21"/>
      <c r="H19" s="21"/>
      <c r="I19" s="21"/>
      <c r="J19" s="21"/>
      <c r="K19" s="21"/>
      <c r="L19" s="21"/>
      <c r="M19" s="21"/>
      <c r="N19" s="21"/>
      <c r="O19" s="20"/>
      <c r="Q19" s="500"/>
      <c r="R19" s="501"/>
      <c r="S19" s="500"/>
      <c r="T19" s="504"/>
      <c r="U19" s="504"/>
      <c r="V19" s="504"/>
      <c r="W19" s="504"/>
      <c r="X19" s="504"/>
      <c r="Y19" s="501"/>
      <c r="Z19" s="507"/>
    </row>
    <row r="20" spans="1:26" x14ac:dyDescent="0.3">
      <c r="A20" s="18"/>
      <c r="B20" s="21"/>
      <c r="C20" s="21"/>
      <c r="D20" s="21"/>
      <c r="E20" s="21"/>
      <c r="F20" s="21"/>
      <c r="G20" s="21"/>
      <c r="H20" s="21"/>
      <c r="I20" s="21"/>
      <c r="J20" s="21"/>
      <c r="K20" s="21"/>
      <c r="L20" s="21"/>
      <c r="M20" s="21"/>
      <c r="N20" s="21"/>
      <c r="O20" s="20"/>
      <c r="Q20" s="126" t="s">
        <v>328</v>
      </c>
    </row>
    <row r="21" spans="1:26" x14ac:dyDescent="0.3">
      <c r="A21" s="18"/>
      <c r="B21" s="21"/>
      <c r="C21" s="21"/>
      <c r="D21" s="21"/>
      <c r="E21" s="21"/>
      <c r="F21" s="21"/>
      <c r="G21" s="21"/>
      <c r="H21" s="21"/>
      <c r="I21" s="21"/>
      <c r="J21" s="21"/>
      <c r="K21" s="21"/>
      <c r="L21" s="21"/>
      <c r="M21" s="21"/>
      <c r="N21" s="21"/>
      <c r="O21" s="20"/>
    </row>
    <row r="22" spans="1:26" x14ac:dyDescent="0.3">
      <c r="A22" s="18"/>
      <c r="B22" s="21"/>
      <c r="C22" s="21"/>
      <c r="D22" s="21"/>
      <c r="E22" s="21"/>
      <c r="F22" s="21"/>
      <c r="G22" s="21"/>
      <c r="H22" s="21"/>
      <c r="I22" s="21"/>
      <c r="J22" s="21"/>
      <c r="K22" s="21"/>
      <c r="L22" s="21"/>
      <c r="M22" s="21"/>
      <c r="N22" s="21"/>
      <c r="O22" s="20"/>
    </row>
    <row r="23" spans="1:26" x14ac:dyDescent="0.3">
      <c r="A23" s="18"/>
      <c r="B23" s="21"/>
      <c r="C23" s="21"/>
      <c r="D23" s="21"/>
      <c r="E23" s="21"/>
      <c r="F23" s="21"/>
      <c r="G23" s="21"/>
      <c r="H23" s="21"/>
      <c r="I23" s="21"/>
      <c r="J23" s="21"/>
      <c r="K23" s="21"/>
      <c r="L23" s="21"/>
      <c r="M23" s="21"/>
      <c r="N23" s="21"/>
      <c r="O23" s="20"/>
      <c r="Q23" s="486" t="s">
        <v>3551</v>
      </c>
      <c r="R23" s="486"/>
      <c r="S23" s="486"/>
      <c r="T23" s="486"/>
      <c r="U23" s="486"/>
      <c r="V23" s="486"/>
      <c r="W23" s="486"/>
      <c r="X23" s="486"/>
      <c r="Y23" s="486"/>
      <c r="Z23" s="486"/>
    </row>
    <row r="24" spans="1:26" x14ac:dyDescent="0.3">
      <c r="A24" s="18"/>
      <c r="B24" s="21"/>
      <c r="C24" s="21"/>
      <c r="D24" s="21"/>
      <c r="E24" s="21"/>
      <c r="F24" s="21"/>
      <c r="G24" s="21"/>
      <c r="H24" s="21"/>
      <c r="I24" s="21"/>
      <c r="J24" s="21"/>
      <c r="K24" s="21"/>
      <c r="L24" s="21"/>
      <c r="M24" s="21"/>
      <c r="N24" s="21"/>
      <c r="O24" s="20"/>
      <c r="Q24" s="487" t="s">
        <v>333</v>
      </c>
      <c r="R24" s="487"/>
      <c r="S24" s="487" t="s">
        <v>2074</v>
      </c>
      <c r="T24" s="487"/>
      <c r="U24" s="487"/>
      <c r="V24" s="487"/>
      <c r="W24" s="487"/>
      <c r="X24" s="487"/>
      <c r="Y24" s="487"/>
      <c r="Z24" s="487"/>
    </row>
    <row r="25" spans="1:26" x14ac:dyDescent="0.3">
      <c r="A25" s="18"/>
      <c r="B25" s="21"/>
      <c r="C25" s="21"/>
      <c r="D25" s="21"/>
      <c r="E25" s="21"/>
      <c r="F25" s="21"/>
      <c r="G25" s="21"/>
      <c r="H25" s="21"/>
      <c r="I25" s="21"/>
      <c r="J25" s="21"/>
      <c r="K25" s="21"/>
      <c r="L25" s="21"/>
      <c r="M25" s="21"/>
      <c r="N25" s="21"/>
      <c r="O25" s="20"/>
      <c r="Q25" s="487"/>
      <c r="R25" s="487"/>
      <c r="S25" s="487"/>
      <c r="T25" s="487"/>
      <c r="U25" s="487"/>
      <c r="V25" s="487"/>
      <c r="W25" s="487"/>
      <c r="X25" s="487"/>
      <c r="Y25" s="487"/>
      <c r="Z25" s="487"/>
    </row>
    <row r="26" spans="1:26" x14ac:dyDescent="0.3">
      <c r="A26" s="18"/>
      <c r="B26" s="21"/>
      <c r="C26" s="21"/>
      <c r="D26" s="21"/>
      <c r="E26" s="21"/>
      <c r="F26" s="21"/>
      <c r="G26" s="21"/>
      <c r="H26" s="21"/>
      <c r="I26" s="21"/>
      <c r="J26" s="21"/>
      <c r="K26" s="21"/>
      <c r="L26" s="21"/>
      <c r="M26" s="21"/>
      <c r="N26" s="21"/>
      <c r="O26" s="20"/>
      <c r="Q26" s="487"/>
      <c r="R26" s="487"/>
      <c r="S26" s="487"/>
      <c r="T26" s="487"/>
      <c r="U26" s="487"/>
      <c r="V26" s="487"/>
      <c r="W26" s="487"/>
      <c r="X26" s="487"/>
      <c r="Y26" s="487"/>
      <c r="Z26" s="487"/>
    </row>
    <row r="27" spans="1:26" x14ac:dyDescent="0.3">
      <c r="A27" s="18"/>
      <c r="B27" s="21"/>
      <c r="C27" s="21"/>
      <c r="D27" s="21"/>
      <c r="E27" s="21"/>
      <c r="F27" s="21"/>
      <c r="G27" s="21"/>
      <c r="H27" s="21"/>
      <c r="I27" s="21"/>
      <c r="J27" s="21"/>
      <c r="K27" s="21"/>
      <c r="L27" s="21"/>
      <c r="M27" s="21"/>
      <c r="N27" s="21"/>
      <c r="O27" s="20"/>
      <c r="Q27" s="483" t="s">
        <v>323</v>
      </c>
      <c r="R27" s="483"/>
      <c r="S27" s="483" t="s">
        <v>1</v>
      </c>
      <c r="T27" s="483"/>
      <c r="U27" s="483"/>
      <c r="V27" s="483"/>
      <c r="W27" s="483"/>
      <c r="X27" s="483"/>
      <c r="Y27" s="483"/>
      <c r="Z27" s="85" t="s">
        <v>324</v>
      </c>
    </row>
    <row r="28" spans="1:26" x14ac:dyDescent="0.3">
      <c r="A28" s="18"/>
      <c r="B28" s="21"/>
      <c r="C28" s="21"/>
      <c r="D28" s="21"/>
      <c r="E28" s="21"/>
      <c r="F28" s="21"/>
      <c r="G28" s="21"/>
      <c r="H28" s="21"/>
      <c r="I28" s="21"/>
      <c r="J28" s="21"/>
      <c r="K28" s="21"/>
      <c r="L28" s="21"/>
      <c r="M28" s="21"/>
      <c r="N28" s="21"/>
      <c r="O28" s="20"/>
      <c r="Q28" s="487" t="s">
        <v>458</v>
      </c>
      <c r="R28" s="487"/>
      <c r="S28" s="487" t="s">
        <v>2075</v>
      </c>
      <c r="T28" s="487"/>
      <c r="U28" s="487"/>
      <c r="V28" s="487"/>
      <c r="W28" s="487"/>
      <c r="X28" s="487"/>
      <c r="Y28" s="487"/>
      <c r="Z28" s="509" t="s">
        <v>325</v>
      </c>
    </row>
    <row r="29" spans="1:26" x14ac:dyDescent="0.3">
      <c r="A29" s="18"/>
      <c r="B29" s="21"/>
      <c r="C29" s="21"/>
      <c r="D29" s="21"/>
      <c r="E29" s="21"/>
      <c r="F29" s="21"/>
      <c r="G29" s="21"/>
      <c r="H29" s="21"/>
      <c r="I29" s="21"/>
      <c r="J29" s="21"/>
      <c r="K29" s="21"/>
      <c r="L29" s="21"/>
      <c r="M29" s="21"/>
      <c r="N29" s="21"/>
      <c r="O29" s="20"/>
      <c r="Q29" s="487"/>
      <c r="R29" s="487"/>
      <c r="S29" s="487"/>
      <c r="T29" s="487"/>
      <c r="U29" s="487"/>
      <c r="V29" s="487"/>
      <c r="W29" s="487"/>
      <c r="X29" s="487"/>
      <c r="Y29" s="487"/>
      <c r="Z29" s="509"/>
    </row>
    <row r="30" spans="1:26" x14ac:dyDescent="0.3">
      <c r="A30" s="18"/>
      <c r="B30" s="21"/>
      <c r="C30" s="21"/>
      <c r="D30" s="21"/>
      <c r="E30" s="21"/>
      <c r="F30" s="21"/>
      <c r="G30" s="21"/>
      <c r="H30" s="21"/>
      <c r="I30" s="21"/>
      <c r="J30" s="21"/>
      <c r="K30" s="21"/>
      <c r="L30" s="21"/>
      <c r="M30" s="21"/>
      <c r="N30" s="21"/>
      <c r="O30" s="20"/>
      <c r="Q30" s="487"/>
      <c r="R30" s="487"/>
      <c r="S30" s="487"/>
      <c r="T30" s="487"/>
      <c r="U30" s="487"/>
      <c r="V30" s="487"/>
      <c r="W30" s="487"/>
      <c r="X30" s="487"/>
      <c r="Y30" s="487"/>
      <c r="Z30" s="509"/>
    </row>
    <row r="31" spans="1:26" x14ac:dyDescent="0.3">
      <c r="A31" s="18"/>
      <c r="B31" s="21"/>
      <c r="C31" s="21"/>
      <c r="D31" s="21"/>
      <c r="E31" s="21"/>
      <c r="F31" s="21"/>
      <c r="G31" s="21"/>
      <c r="H31" s="21"/>
      <c r="I31" s="21"/>
      <c r="J31" s="21"/>
      <c r="K31" s="21"/>
      <c r="L31" s="21"/>
      <c r="M31" s="21"/>
      <c r="N31" s="21"/>
      <c r="O31" s="20"/>
      <c r="Q31" s="484" t="s">
        <v>2070</v>
      </c>
      <c r="R31" s="484"/>
      <c r="S31" s="484" t="s">
        <v>2076</v>
      </c>
      <c r="T31" s="484"/>
      <c r="U31" s="484"/>
      <c r="V31" s="484"/>
      <c r="W31" s="484"/>
      <c r="X31" s="484"/>
      <c r="Y31" s="484"/>
      <c r="Z31" s="485" t="s">
        <v>326</v>
      </c>
    </row>
    <row r="32" spans="1:26" x14ac:dyDescent="0.3">
      <c r="A32" s="18"/>
      <c r="B32" s="21"/>
      <c r="C32" s="21"/>
      <c r="D32" s="21"/>
      <c r="E32" s="21"/>
      <c r="F32" s="21"/>
      <c r="G32" s="21"/>
      <c r="H32" s="21"/>
      <c r="I32" s="21"/>
      <c r="J32" s="21"/>
      <c r="K32" s="21"/>
      <c r="L32" s="21"/>
      <c r="M32" s="21"/>
      <c r="N32" s="21"/>
      <c r="O32" s="20"/>
      <c r="Q32" s="484"/>
      <c r="R32" s="484"/>
      <c r="S32" s="484"/>
      <c r="T32" s="484"/>
      <c r="U32" s="484"/>
      <c r="V32" s="484"/>
      <c r="W32" s="484"/>
      <c r="X32" s="484"/>
      <c r="Y32" s="484"/>
      <c r="Z32" s="485"/>
    </row>
    <row r="33" spans="1:26" x14ac:dyDescent="0.3">
      <c r="A33" s="18"/>
      <c r="B33" s="21"/>
      <c r="C33" s="21"/>
      <c r="D33" s="21"/>
      <c r="E33" s="21"/>
      <c r="F33" s="21"/>
      <c r="G33" s="21"/>
      <c r="H33" s="21"/>
      <c r="I33" s="21"/>
      <c r="J33" s="21"/>
      <c r="K33" s="21"/>
      <c r="L33" s="21"/>
      <c r="M33" s="21"/>
      <c r="N33" s="21"/>
      <c r="O33" s="20"/>
      <c r="Q33" s="484"/>
      <c r="R33" s="484"/>
      <c r="S33" s="484"/>
      <c r="T33" s="484"/>
      <c r="U33" s="484"/>
      <c r="V33" s="484"/>
      <c r="W33" s="484"/>
      <c r="X33" s="484"/>
      <c r="Y33" s="484"/>
      <c r="Z33" s="485"/>
    </row>
    <row r="34" spans="1:26" x14ac:dyDescent="0.3">
      <c r="A34" s="18"/>
      <c r="B34" s="21"/>
      <c r="C34" s="21"/>
      <c r="D34" s="21"/>
      <c r="E34" s="21"/>
      <c r="F34" s="21"/>
      <c r="G34" s="21"/>
      <c r="H34" s="21"/>
      <c r="I34" s="21"/>
      <c r="J34" s="21"/>
      <c r="K34" s="21"/>
      <c r="L34" s="21"/>
      <c r="M34" s="21"/>
      <c r="N34" s="21"/>
      <c r="O34" s="20"/>
      <c r="Q34" s="126" t="s">
        <v>328</v>
      </c>
    </row>
    <row r="35" spans="1:26" x14ac:dyDescent="0.3">
      <c r="A35" s="18"/>
      <c r="B35" s="21"/>
      <c r="C35" s="21"/>
      <c r="D35" s="21"/>
      <c r="E35" s="21"/>
      <c r="F35" s="21"/>
      <c r="G35" s="21"/>
      <c r="H35" s="21"/>
      <c r="I35" s="21"/>
      <c r="J35" s="21"/>
      <c r="K35" s="21"/>
      <c r="L35" s="21"/>
      <c r="M35" s="21"/>
      <c r="N35" s="21"/>
      <c r="O35" s="20"/>
    </row>
    <row r="36" spans="1:26" x14ac:dyDescent="0.3">
      <c r="A36" s="490" t="s">
        <v>2068</v>
      </c>
      <c r="B36" s="491"/>
      <c r="C36" s="491"/>
      <c r="D36" s="491"/>
      <c r="E36" s="491"/>
      <c r="F36" s="491"/>
      <c r="G36" s="491"/>
      <c r="H36" s="491"/>
      <c r="I36" s="491"/>
      <c r="J36" s="491"/>
      <c r="K36" s="491"/>
      <c r="L36" s="491"/>
      <c r="M36" s="491"/>
      <c r="N36" s="491"/>
      <c r="O36" s="20"/>
    </row>
    <row r="37" spans="1:26" x14ac:dyDescent="0.3">
      <c r="A37" s="18"/>
      <c r="B37" s="21"/>
      <c r="C37" s="21"/>
      <c r="D37" s="21"/>
      <c r="E37" s="21"/>
      <c r="F37" s="21"/>
      <c r="G37" s="21"/>
      <c r="H37" s="21"/>
      <c r="I37" s="21"/>
      <c r="J37" s="21"/>
      <c r="K37" s="21"/>
      <c r="L37" s="21"/>
      <c r="M37" s="21"/>
      <c r="N37" s="21"/>
      <c r="O37" s="20"/>
    </row>
    <row r="38" spans="1:26" x14ac:dyDescent="0.3">
      <c r="A38" s="18"/>
      <c r="B38" s="21"/>
      <c r="C38" s="21"/>
      <c r="D38" s="21"/>
      <c r="E38" s="21"/>
      <c r="F38" s="21"/>
      <c r="G38" s="21"/>
      <c r="H38" s="21"/>
      <c r="I38" s="21"/>
      <c r="J38" s="21"/>
      <c r="K38" s="21"/>
      <c r="L38" s="21"/>
      <c r="M38" s="21"/>
      <c r="N38" s="21"/>
      <c r="O38" s="20"/>
    </row>
    <row r="39" spans="1:26" x14ac:dyDescent="0.3">
      <c r="A39" s="18"/>
      <c r="B39" s="101" t="s">
        <v>2071</v>
      </c>
      <c r="C39" s="21"/>
      <c r="D39" s="21"/>
      <c r="E39" s="179" t="s">
        <v>3551</v>
      </c>
      <c r="F39" s="21"/>
      <c r="G39" s="21"/>
      <c r="H39" s="21"/>
      <c r="I39" s="21"/>
      <c r="J39" s="21"/>
      <c r="K39" s="21"/>
      <c r="L39" s="21"/>
      <c r="M39" s="21"/>
      <c r="N39" s="21"/>
      <c r="O39" s="20"/>
    </row>
    <row r="40" spans="1:26" x14ac:dyDescent="0.3">
      <c r="A40" s="18"/>
      <c r="B40" s="181"/>
      <c r="C40" s="21"/>
      <c r="D40" s="21"/>
      <c r="E40" s="249" cm="1">
        <f t="array" ref="E40">_xll.U.REVERT(B40:B44)</f>
        <v>46072.453056747683</v>
      </c>
      <c r="F40" s="21"/>
      <c r="G40" s="21"/>
      <c r="H40" s="21"/>
      <c r="I40" s="21"/>
      <c r="J40" s="21"/>
      <c r="K40" s="21"/>
      <c r="L40" s="21"/>
      <c r="M40" s="21"/>
      <c r="N40" s="21"/>
      <c r="O40" s="20"/>
    </row>
    <row r="41" spans="1:26" x14ac:dyDescent="0.3">
      <c r="A41" s="18"/>
      <c r="B41" s="181"/>
      <c r="C41" s="21"/>
      <c r="D41" s="21"/>
      <c r="E41" s="21"/>
      <c r="F41" s="21"/>
      <c r="G41" s="21"/>
      <c r="H41" s="21"/>
      <c r="I41" s="21"/>
      <c r="J41" s="21"/>
      <c r="K41" s="21"/>
      <c r="L41" s="21"/>
      <c r="M41" s="21"/>
      <c r="N41" s="21"/>
      <c r="O41" s="20"/>
    </row>
    <row r="42" spans="1:26" x14ac:dyDescent="0.3">
      <c r="A42" s="18"/>
      <c r="B42" s="181"/>
      <c r="C42" s="21"/>
      <c r="D42" s="21"/>
      <c r="E42" s="21"/>
      <c r="F42" s="21"/>
      <c r="G42" s="21"/>
      <c r="H42" s="21"/>
      <c r="I42" s="21"/>
      <c r="J42" s="21"/>
      <c r="K42" s="21"/>
      <c r="L42" s="21"/>
      <c r="M42" s="21"/>
      <c r="N42" s="21"/>
      <c r="O42" s="20"/>
    </row>
    <row r="43" spans="1:26" x14ac:dyDescent="0.3">
      <c r="A43" s="18"/>
      <c r="B43" s="181"/>
      <c r="C43" s="21"/>
      <c r="D43" s="21"/>
      <c r="E43" s="21"/>
      <c r="F43" s="21"/>
      <c r="G43" s="21"/>
      <c r="H43" s="21"/>
      <c r="I43" s="21"/>
      <c r="J43" s="21"/>
      <c r="K43" s="21"/>
      <c r="L43" s="21"/>
      <c r="M43" s="21"/>
      <c r="N43" s="21"/>
      <c r="O43" s="20"/>
    </row>
    <row r="44" spans="1:26" x14ac:dyDescent="0.3">
      <c r="A44" s="18"/>
      <c r="B44" s="181"/>
      <c r="C44" s="21"/>
      <c r="D44" s="21"/>
      <c r="E44" s="21"/>
      <c r="F44" s="21"/>
      <c r="G44" s="21"/>
      <c r="H44" s="21"/>
      <c r="I44" s="21"/>
      <c r="J44" s="21"/>
      <c r="K44" s="21"/>
      <c r="L44" s="21"/>
      <c r="M44" s="21"/>
      <c r="N44" s="21"/>
      <c r="O44" s="20"/>
    </row>
    <row r="45" spans="1:26" x14ac:dyDescent="0.3">
      <c r="A45" s="18"/>
      <c r="B45" s="21"/>
      <c r="C45" s="21"/>
      <c r="D45" s="21"/>
      <c r="E45" s="21"/>
      <c r="F45" s="21"/>
      <c r="G45" s="21"/>
      <c r="H45" s="21"/>
      <c r="I45" s="21"/>
      <c r="J45" s="21"/>
      <c r="K45" s="21"/>
      <c r="L45" s="21"/>
      <c r="M45" s="21"/>
      <c r="N45" s="21"/>
      <c r="O45" s="20"/>
    </row>
    <row r="46" spans="1:26" x14ac:dyDescent="0.3">
      <c r="A46" s="18"/>
      <c r="B46" s="21"/>
      <c r="C46" s="21"/>
      <c r="D46" s="21"/>
      <c r="E46" s="21"/>
      <c r="F46" s="21"/>
      <c r="G46" s="21"/>
      <c r="H46" s="21"/>
      <c r="I46" s="21"/>
      <c r="J46" s="21"/>
      <c r="K46" s="21"/>
      <c r="L46" s="21"/>
      <c r="M46" s="21"/>
      <c r="N46" s="21"/>
      <c r="O46" s="20"/>
    </row>
    <row r="47" spans="1:26" x14ac:dyDescent="0.3">
      <c r="A47" s="18"/>
      <c r="B47" s="21"/>
      <c r="C47" s="21"/>
      <c r="D47" s="21"/>
      <c r="E47" s="21"/>
      <c r="F47" s="21"/>
      <c r="G47" s="21"/>
      <c r="H47" s="21"/>
      <c r="I47" s="21"/>
      <c r="J47" s="21"/>
      <c r="K47" s="21"/>
      <c r="L47" s="21"/>
      <c r="M47" s="21"/>
      <c r="N47" s="21"/>
      <c r="O47" s="20"/>
    </row>
    <row r="48" spans="1:26" x14ac:dyDescent="0.3">
      <c r="A48" s="18"/>
      <c r="B48" s="21"/>
      <c r="C48" s="21"/>
      <c r="D48" s="21"/>
      <c r="E48" s="21"/>
      <c r="F48" s="21"/>
      <c r="G48" s="21"/>
      <c r="H48" s="21"/>
      <c r="I48" s="21"/>
      <c r="J48" s="21"/>
      <c r="K48" s="21"/>
      <c r="L48" s="21"/>
      <c r="M48" s="21"/>
      <c r="N48" s="21"/>
      <c r="O48" s="20"/>
    </row>
    <row r="49" spans="1:15" x14ac:dyDescent="0.3">
      <c r="A49" s="18"/>
      <c r="B49" s="101" t="s">
        <v>2072</v>
      </c>
      <c r="C49" s="21"/>
      <c r="D49" s="21"/>
      <c r="E49" s="179" t="s">
        <v>3551</v>
      </c>
      <c r="F49" s="21"/>
      <c r="G49" s="21"/>
      <c r="H49" s="21"/>
      <c r="I49" s="21"/>
      <c r="J49" s="21"/>
      <c r="K49" s="21"/>
      <c r="L49" s="21"/>
      <c r="M49" s="21"/>
      <c r="N49" s="21"/>
      <c r="O49" s="20"/>
    </row>
    <row r="50" spans="1:15" x14ac:dyDescent="0.3">
      <c r="A50" s="18"/>
      <c r="B50" s="181" t="b">
        <v>0</v>
      </c>
      <c r="C50" s="21"/>
      <c r="D50" s="21"/>
      <c r="E50" s="249" cm="1">
        <f t="array" ref="E50">_xll.U.REVERT(B50,FALSE)</f>
        <v>46072.453056712962</v>
      </c>
      <c r="F50" s="21"/>
      <c r="G50" s="21"/>
      <c r="H50" s="21"/>
      <c r="I50" s="21"/>
      <c r="J50" s="21"/>
      <c r="K50" s="21"/>
      <c r="L50" s="21"/>
      <c r="M50" s="21"/>
      <c r="N50" s="21"/>
      <c r="O50" s="20"/>
    </row>
    <row r="51" spans="1:15" x14ac:dyDescent="0.3">
      <c r="A51" s="18"/>
      <c r="B51" s="21"/>
      <c r="C51" s="21"/>
      <c r="D51" s="21"/>
      <c r="E51" s="21"/>
      <c r="F51" s="21"/>
      <c r="G51" s="21"/>
      <c r="H51" s="21"/>
      <c r="I51" s="21"/>
      <c r="J51" s="21"/>
      <c r="K51" s="21"/>
      <c r="L51" s="21"/>
      <c r="M51" s="21"/>
      <c r="N51" s="21"/>
      <c r="O51" s="20"/>
    </row>
    <row r="52" spans="1:15" x14ac:dyDescent="0.3">
      <c r="A52" s="18"/>
      <c r="B52" s="21"/>
      <c r="C52" s="21"/>
      <c r="D52" s="21"/>
      <c r="E52" s="179" t="s">
        <v>2073</v>
      </c>
      <c r="F52" s="21"/>
      <c r="G52" s="21"/>
      <c r="H52" s="21"/>
      <c r="I52" s="21"/>
      <c r="J52" s="21"/>
      <c r="K52" s="21"/>
      <c r="L52" s="21"/>
      <c r="M52" s="21"/>
      <c r="N52" s="21"/>
      <c r="O52" s="20"/>
    </row>
    <row r="53" spans="1:15" x14ac:dyDescent="0.3">
      <c r="A53" s="18"/>
      <c r="B53" s="21"/>
      <c r="C53" s="21"/>
      <c r="D53" s="21"/>
      <c r="E53" s="249" t="str" cm="1">
        <f t="array" ref="E53">IF(B50,_xll.U.MESSAGE_BOX("Hello at "&amp;TEXT(_xll.U.NOW(),"HH:MM:ss")),"waiting...")</f>
        <v>waiting...</v>
      </c>
      <c r="F53" s="21"/>
      <c r="G53" s="21"/>
      <c r="H53" s="21"/>
      <c r="I53" s="21"/>
      <c r="J53" s="21"/>
      <c r="K53" s="21"/>
      <c r="L53" s="21"/>
      <c r="M53" s="21"/>
      <c r="N53" s="21"/>
      <c r="O53" s="20"/>
    </row>
    <row r="54" spans="1:15" x14ac:dyDescent="0.3">
      <c r="A54" s="18"/>
      <c r="B54" s="21"/>
      <c r="C54" s="21"/>
      <c r="D54" s="21"/>
      <c r="E54" s="21"/>
      <c r="F54" s="21"/>
      <c r="G54" s="21"/>
      <c r="H54" s="21"/>
      <c r="I54" s="21"/>
      <c r="J54" s="21"/>
      <c r="K54" s="21"/>
      <c r="L54" s="21"/>
      <c r="M54" s="21"/>
      <c r="N54" s="21"/>
      <c r="O54" s="20"/>
    </row>
    <row r="55" spans="1:15" x14ac:dyDescent="0.3">
      <c r="A55" s="18"/>
      <c r="B55" s="21"/>
      <c r="C55" s="21"/>
      <c r="D55" s="21"/>
      <c r="E55" s="21"/>
      <c r="F55" s="21"/>
      <c r="G55" s="21"/>
      <c r="H55" s="21"/>
      <c r="I55" s="21"/>
      <c r="J55" s="21"/>
      <c r="K55" s="21"/>
      <c r="L55" s="21"/>
      <c r="M55" s="21"/>
      <c r="N55" s="21"/>
      <c r="O55" s="20"/>
    </row>
    <row r="56" spans="1:15" x14ac:dyDescent="0.3">
      <c r="A56" s="18"/>
      <c r="B56" s="21"/>
      <c r="C56" s="21"/>
      <c r="D56" s="21"/>
      <c r="E56" s="21"/>
      <c r="F56" s="21"/>
      <c r="G56" s="21"/>
      <c r="H56" s="21"/>
      <c r="I56" s="21"/>
      <c r="J56" s="21"/>
      <c r="K56" s="21"/>
      <c r="L56" s="21"/>
      <c r="M56" s="21"/>
      <c r="N56" s="21"/>
      <c r="O56" s="20"/>
    </row>
    <row r="57" spans="1:15" x14ac:dyDescent="0.3">
      <c r="A57" s="18"/>
      <c r="B57" s="21"/>
      <c r="C57" s="21"/>
      <c r="D57" s="21"/>
      <c r="E57" s="21"/>
      <c r="F57" s="21"/>
      <c r="G57" s="21"/>
      <c r="H57" s="21"/>
      <c r="I57" s="21"/>
      <c r="J57" s="21"/>
      <c r="K57" s="21"/>
      <c r="L57" s="21"/>
      <c r="M57" s="21"/>
      <c r="N57" s="21"/>
      <c r="O57" s="20"/>
    </row>
    <row r="58" spans="1:15" x14ac:dyDescent="0.3">
      <c r="A58" s="18"/>
      <c r="B58" s="21"/>
      <c r="C58" s="21"/>
      <c r="D58" s="21"/>
      <c r="E58" s="21"/>
      <c r="F58" s="21"/>
      <c r="G58" s="21"/>
      <c r="H58" s="21"/>
      <c r="I58" s="21"/>
      <c r="J58" s="21"/>
      <c r="K58" s="21"/>
      <c r="L58" s="21"/>
      <c r="M58" s="21"/>
      <c r="N58" s="21"/>
      <c r="O58" s="20"/>
    </row>
    <row r="59" spans="1:15" x14ac:dyDescent="0.3">
      <c r="A59" s="18"/>
      <c r="B59" s="21"/>
      <c r="C59" s="21"/>
      <c r="D59" s="21"/>
      <c r="E59" s="21"/>
      <c r="F59" s="21"/>
      <c r="G59" s="21"/>
      <c r="H59" s="21"/>
      <c r="I59" s="21"/>
      <c r="J59" s="21"/>
      <c r="K59" s="21"/>
      <c r="L59" s="21"/>
      <c r="M59" s="21"/>
      <c r="N59" s="21"/>
      <c r="O59" s="20"/>
    </row>
    <row r="60" spans="1:15" x14ac:dyDescent="0.3">
      <c r="A60" s="18"/>
      <c r="B60" s="492" t="s">
        <v>166</v>
      </c>
      <c r="C60" s="493"/>
      <c r="D60" s="21"/>
      <c r="E60" s="179" t="s">
        <v>3551</v>
      </c>
      <c r="F60" s="21"/>
      <c r="G60" s="21"/>
      <c r="H60" s="21"/>
      <c r="I60" s="21"/>
      <c r="J60" s="21"/>
      <c r="K60" s="21"/>
      <c r="L60" s="21"/>
      <c r="M60" s="21"/>
      <c r="N60" s="21"/>
      <c r="O60" s="20"/>
    </row>
    <row r="61" spans="1:15" x14ac:dyDescent="0.3">
      <c r="A61" s="18"/>
      <c r="B61" s="181" t="s">
        <v>77</v>
      </c>
      <c r="C61" s="181">
        <v>1</v>
      </c>
      <c r="D61" s="21"/>
      <c r="E61" s="249" cm="1">
        <f t="array" ref="E61">_xll.U.REVERT((B61:C62,B65:C68),E65:F66)</f>
        <v>46072.453056736114</v>
      </c>
      <c r="F61" s="21"/>
      <c r="G61" s="21"/>
      <c r="H61" s="21"/>
      <c r="I61" s="21"/>
      <c r="J61" s="21"/>
      <c r="K61" s="21"/>
      <c r="L61" s="21"/>
      <c r="M61" s="21"/>
      <c r="N61" s="21"/>
      <c r="O61" s="20"/>
    </row>
    <row r="62" spans="1:15" x14ac:dyDescent="0.3">
      <c r="A62" s="18"/>
      <c r="B62" s="181" t="s">
        <v>78</v>
      </c>
      <c r="C62" s="181">
        <v>2</v>
      </c>
      <c r="D62" s="21"/>
      <c r="E62" s="21"/>
      <c r="F62" s="21"/>
      <c r="G62" s="21"/>
      <c r="H62" s="21"/>
      <c r="I62" s="21"/>
      <c r="J62" s="21"/>
      <c r="K62" s="21"/>
      <c r="L62" s="21"/>
      <c r="M62" s="21"/>
      <c r="N62" s="21"/>
      <c r="O62" s="20"/>
    </row>
    <row r="63" spans="1:15" x14ac:dyDescent="0.3">
      <c r="A63" s="18"/>
      <c r="B63" s="21"/>
      <c r="C63" s="21"/>
      <c r="D63" s="21"/>
      <c r="E63" s="21"/>
      <c r="F63" s="21"/>
      <c r="G63" s="21"/>
      <c r="H63" s="21"/>
      <c r="I63" s="21"/>
      <c r="J63" s="21"/>
      <c r="K63" s="21"/>
      <c r="L63" s="21"/>
      <c r="M63" s="21"/>
      <c r="N63" s="21"/>
      <c r="O63" s="20"/>
    </row>
    <row r="64" spans="1:15" x14ac:dyDescent="0.3">
      <c r="A64" s="18"/>
      <c r="B64" s="492" t="s">
        <v>167</v>
      </c>
      <c r="C64" s="493"/>
      <c r="D64" s="21"/>
      <c r="E64" s="492" t="s">
        <v>2077</v>
      </c>
      <c r="F64" s="493"/>
      <c r="G64" s="21"/>
      <c r="H64" s="21"/>
      <c r="I64" s="21"/>
      <c r="J64" s="21"/>
      <c r="K64" s="21"/>
      <c r="L64" s="21"/>
      <c r="M64" s="21"/>
      <c r="N64" s="21"/>
      <c r="O64" s="20"/>
    </row>
    <row r="65" spans="1:15" x14ac:dyDescent="0.3">
      <c r="A65" s="18"/>
      <c r="B65" s="181" t="s">
        <v>77</v>
      </c>
      <c r="C65" s="181">
        <v>1</v>
      </c>
      <c r="D65" s="21"/>
      <c r="E65" s="181" t="s">
        <v>77</v>
      </c>
      <c r="F65" s="181">
        <v>1</v>
      </c>
      <c r="G65" s="21"/>
      <c r="H65" s="21"/>
      <c r="I65" s="21"/>
      <c r="J65" s="21"/>
      <c r="K65" s="21"/>
      <c r="L65" s="21"/>
      <c r="M65" s="21"/>
      <c r="N65" s="21"/>
      <c r="O65" s="20"/>
    </row>
    <row r="66" spans="1:15" x14ac:dyDescent="0.3">
      <c r="A66" s="18"/>
      <c r="B66" s="181" t="s">
        <v>78</v>
      </c>
      <c r="C66" s="181">
        <v>2</v>
      </c>
      <c r="D66" s="21"/>
      <c r="E66" s="181" t="s">
        <v>78</v>
      </c>
      <c r="F66" s="181">
        <v>2</v>
      </c>
      <c r="G66" s="21"/>
      <c r="H66" s="21"/>
      <c r="I66" s="21"/>
      <c r="J66" s="21"/>
      <c r="K66" s="21"/>
      <c r="L66" s="21"/>
      <c r="M66" s="21"/>
      <c r="N66" s="21"/>
      <c r="O66" s="20"/>
    </row>
    <row r="67" spans="1:15" x14ac:dyDescent="0.3">
      <c r="A67" s="18"/>
      <c r="B67" s="181"/>
      <c r="C67" s="181"/>
      <c r="D67" s="21"/>
      <c r="E67" s="21"/>
      <c r="F67" s="21"/>
      <c r="G67" s="21"/>
      <c r="H67" s="21"/>
      <c r="I67" s="21"/>
      <c r="J67" s="21"/>
      <c r="K67" s="21"/>
      <c r="L67" s="21"/>
      <c r="M67" s="21"/>
      <c r="N67" s="21"/>
      <c r="O67" s="20"/>
    </row>
    <row r="68" spans="1:15" x14ac:dyDescent="0.3">
      <c r="A68" s="18"/>
      <c r="B68" s="181"/>
      <c r="C68" s="181"/>
      <c r="D68" s="21"/>
      <c r="E68" s="21"/>
      <c r="F68" s="21"/>
      <c r="G68" s="21"/>
      <c r="H68" s="21"/>
      <c r="I68" s="21"/>
      <c r="J68" s="21"/>
      <c r="K68" s="21"/>
      <c r="L68" s="21"/>
      <c r="M68" s="21"/>
      <c r="N68" s="21"/>
      <c r="O68" s="20"/>
    </row>
    <row r="69" spans="1:15" x14ac:dyDescent="0.3">
      <c r="A69" s="18"/>
      <c r="B69" s="21"/>
      <c r="C69" s="21"/>
      <c r="D69" s="21"/>
      <c r="E69" s="21"/>
      <c r="F69" s="21"/>
      <c r="G69" s="21"/>
      <c r="H69" s="21"/>
      <c r="I69" s="21"/>
      <c r="J69" s="21"/>
      <c r="K69" s="21"/>
      <c r="L69" s="21"/>
      <c r="M69" s="21"/>
      <c r="N69" s="21"/>
      <c r="O69" s="20"/>
    </row>
    <row r="70" spans="1:15" x14ac:dyDescent="0.3">
      <c r="A70" s="18"/>
      <c r="B70" s="21"/>
      <c r="C70" s="21"/>
      <c r="D70" s="21"/>
      <c r="E70" s="21"/>
      <c r="F70" s="21"/>
      <c r="G70" s="21"/>
      <c r="H70" s="21"/>
      <c r="I70" s="21"/>
      <c r="J70" s="21"/>
      <c r="K70" s="21"/>
      <c r="L70" s="21"/>
      <c r="M70" s="21"/>
      <c r="N70" s="21"/>
      <c r="O70" s="20"/>
    </row>
    <row r="71" spans="1:15" ht="15" thickBot="1" x14ac:dyDescent="0.35">
      <c r="A71" s="22"/>
      <c r="B71" s="23"/>
      <c r="C71" s="23"/>
      <c r="D71" s="23"/>
      <c r="E71" s="23"/>
      <c r="F71" s="23"/>
      <c r="G71" s="23"/>
      <c r="H71" s="23"/>
      <c r="I71" s="23"/>
      <c r="J71" s="23"/>
      <c r="K71" s="23"/>
      <c r="L71" s="23"/>
      <c r="M71" s="23"/>
      <c r="N71" s="23"/>
      <c r="O71" s="24"/>
    </row>
  </sheetData>
  <mergeCells count="32">
    <mergeCell ref="B60:C60"/>
    <mergeCell ref="B64:C64"/>
    <mergeCell ref="E64:F64"/>
    <mergeCell ref="A36:N36"/>
    <mergeCell ref="Q23:Z23"/>
    <mergeCell ref="Q24:R26"/>
    <mergeCell ref="S24:Z26"/>
    <mergeCell ref="Q27:R27"/>
    <mergeCell ref="S27:Y27"/>
    <mergeCell ref="Q28:R30"/>
    <mergeCell ref="S28:Y30"/>
    <mergeCell ref="Z28:Z30"/>
    <mergeCell ref="Q31:R33"/>
    <mergeCell ref="S31:Y33"/>
    <mergeCell ref="Z31:Z33"/>
    <mergeCell ref="Q14:R16"/>
    <mergeCell ref="S14:Y16"/>
    <mergeCell ref="Z14:Z16"/>
    <mergeCell ref="Q17:R19"/>
    <mergeCell ref="S17:Y19"/>
    <mergeCell ref="Z17:Z19"/>
    <mergeCell ref="Q8:R10"/>
    <mergeCell ref="S8:Y10"/>
    <mergeCell ref="Z8:Z10"/>
    <mergeCell ref="Q11:R13"/>
    <mergeCell ref="S11:Y13"/>
    <mergeCell ref="Z11:Z13"/>
    <mergeCell ref="Q3:Z3"/>
    <mergeCell ref="Q4:R6"/>
    <mergeCell ref="S4:Z6"/>
    <mergeCell ref="Q7:R7"/>
    <mergeCell ref="S7:Y7"/>
  </mergeCells>
  <pageMargins left="0.7" right="0.7" top="0.75" bottom="0.75" header="0.3" footer="0.3"/>
  <pageSetup orientation="portrait" verticalDpi="0" r:id="rId1"/>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1"/>
  <dimension ref="A1:Z92"/>
  <sheetViews>
    <sheetView workbookViewId="0">
      <pane ySplit="1" topLeftCell="A2" activePane="bottomLeft" state="frozen"/>
      <selection activeCell="C33" sqref="C33"/>
      <selection pane="bottomLeft" activeCell="A2" sqref="A2"/>
    </sheetView>
  </sheetViews>
  <sheetFormatPr defaultRowHeight="14.4" x14ac:dyDescent="0.3"/>
  <cols>
    <col min="2" max="2" width="38.77734375" customWidth="1"/>
    <col min="3" max="3" width="26.77734375" customWidth="1"/>
    <col min="4" max="4" width="10.77734375" customWidth="1"/>
    <col min="5" max="5" width="24.44140625" customWidth="1"/>
    <col min="6" max="6" width="16.77734375" customWidth="1"/>
    <col min="7" max="7" width="38.44140625" bestFit="1" customWidth="1"/>
    <col min="8" max="14" width="15.44140625" customWidth="1"/>
    <col min="15" max="15" width="12.44140625" customWidth="1"/>
    <col min="17" max="18" width="11" customWidth="1"/>
    <col min="19" max="25" width="16" customWidth="1"/>
  </cols>
  <sheetData>
    <row r="1" spans="1:26" ht="34.5" customHeight="1" thickBot="1" x14ac:dyDescent="0.35">
      <c r="A1" s="292" t="s">
        <v>1580</v>
      </c>
      <c r="B1" s="473" t="e" vm="1">
        <v>#VALUE!</v>
      </c>
      <c r="C1" s="8" t="s">
        <v>1531</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5"/>
      <c r="C3" s="25"/>
      <c r="D3" s="21"/>
      <c r="E3" s="21"/>
      <c r="F3" s="21"/>
      <c r="G3" s="21"/>
      <c r="H3" s="21"/>
      <c r="I3" s="21"/>
      <c r="J3" s="21"/>
      <c r="K3" s="21"/>
      <c r="L3" s="21"/>
      <c r="M3" s="21"/>
      <c r="N3" s="21"/>
      <c r="O3" s="20"/>
      <c r="Q3" s="486" t="s">
        <v>3552</v>
      </c>
      <c r="R3" s="486"/>
      <c r="S3" s="486"/>
      <c r="T3" s="486"/>
      <c r="U3" s="486"/>
      <c r="V3" s="486"/>
      <c r="W3" s="486"/>
      <c r="X3" s="486"/>
      <c r="Y3" s="486"/>
      <c r="Z3" s="486"/>
    </row>
    <row r="4" spans="1:26" ht="15" customHeight="1" x14ac:dyDescent="0.3">
      <c r="A4" s="18"/>
      <c r="B4" s="101" t="s">
        <v>1535</v>
      </c>
      <c r="C4" s="181" t="s">
        <v>1536</v>
      </c>
      <c r="D4" s="21"/>
      <c r="E4" s="21"/>
      <c r="F4" s="21"/>
      <c r="H4" s="21"/>
      <c r="I4" s="21"/>
      <c r="J4" s="21"/>
      <c r="K4" s="21"/>
      <c r="L4" s="21"/>
      <c r="M4" s="21"/>
      <c r="N4" s="21"/>
      <c r="O4" s="20"/>
      <c r="Q4" s="487" t="s">
        <v>333</v>
      </c>
      <c r="R4" s="487"/>
      <c r="S4" s="487" t="s">
        <v>1546</v>
      </c>
      <c r="T4" s="487"/>
      <c r="U4" s="487"/>
      <c r="V4" s="487"/>
      <c r="W4" s="487"/>
      <c r="X4" s="487"/>
      <c r="Y4" s="487"/>
      <c r="Z4" s="487"/>
    </row>
    <row r="5" spans="1:26" x14ac:dyDescent="0.3">
      <c r="A5" s="18"/>
      <c r="B5" s="21"/>
      <c r="C5" s="21"/>
      <c r="D5" s="26"/>
      <c r="E5" s="21"/>
      <c r="F5" s="21"/>
      <c r="G5" s="21"/>
      <c r="H5" s="21"/>
      <c r="I5" s="21"/>
      <c r="J5" s="21"/>
      <c r="K5" s="21"/>
      <c r="L5" s="21"/>
      <c r="M5" s="21"/>
      <c r="N5" s="21"/>
      <c r="O5" s="20"/>
      <c r="Q5" s="487"/>
      <c r="R5" s="487"/>
      <c r="S5" s="487"/>
      <c r="T5" s="487"/>
      <c r="U5" s="487"/>
      <c r="V5" s="487"/>
      <c r="W5" s="487"/>
      <c r="X5" s="487"/>
      <c r="Y5" s="487"/>
      <c r="Z5" s="487"/>
    </row>
    <row r="6" spans="1:26" x14ac:dyDescent="0.3">
      <c r="A6" s="18"/>
      <c r="B6" s="101" t="s">
        <v>1532</v>
      </c>
      <c r="C6" s="101" t="s">
        <v>1</v>
      </c>
      <c r="D6" s="21"/>
      <c r="E6" s="101" t="s">
        <v>1543</v>
      </c>
      <c r="F6" s="21"/>
      <c r="G6" s="179" t="s">
        <v>3552</v>
      </c>
      <c r="H6" s="21"/>
      <c r="I6" s="21"/>
      <c r="J6" s="21"/>
      <c r="K6" s="159"/>
      <c r="L6" s="21"/>
      <c r="M6" s="21"/>
      <c r="N6" s="21"/>
      <c r="O6" s="20"/>
      <c r="Q6" s="487"/>
      <c r="R6" s="487"/>
      <c r="S6" s="487"/>
      <c r="T6" s="487"/>
      <c r="U6" s="487"/>
      <c r="V6" s="487"/>
      <c r="W6" s="487"/>
      <c r="X6" s="487"/>
      <c r="Y6" s="487"/>
      <c r="Z6" s="487"/>
    </row>
    <row r="7" spans="1:26" x14ac:dyDescent="0.3">
      <c r="A7" s="18"/>
      <c r="B7" s="274" t="str" cm="1">
        <f t="array" ref="B7">_xll.U.CLEAR(E7:E9)</f>
        <v>Blocked by script First_Example</v>
      </c>
      <c r="C7" s="181" t="s">
        <v>1534</v>
      </c>
      <c r="D7" s="21"/>
      <c r="E7" s="109" t="s">
        <v>1649</v>
      </c>
      <c r="F7" s="21"/>
      <c r="G7" s="249" t="str" cm="1">
        <f t="array" ref="G7">_xll.U.CREATE_SCRIPT(C4,B7:C17,B22:B48)</f>
        <v>Script First_Example updated</v>
      </c>
      <c r="H7" s="21"/>
      <c r="I7" s="21"/>
      <c r="J7" s="21"/>
      <c r="K7" s="159"/>
      <c r="L7" s="21"/>
      <c r="M7" s="21"/>
      <c r="N7" s="21"/>
      <c r="O7" s="20"/>
      <c r="Q7" s="483" t="s">
        <v>323</v>
      </c>
      <c r="R7" s="483"/>
      <c r="S7" s="483" t="s">
        <v>1</v>
      </c>
      <c r="T7" s="483"/>
      <c r="U7" s="483"/>
      <c r="V7" s="483"/>
      <c r="W7" s="483"/>
      <c r="X7" s="483"/>
      <c r="Y7" s="483"/>
      <c r="Z7" s="85" t="s">
        <v>324</v>
      </c>
    </row>
    <row r="8" spans="1:26" x14ac:dyDescent="0.3">
      <c r="A8" s="18"/>
      <c r="B8" s="275" t="str" cm="1">
        <f t="array" ref="B8">_xll.U.PASTE("Starting script",E7)</f>
        <v>Blocked by script First_Example</v>
      </c>
      <c r="C8" s="181" t="s">
        <v>1539</v>
      </c>
      <c r="D8" s="21"/>
      <c r="E8" s="109">
        <v>3</v>
      </c>
      <c r="F8" s="21"/>
      <c r="G8" s="21"/>
      <c r="H8" s="21"/>
      <c r="I8" s="21"/>
      <c r="J8" s="21"/>
      <c r="K8" s="21"/>
      <c r="L8" s="21"/>
      <c r="M8" s="21"/>
      <c r="N8" s="21"/>
      <c r="O8" s="20"/>
      <c r="Q8" s="487" t="s">
        <v>1544</v>
      </c>
      <c r="R8" s="487"/>
      <c r="S8" s="487" t="s">
        <v>1547</v>
      </c>
      <c r="T8" s="487"/>
      <c r="U8" s="487"/>
      <c r="V8" s="487"/>
      <c r="W8" s="487"/>
      <c r="X8" s="487"/>
      <c r="Y8" s="487"/>
      <c r="Z8" s="509" t="s">
        <v>325</v>
      </c>
    </row>
    <row r="9" spans="1:26" x14ac:dyDescent="0.3">
      <c r="A9" s="18"/>
      <c r="B9" s="274" t="str" cm="1">
        <f t="array" ref="B9">_xll.U.PASTE("Waiting…",$E$8)</f>
        <v>Blocked by script First_Example</v>
      </c>
      <c r="C9" s="181" t="s">
        <v>1540</v>
      </c>
      <c r="D9" s="21"/>
      <c r="E9" s="338">
        <v>45228.350303819439</v>
      </c>
      <c r="F9" s="21"/>
      <c r="G9" s="21"/>
      <c r="H9" s="21"/>
      <c r="I9" s="21"/>
      <c r="J9" s="21"/>
      <c r="K9" s="21"/>
      <c r="L9" s="21"/>
      <c r="M9" s="21"/>
      <c r="N9" s="21"/>
      <c r="O9" s="20"/>
      <c r="Q9" s="487"/>
      <c r="R9" s="487"/>
      <c r="S9" s="487"/>
      <c r="T9" s="487"/>
      <c r="U9" s="487"/>
      <c r="V9" s="487"/>
      <c r="W9" s="487"/>
      <c r="X9" s="487"/>
      <c r="Y9" s="487"/>
      <c r="Z9" s="509"/>
    </row>
    <row r="10" spans="1:26" x14ac:dyDescent="0.3">
      <c r="A10" s="18"/>
      <c r="B10" s="274" t="s">
        <v>1595</v>
      </c>
      <c r="C10" s="181" t="s">
        <v>1596</v>
      </c>
      <c r="D10" s="21"/>
      <c r="E10" s="21"/>
      <c r="F10" s="21"/>
      <c r="G10" s="179" t="s">
        <v>3553</v>
      </c>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74" t="str" cm="1">
        <f t="array" ref="B11">_xll.U.PASTE(3,$E$8)</f>
        <v>Blocked by script First_Example</v>
      </c>
      <c r="C11" s="181" t="s">
        <v>1644</v>
      </c>
      <c r="D11" s="21"/>
      <c r="E11" s="190" t="s">
        <v>2774</v>
      </c>
      <c r="F11" s="21"/>
      <c r="G11" s="249" t="s">
        <v>3739</v>
      </c>
      <c r="H11" s="21"/>
      <c r="I11" s="21"/>
      <c r="J11" s="21"/>
      <c r="K11" s="21"/>
      <c r="L11" s="21"/>
      <c r="M11" s="21"/>
      <c r="N11" s="21"/>
      <c r="O11" s="20"/>
      <c r="Q11" s="487" t="s">
        <v>1548</v>
      </c>
      <c r="R11" s="487"/>
      <c r="S11" s="487" t="s">
        <v>1645</v>
      </c>
      <c r="T11" s="487"/>
      <c r="U11" s="487"/>
      <c r="V11" s="487"/>
      <c r="W11" s="487"/>
      <c r="X11" s="487"/>
      <c r="Y11" s="487"/>
      <c r="Z11" s="509" t="s">
        <v>325</v>
      </c>
    </row>
    <row r="12" spans="1:26" x14ac:dyDescent="0.3">
      <c r="A12" s="18"/>
      <c r="B12" s="274" t="str" cm="1">
        <f t="array" ref="B12">_xll.U.FORMAT_STRING("while({0})",E12)</f>
        <v>while(True)</v>
      </c>
      <c r="C12" s="181" t="s">
        <v>1599</v>
      </c>
      <c r="D12" s="21"/>
      <c r="E12" s="30" t="b">
        <f>E8&gt;0</f>
        <v>1</v>
      </c>
      <c r="F12" s="21"/>
      <c r="G12" s="21"/>
      <c r="H12" s="21"/>
      <c r="I12" s="21"/>
      <c r="J12" s="21"/>
      <c r="K12" s="21"/>
      <c r="L12" s="21"/>
      <c r="M12" s="21"/>
      <c r="N12" s="21"/>
      <c r="O12" s="20"/>
      <c r="Q12" s="487"/>
      <c r="R12" s="487"/>
      <c r="S12" s="487"/>
      <c r="T12" s="487"/>
      <c r="U12" s="487"/>
      <c r="V12" s="487"/>
      <c r="W12" s="487"/>
      <c r="X12" s="487"/>
      <c r="Y12" s="487"/>
      <c r="Z12" s="509"/>
    </row>
    <row r="13" spans="1:26" x14ac:dyDescent="0.3">
      <c r="A13" s="18"/>
      <c r="B13" s="274" t="s">
        <v>1541</v>
      </c>
      <c r="C13" s="181" t="s">
        <v>1542</v>
      </c>
      <c r="D13" s="21"/>
      <c r="E13" s="21"/>
      <c r="F13" s="21"/>
      <c r="G13" s="21"/>
      <c r="H13" s="21"/>
      <c r="I13" s="21"/>
      <c r="J13" s="21"/>
      <c r="K13" s="21"/>
      <c r="L13" s="21"/>
      <c r="M13" s="21"/>
      <c r="N13" s="21"/>
      <c r="O13" s="20"/>
      <c r="Q13" s="487"/>
      <c r="R13" s="487"/>
      <c r="S13" s="487"/>
      <c r="T13" s="487"/>
      <c r="U13" s="487"/>
      <c r="V13" s="487"/>
      <c r="W13" s="487"/>
      <c r="X13" s="487"/>
      <c r="Y13" s="487"/>
      <c r="Z13" s="509"/>
    </row>
    <row r="14" spans="1:26" x14ac:dyDescent="0.3">
      <c r="A14" s="18"/>
      <c r="B14" s="274" t="str" cm="1">
        <f t="array" ref="B14">_xll.U.PASTE(E8-1,E8)</f>
        <v>Blocked by script First_Example</v>
      </c>
      <c r="C14" s="181" t="s">
        <v>1597</v>
      </c>
      <c r="D14" s="21"/>
      <c r="E14" s="21"/>
      <c r="F14" s="21"/>
      <c r="G14" s="21"/>
      <c r="H14" s="21"/>
      <c r="I14" s="21"/>
      <c r="J14" s="21"/>
      <c r="K14" s="21"/>
      <c r="L14" s="21"/>
      <c r="M14" s="21"/>
      <c r="N14" s="21"/>
      <c r="O14" s="20"/>
      <c r="Q14" s="496" t="s">
        <v>522</v>
      </c>
      <c r="R14" s="497"/>
      <c r="S14" s="496" t="s">
        <v>1549</v>
      </c>
      <c r="T14" s="502"/>
      <c r="U14" s="502"/>
      <c r="V14" s="502"/>
      <c r="W14" s="502"/>
      <c r="X14" s="502"/>
      <c r="Y14" s="497"/>
      <c r="Z14" s="505" t="s">
        <v>326</v>
      </c>
    </row>
    <row r="15" spans="1:26" x14ac:dyDescent="0.3">
      <c r="A15" s="18"/>
      <c r="B15" s="274" t="s">
        <v>1598</v>
      </c>
      <c r="C15" s="181" t="s">
        <v>1600</v>
      </c>
      <c r="D15" s="2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274" t="str" cm="1">
        <f t="array" ref="B16">_xll.U.PASTE(TEXT("U.NOW()","yyyy-MM-dd HH:mm:ss"),E9)</f>
        <v>Blocked by script First_Example</v>
      </c>
      <c r="C16" s="181" t="s">
        <v>1537</v>
      </c>
      <c r="D16" s="21"/>
      <c r="E16" s="21"/>
      <c r="F16" s="21"/>
      <c r="G16" s="21"/>
      <c r="H16" s="21"/>
      <c r="I16" s="21"/>
      <c r="J16" s="21"/>
      <c r="K16" s="21"/>
      <c r="L16" s="21"/>
      <c r="M16" s="21"/>
      <c r="N16" s="21"/>
      <c r="O16" s="20"/>
      <c r="Q16" s="500"/>
      <c r="R16" s="501"/>
      <c r="S16" s="500"/>
      <c r="T16" s="504"/>
      <c r="U16" s="504"/>
      <c r="V16" s="504"/>
      <c r="W16" s="504"/>
      <c r="X16" s="504"/>
      <c r="Y16" s="501"/>
      <c r="Z16" s="507"/>
    </row>
    <row r="17" spans="1:26" x14ac:dyDescent="0.3">
      <c r="A17" s="18"/>
      <c r="B17" s="274" t="str" cm="1">
        <f t="array" ref="B17">_xll.U.MESSAGE_BOX("Example script done at "&amp;TEXT(E9,"h:mm:ss AM/PM"))</f>
        <v>Blocked by script First_Example</v>
      </c>
      <c r="C17" s="181" t="s">
        <v>1538</v>
      </c>
      <c r="D17" s="21"/>
      <c r="E17" s="21"/>
      <c r="F17" s="21"/>
      <c r="G17" s="21"/>
      <c r="H17" s="21"/>
      <c r="I17" s="21"/>
      <c r="J17" s="21"/>
      <c r="K17" s="21"/>
      <c r="L17" s="21"/>
      <c r="M17" s="21"/>
      <c r="N17" s="21"/>
      <c r="O17" s="20"/>
      <c r="Q17" s="496" t="s">
        <v>447</v>
      </c>
      <c r="R17" s="497"/>
      <c r="S17" s="496" t="s">
        <v>1550</v>
      </c>
      <c r="T17" s="502"/>
      <c r="U17" s="502"/>
      <c r="V17" s="502"/>
      <c r="W17" s="502"/>
      <c r="X17" s="502"/>
      <c r="Y17" s="497"/>
      <c r="Z17" s="505" t="s">
        <v>326</v>
      </c>
    </row>
    <row r="18" spans="1:26" x14ac:dyDescent="0.3">
      <c r="A18" s="18"/>
      <c r="B18" s="21"/>
      <c r="C18" s="21" t="s">
        <v>71</v>
      </c>
      <c r="D18" s="21"/>
      <c r="E18" s="21"/>
      <c r="F18" s="21"/>
      <c r="G18" s="21"/>
      <c r="H18" s="21"/>
      <c r="I18" s="21"/>
      <c r="J18" s="21"/>
      <c r="K18" s="21"/>
      <c r="L18" s="21"/>
      <c r="M18" s="21"/>
      <c r="N18" s="21"/>
      <c r="O18" s="20"/>
      <c r="Q18" s="498"/>
      <c r="R18" s="499"/>
      <c r="S18" s="498"/>
      <c r="T18" s="503"/>
      <c r="U18" s="503"/>
      <c r="V18" s="503"/>
      <c r="W18" s="503"/>
      <c r="X18" s="503"/>
      <c r="Y18" s="499"/>
      <c r="Z18" s="506"/>
    </row>
    <row r="19" spans="1:26" x14ac:dyDescent="0.3">
      <c r="A19" s="18"/>
      <c r="B19" s="21"/>
      <c r="C19" s="21" t="s">
        <v>71</v>
      </c>
      <c r="D19" s="99"/>
      <c r="E19" s="21"/>
      <c r="F19" s="21"/>
      <c r="G19" s="21"/>
      <c r="H19" s="21"/>
      <c r="I19" s="21"/>
      <c r="J19" s="21"/>
      <c r="K19" s="21"/>
      <c r="L19" s="21"/>
      <c r="M19" s="21"/>
      <c r="N19" s="21"/>
      <c r="O19" s="20"/>
      <c r="Q19" s="500"/>
      <c r="R19" s="501"/>
      <c r="S19" s="500"/>
      <c r="T19" s="504"/>
      <c r="U19" s="504"/>
      <c r="V19" s="504"/>
      <c r="W19" s="504"/>
      <c r="X19" s="504"/>
      <c r="Y19" s="501"/>
      <c r="Z19" s="507"/>
    </row>
    <row r="20" spans="1:26" x14ac:dyDescent="0.3">
      <c r="A20" s="18"/>
      <c r="B20" s="21"/>
      <c r="C20" s="21" t="s">
        <v>71</v>
      </c>
      <c r="D20" s="21"/>
      <c r="E20" s="21"/>
      <c r="F20" s="21"/>
      <c r="G20" s="21"/>
      <c r="H20" s="21"/>
      <c r="I20" s="21"/>
      <c r="J20" s="21"/>
      <c r="K20" s="21"/>
      <c r="L20" s="21"/>
      <c r="M20" s="21"/>
      <c r="N20" s="21"/>
      <c r="O20" s="20"/>
      <c r="Q20" s="496" t="s">
        <v>1551</v>
      </c>
      <c r="R20" s="497"/>
      <c r="S20" s="496" t="s">
        <v>1552</v>
      </c>
      <c r="T20" s="502"/>
      <c r="U20" s="502"/>
      <c r="V20" s="502"/>
      <c r="W20" s="502"/>
      <c r="X20" s="502"/>
      <c r="Y20" s="497"/>
      <c r="Z20" s="505" t="s">
        <v>326</v>
      </c>
    </row>
    <row r="21" spans="1:26" x14ac:dyDescent="0.3">
      <c r="A21" s="18"/>
      <c r="B21" s="101" t="s">
        <v>1533</v>
      </c>
      <c r="C21" s="21"/>
      <c r="D21" s="21"/>
      <c r="E21" s="21"/>
      <c r="F21" s="21"/>
      <c r="G21" s="21"/>
      <c r="H21" s="21"/>
      <c r="I21" s="21"/>
      <c r="J21" s="21"/>
      <c r="K21" s="21"/>
      <c r="L21" s="21"/>
      <c r="M21" s="21"/>
      <c r="N21" s="21"/>
      <c r="O21" s="20"/>
      <c r="Q21" s="498"/>
      <c r="R21" s="499"/>
      <c r="S21" s="498"/>
      <c r="T21" s="503"/>
      <c r="U21" s="503"/>
      <c r="V21" s="503"/>
      <c r="W21" s="503"/>
      <c r="X21" s="503"/>
      <c r="Y21" s="499"/>
      <c r="Z21" s="506"/>
    </row>
    <row r="22" spans="1:26" x14ac:dyDescent="0.3">
      <c r="A22" s="18"/>
      <c r="B22" s="30" t="s">
        <v>3766</v>
      </c>
      <c r="C22" s="21"/>
      <c r="D22" s="21"/>
      <c r="E22" s="21"/>
      <c r="F22" s="21"/>
      <c r="G22" s="21"/>
      <c r="H22" s="21"/>
      <c r="I22" s="21"/>
      <c r="J22" s="21"/>
      <c r="K22" s="21"/>
      <c r="L22" s="21"/>
      <c r="M22" s="21"/>
      <c r="N22" s="21"/>
      <c r="O22" s="20"/>
      <c r="Q22" s="500"/>
      <c r="R22" s="501"/>
      <c r="S22" s="500"/>
      <c r="T22" s="504"/>
      <c r="U22" s="504"/>
      <c r="V22" s="504"/>
      <c r="W22" s="504"/>
      <c r="X22" s="504"/>
      <c r="Y22" s="501"/>
      <c r="Z22" s="507"/>
    </row>
    <row r="23" spans="1:26" x14ac:dyDescent="0.3">
      <c r="A23" s="18"/>
      <c r="B23" s="30" t="s">
        <v>3765</v>
      </c>
      <c r="C23" s="21"/>
      <c r="D23" s="21"/>
      <c r="E23" s="21"/>
      <c r="F23" s="21"/>
      <c r="G23" s="21"/>
      <c r="H23" s="21"/>
      <c r="I23" s="21"/>
      <c r="J23" s="21"/>
      <c r="K23" s="21"/>
      <c r="L23" s="21"/>
      <c r="M23" s="21"/>
      <c r="N23" s="21"/>
      <c r="O23" s="20"/>
      <c r="Q23" s="126" t="s">
        <v>328</v>
      </c>
    </row>
    <row r="24" spans="1:26" x14ac:dyDescent="0.3">
      <c r="A24" s="18"/>
      <c r="B24" s="30" t="s">
        <v>3764</v>
      </c>
      <c r="C24" s="21"/>
      <c r="D24" s="21"/>
      <c r="E24" s="21"/>
      <c r="F24" s="21"/>
      <c r="G24" s="21"/>
      <c r="H24" s="21"/>
      <c r="I24" s="21"/>
      <c r="J24" s="21"/>
      <c r="K24" s="21"/>
      <c r="L24" s="21"/>
      <c r="M24" s="21"/>
      <c r="N24" s="21"/>
      <c r="O24" s="20"/>
    </row>
    <row r="25" spans="1:26" x14ac:dyDescent="0.3">
      <c r="A25" s="18"/>
      <c r="B25" s="30" t="s">
        <v>3763</v>
      </c>
      <c r="C25" s="21"/>
      <c r="D25" s="21"/>
      <c r="E25" s="21"/>
      <c r="F25" s="21"/>
      <c r="G25" s="21"/>
      <c r="H25" s="21"/>
      <c r="I25" s="21"/>
      <c r="J25" s="21"/>
      <c r="K25" s="21"/>
      <c r="L25" s="21"/>
      <c r="M25" s="21"/>
      <c r="N25" s="21"/>
      <c r="O25" s="20"/>
    </row>
    <row r="26" spans="1:26" x14ac:dyDescent="0.3">
      <c r="A26" s="18"/>
      <c r="B26" s="30" t="s">
        <v>3762</v>
      </c>
      <c r="C26" s="21"/>
      <c r="D26" s="21"/>
      <c r="E26" s="21"/>
      <c r="F26" s="21"/>
      <c r="G26" s="21"/>
      <c r="H26" s="21"/>
      <c r="I26" s="21"/>
      <c r="J26" s="21"/>
      <c r="K26" s="21"/>
      <c r="L26" s="21"/>
      <c r="M26" s="21"/>
      <c r="N26" s="21"/>
      <c r="O26" s="20"/>
      <c r="Q26" s="486" t="s">
        <v>3553</v>
      </c>
      <c r="R26" s="486"/>
      <c r="S26" s="486"/>
      <c r="T26" s="486"/>
      <c r="U26" s="486"/>
      <c r="V26" s="486"/>
      <c r="W26" s="486"/>
      <c r="X26" s="486"/>
      <c r="Y26" s="486"/>
      <c r="Z26" s="486"/>
    </row>
    <row r="27" spans="1:26" x14ac:dyDescent="0.3">
      <c r="A27" s="18"/>
      <c r="B27" s="30" t="s">
        <v>3761</v>
      </c>
      <c r="C27" s="21"/>
      <c r="D27" s="21"/>
      <c r="E27" s="21"/>
      <c r="F27" s="21"/>
      <c r="G27" s="21"/>
      <c r="H27" s="21"/>
      <c r="I27" s="21"/>
      <c r="J27" s="21"/>
      <c r="K27" s="21"/>
      <c r="L27" s="21"/>
      <c r="M27" s="21"/>
      <c r="N27" s="21"/>
      <c r="O27" s="20"/>
      <c r="Q27" s="487" t="s">
        <v>333</v>
      </c>
      <c r="R27" s="487"/>
      <c r="S27" s="487" t="s">
        <v>3554</v>
      </c>
      <c r="T27" s="487"/>
      <c r="U27" s="487"/>
      <c r="V27" s="487"/>
      <c r="W27" s="487"/>
      <c r="X27" s="487"/>
      <c r="Y27" s="487"/>
      <c r="Z27" s="487"/>
    </row>
    <row r="28" spans="1:26" x14ac:dyDescent="0.3">
      <c r="A28" s="18"/>
      <c r="B28" s="30" t="s">
        <v>3760</v>
      </c>
      <c r="C28" s="21"/>
      <c r="D28" s="21"/>
      <c r="E28" s="21"/>
      <c r="F28" s="21"/>
      <c r="G28" s="21"/>
      <c r="H28" s="21"/>
      <c r="I28" s="21"/>
      <c r="J28" s="21"/>
      <c r="K28" s="21"/>
      <c r="L28" s="21"/>
      <c r="M28" s="21"/>
      <c r="N28" s="21"/>
      <c r="O28" s="20"/>
      <c r="Q28" s="487"/>
      <c r="R28" s="487"/>
      <c r="S28" s="487"/>
      <c r="T28" s="487"/>
      <c r="U28" s="487"/>
      <c r="V28" s="487"/>
      <c r="W28" s="487"/>
      <c r="X28" s="487"/>
      <c r="Y28" s="487"/>
      <c r="Z28" s="487"/>
    </row>
    <row r="29" spans="1:26" x14ac:dyDescent="0.3">
      <c r="A29" s="18"/>
      <c r="B29" s="30" t="s">
        <v>3759</v>
      </c>
      <c r="C29" s="21"/>
      <c r="D29" s="21"/>
      <c r="E29" s="21"/>
      <c r="F29" s="21"/>
      <c r="G29" s="21"/>
      <c r="H29" s="21"/>
      <c r="I29" s="21"/>
      <c r="J29" s="21"/>
      <c r="K29" s="21"/>
      <c r="L29" s="21"/>
      <c r="M29" s="21"/>
      <c r="N29" s="21"/>
      <c r="O29" s="20"/>
      <c r="Q29" s="487"/>
      <c r="R29" s="487"/>
      <c r="S29" s="487"/>
      <c r="T29" s="487"/>
      <c r="U29" s="487"/>
      <c r="V29" s="487"/>
      <c r="W29" s="487"/>
      <c r="X29" s="487"/>
      <c r="Y29" s="487"/>
      <c r="Z29" s="487"/>
    </row>
    <row r="30" spans="1:26" x14ac:dyDescent="0.3">
      <c r="A30" s="18"/>
      <c r="B30" s="30" t="s">
        <v>3758</v>
      </c>
      <c r="C30" s="21"/>
      <c r="D30" s="21"/>
      <c r="E30" s="21"/>
      <c r="F30" s="21"/>
      <c r="G30" s="21"/>
      <c r="H30" s="21"/>
      <c r="I30" s="21"/>
      <c r="J30" s="21"/>
      <c r="K30" s="21"/>
      <c r="L30" s="21"/>
      <c r="M30" s="21"/>
      <c r="N30" s="21"/>
      <c r="O30" s="20"/>
      <c r="Q30" s="483" t="s">
        <v>323</v>
      </c>
      <c r="R30" s="483"/>
      <c r="S30" s="483" t="s">
        <v>1</v>
      </c>
      <c r="T30" s="483"/>
      <c r="U30" s="483"/>
      <c r="V30" s="483"/>
      <c r="W30" s="483"/>
      <c r="X30" s="483"/>
      <c r="Y30" s="483"/>
      <c r="Z30" s="85" t="s">
        <v>324</v>
      </c>
    </row>
    <row r="31" spans="1:26" x14ac:dyDescent="0.3">
      <c r="A31" s="18"/>
      <c r="B31" s="30" t="s">
        <v>3757</v>
      </c>
      <c r="C31" s="21"/>
      <c r="D31" s="21"/>
      <c r="E31" s="21"/>
      <c r="F31" s="21"/>
      <c r="G31" s="21"/>
      <c r="H31" s="21"/>
      <c r="I31" s="21"/>
      <c r="J31" s="21"/>
      <c r="K31" s="21"/>
      <c r="L31" s="21"/>
      <c r="M31" s="21"/>
      <c r="N31" s="21"/>
      <c r="O31" s="20"/>
      <c r="Q31" s="487" t="s">
        <v>1544</v>
      </c>
      <c r="R31" s="487"/>
      <c r="S31" s="487" t="s">
        <v>1601</v>
      </c>
      <c r="T31" s="487"/>
      <c r="U31" s="487"/>
      <c r="V31" s="487"/>
      <c r="W31" s="487"/>
      <c r="X31" s="487"/>
      <c r="Y31" s="487"/>
      <c r="Z31" s="509" t="s">
        <v>325</v>
      </c>
    </row>
    <row r="32" spans="1:26" x14ac:dyDescent="0.3">
      <c r="A32" s="18"/>
      <c r="B32" s="30" t="s">
        <v>3756</v>
      </c>
      <c r="C32" s="21"/>
      <c r="D32" s="21"/>
      <c r="E32" s="21"/>
      <c r="F32" s="21"/>
      <c r="G32" s="21"/>
      <c r="H32" s="21"/>
      <c r="I32" s="21"/>
      <c r="J32" s="21"/>
      <c r="K32" s="21"/>
      <c r="L32" s="21"/>
      <c r="M32" s="21"/>
      <c r="N32" s="21"/>
      <c r="O32" s="20"/>
      <c r="Q32" s="487"/>
      <c r="R32" s="487"/>
      <c r="S32" s="487"/>
      <c r="T32" s="487"/>
      <c r="U32" s="487"/>
      <c r="V32" s="487"/>
      <c r="W32" s="487"/>
      <c r="X32" s="487"/>
      <c r="Y32" s="487"/>
      <c r="Z32" s="509"/>
    </row>
    <row r="33" spans="1:26" x14ac:dyDescent="0.3">
      <c r="A33" s="18"/>
      <c r="B33" s="30" t="s">
        <v>3755</v>
      </c>
      <c r="C33" s="21"/>
      <c r="D33" s="21"/>
      <c r="E33" s="21"/>
      <c r="F33" s="21"/>
      <c r="G33" s="21"/>
      <c r="H33" s="21"/>
      <c r="I33" s="21"/>
      <c r="J33" s="21"/>
      <c r="K33" s="21"/>
      <c r="L33" s="21"/>
      <c r="M33" s="21"/>
      <c r="N33" s="21"/>
      <c r="O33" s="20"/>
      <c r="Q33" s="487"/>
      <c r="R33" s="487"/>
      <c r="S33" s="487"/>
      <c r="T33" s="487"/>
      <c r="U33" s="487"/>
      <c r="V33" s="487"/>
      <c r="W33" s="487"/>
      <c r="X33" s="487"/>
      <c r="Y33" s="487"/>
      <c r="Z33" s="509"/>
    </row>
    <row r="34" spans="1:26" x14ac:dyDescent="0.3">
      <c r="A34" s="18"/>
      <c r="B34" s="30" t="s">
        <v>3754</v>
      </c>
      <c r="C34" s="21"/>
      <c r="D34" s="21"/>
      <c r="E34" s="21"/>
      <c r="F34" s="21"/>
      <c r="G34" s="21"/>
      <c r="H34" s="21"/>
      <c r="I34" s="21"/>
      <c r="J34" s="21"/>
      <c r="K34" s="21"/>
      <c r="L34" s="21"/>
      <c r="M34" s="21"/>
      <c r="N34" s="21"/>
      <c r="O34" s="20"/>
      <c r="Q34" s="484" t="s">
        <v>1545</v>
      </c>
      <c r="R34" s="484"/>
      <c r="S34" s="484" t="s">
        <v>1602</v>
      </c>
      <c r="T34" s="484"/>
      <c r="U34" s="484"/>
      <c r="V34" s="484"/>
      <c r="W34" s="484"/>
      <c r="X34" s="484"/>
      <c r="Y34" s="484"/>
      <c r="Z34" s="485" t="s">
        <v>326</v>
      </c>
    </row>
    <row r="35" spans="1:26" x14ac:dyDescent="0.3">
      <c r="A35" s="18"/>
      <c r="B35" s="30" t="s">
        <v>3753</v>
      </c>
      <c r="C35" s="21"/>
      <c r="D35" s="21"/>
      <c r="E35" s="21"/>
      <c r="F35" s="21"/>
      <c r="G35" s="21"/>
      <c r="H35" s="21"/>
      <c r="I35" s="21"/>
      <c r="J35" s="21"/>
      <c r="K35" s="21"/>
      <c r="L35" s="21"/>
      <c r="M35" s="21"/>
      <c r="N35" s="21"/>
      <c r="O35" s="20"/>
      <c r="Q35" s="484"/>
      <c r="R35" s="484"/>
      <c r="S35" s="484"/>
      <c r="T35" s="484"/>
      <c r="U35" s="484"/>
      <c r="V35" s="484"/>
      <c r="W35" s="484"/>
      <c r="X35" s="484"/>
      <c r="Y35" s="484"/>
      <c r="Z35" s="485"/>
    </row>
    <row r="36" spans="1:26" x14ac:dyDescent="0.3">
      <c r="A36" s="18"/>
      <c r="B36" s="30" t="s">
        <v>3752</v>
      </c>
      <c r="C36" s="21"/>
      <c r="D36" s="21"/>
      <c r="E36" s="21"/>
      <c r="F36" s="21"/>
      <c r="G36" s="21"/>
      <c r="H36" s="21"/>
      <c r="I36" s="21"/>
      <c r="J36" s="21"/>
      <c r="K36" s="21"/>
      <c r="L36" s="21"/>
      <c r="M36" s="21"/>
      <c r="N36" s="21"/>
      <c r="O36" s="20"/>
      <c r="Q36" s="484"/>
      <c r="R36" s="484"/>
      <c r="S36" s="484"/>
      <c r="T36" s="484"/>
      <c r="U36" s="484"/>
      <c r="V36" s="484"/>
      <c r="W36" s="484"/>
      <c r="X36" s="484"/>
      <c r="Y36" s="484"/>
      <c r="Z36" s="485"/>
    </row>
    <row r="37" spans="1:26" x14ac:dyDescent="0.3">
      <c r="A37" s="18"/>
      <c r="B37" s="30" t="s">
        <v>3751</v>
      </c>
      <c r="C37" s="21"/>
      <c r="D37" s="21"/>
      <c r="E37" s="21"/>
      <c r="F37" s="21"/>
      <c r="G37" s="21"/>
      <c r="H37" s="21"/>
      <c r="I37" s="21"/>
      <c r="J37" s="21"/>
      <c r="K37" s="21"/>
      <c r="L37" s="21"/>
      <c r="M37" s="21"/>
      <c r="N37" s="21"/>
      <c r="O37" s="20"/>
      <c r="Q37" s="496" t="s">
        <v>522</v>
      </c>
      <c r="R37" s="497"/>
      <c r="S37" s="496" t="s">
        <v>2456</v>
      </c>
      <c r="T37" s="502"/>
      <c r="U37" s="502"/>
      <c r="V37" s="502"/>
      <c r="W37" s="502"/>
      <c r="X37" s="502"/>
      <c r="Y37" s="497"/>
      <c r="Z37" s="505" t="s">
        <v>326</v>
      </c>
    </row>
    <row r="38" spans="1:26" x14ac:dyDescent="0.3">
      <c r="A38" s="18"/>
      <c r="B38" s="30" t="s">
        <v>3750</v>
      </c>
      <c r="C38" s="21"/>
      <c r="D38" s="21"/>
      <c r="E38" s="21"/>
      <c r="F38" s="21"/>
      <c r="G38" s="21"/>
      <c r="H38" s="21"/>
      <c r="I38" s="21"/>
      <c r="J38" s="21"/>
      <c r="K38" s="21"/>
      <c r="L38" s="21"/>
      <c r="M38" s="21"/>
      <c r="N38" s="21"/>
      <c r="O38" s="20"/>
      <c r="Q38" s="498"/>
      <c r="R38" s="499"/>
      <c r="S38" s="498"/>
      <c r="T38" s="503"/>
      <c r="U38" s="503"/>
      <c r="V38" s="503"/>
      <c r="W38" s="503"/>
      <c r="X38" s="503"/>
      <c r="Y38" s="499"/>
      <c r="Z38" s="506"/>
    </row>
    <row r="39" spans="1:26" x14ac:dyDescent="0.3">
      <c r="A39" s="18"/>
      <c r="B39" s="30" t="s">
        <v>3749</v>
      </c>
      <c r="C39" s="21"/>
      <c r="D39" s="21"/>
      <c r="E39" s="21"/>
      <c r="F39" s="21"/>
      <c r="G39" s="21"/>
      <c r="H39" s="21"/>
      <c r="I39" s="21"/>
      <c r="J39" s="21"/>
      <c r="K39" s="21"/>
      <c r="L39" s="21"/>
      <c r="M39" s="21"/>
      <c r="N39" s="21"/>
      <c r="O39" s="20"/>
      <c r="Q39" s="500"/>
      <c r="R39" s="501"/>
      <c r="S39" s="500"/>
      <c r="T39" s="504"/>
      <c r="U39" s="504"/>
      <c r="V39" s="504"/>
      <c r="W39" s="504"/>
      <c r="X39" s="504"/>
      <c r="Y39" s="501"/>
      <c r="Z39" s="507"/>
    </row>
    <row r="40" spans="1:26" x14ac:dyDescent="0.3">
      <c r="A40" s="18"/>
      <c r="B40" s="30" t="s">
        <v>3748</v>
      </c>
      <c r="C40" s="21"/>
      <c r="D40" s="21"/>
      <c r="E40" s="21"/>
      <c r="F40" s="21"/>
      <c r="G40" s="21"/>
      <c r="H40" s="21"/>
      <c r="I40" s="21"/>
      <c r="J40" s="21"/>
      <c r="K40" s="21"/>
      <c r="L40" s="21"/>
      <c r="M40" s="21"/>
      <c r="N40" s="21"/>
      <c r="O40" s="20"/>
      <c r="Q40" s="496" t="s">
        <v>1553</v>
      </c>
      <c r="R40" s="497"/>
      <c r="S40" s="496" t="s">
        <v>1554</v>
      </c>
      <c r="T40" s="502"/>
      <c r="U40" s="502"/>
      <c r="V40" s="502"/>
      <c r="W40" s="502"/>
      <c r="X40" s="502"/>
      <c r="Y40" s="497"/>
      <c r="Z40" s="505" t="s">
        <v>326</v>
      </c>
    </row>
    <row r="41" spans="1:26" x14ac:dyDescent="0.3">
      <c r="A41" s="18"/>
      <c r="B41" s="30" t="s">
        <v>3747</v>
      </c>
      <c r="C41" s="21"/>
      <c r="D41" s="21"/>
      <c r="E41" s="21"/>
      <c r="F41" s="21"/>
      <c r="G41" s="21"/>
      <c r="H41" s="21"/>
      <c r="I41" s="21"/>
      <c r="J41" s="21"/>
      <c r="K41" s="21"/>
      <c r="L41" s="21"/>
      <c r="M41" s="21"/>
      <c r="N41" s="21"/>
      <c r="O41" s="20"/>
      <c r="Q41" s="498"/>
      <c r="R41" s="499"/>
      <c r="S41" s="498"/>
      <c r="T41" s="503"/>
      <c r="U41" s="503"/>
      <c r="V41" s="503"/>
      <c r="W41" s="503"/>
      <c r="X41" s="503"/>
      <c r="Y41" s="499"/>
      <c r="Z41" s="506"/>
    </row>
    <row r="42" spans="1:26" x14ac:dyDescent="0.3">
      <c r="A42" s="18"/>
      <c r="B42" s="30" t="s">
        <v>3746</v>
      </c>
      <c r="C42" s="21"/>
      <c r="D42" s="21"/>
      <c r="E42" s="21"/>
      <c r="F42" s="21"/>
      <c r="G42" s="21"/>
      <c r="H42" s="21"/>
      <c r="I42" s="21"/>
      <c r="J42" s="21"/>
      <c r="K42" s="21"/>
      <c r="L42" s="21"/>
      <c r="M42" s="21"/>
      <c r="N42" s="21"/>
      <c r="O42" s="20"/>
      <c r="Q42" s="500"/>
      <c r="R42" s="501"/>
      <c r="S42" s="500"/>
      <c r="T42" s="504"/>
      <c r="U42" s="504"/>
      <c r="V42" s="504"/>
      <c r="W42" s="504"/>
      <c r="X42" s="504"/>
      <c r="Y42" s="501"/>
      <c r="Z42" s="507"/>
    </row>
    <row r="43" spans="1:26" x14ac:dyDescent="0.3">
      <c r="A43" s="18"/>
      <c r="B43" s="30" t="s">
        <v>3745</v>
      </c>
      <c r="C43" s="21"/>
      <c r="D43" s="21"/>
      <c r="E43" s="21"/>
      <c r="F43" s="21"/>
      <c r="G43" s="21"/>
      <c r="H43" s="21"/>
      <c r="I43" s="21"/>
      <c r="J43" s="21"/>
      <c r="K43" s="21"/>
      <c r="L43" s="21"/>
      <c r="M43" s="21"/>
      <c r="N43" s="21"/>
      <c r="O43" s="20"/>
      <c r="Q43" s="496" t="s">
        <v>1555</v>
      </c>
      <c r="R43" s="497"/>
      <c r="S43" s="496" t="s">
        <v>1557</v>
      </c>
      <c r="T43" s="502"/>
      <c r="U43" s="502"/>
      <c r="V43" s="502"/>
      <c r="W43" s="502"/>
      <c r="X43" s="502"/>
      <c r="Y43" s="497"/>
      <c r="Z43" s="505" t="s">
        <v>326</v>
      </c>
    </row>
    <row r="44" spans="1:26" x14ac:dyDescent="0.3">
      <c r="A44" s="18"/>
      <c r="B44" s="30" t="s">
        <v>3744</v>
      </c>
      <c r="C44" s="21"/>
      <c r="D44" s="21"/>
      <c r="E44" s="21"/>
      <c r="F44" s="21"/>
      <c r="G44" s="21"/>
      <c r="H44" s="21"/>
      <c r="I44" s="21"/>
      <c r="J44" s="21"/>
      <c r="K44" s="21"/>
      <c r="L44" s="21"/>
      <c r="M44" s="21"/>
      <c r="N44" s="21"/>
      <c r="O44" s="20"/>
      <c r="Q44" s="498"/>
      <c r="R44" s="499"/>
      <c r="S44" s="498"/>
      <c r="T44" s="503"/>
      <c r="U44" s="503"/>
      <c r="V44" s="503"/>
      <c r="W44" s="503"/>
      <c r="X44" s="503"/>
      <c r="Y44" s="499"/>
      <c r="Z44" s="506"/>
    </row>
    <row r="45" spans="1:26" x14ac:dyDescent="0.3">
      <c r="A45" s="18"/>
      <c r="B45" s="30" t="s">
        <v>3743</v>
      </c>
      <c r="C45" s="21"/>
      <c r="D45" s="21"/>
      <c r="E45" s="21"/>
      <c r="F45" s="21"/>
      <c r="G45" s="21"/>
      <c r="H45" s="21"/>
      <c r="I45" s="21"/>
      <c r="J45" s="21"/>
      <c r="K45" s="21"/>
      <c r="L45" s="21"/>
      <c r="M45" s="21"/>
      <c r="N45" s="21"/>
      <c r="O45" s="20"/>
      <c r="Q45" s="500"/>
      <c r="R45" s="501"/>
      <c r="S45" s="500"/>
      <c r="T45" s="504"/>
      <c r="U45" s="504"/>
      <c r="V45" s="504"/>
      <c r="W45" s="504"/>
      <c r="X45" s="504"/>
      <c r="Y45" s="501"/>
      <c r="Z45" s="507"/>
    </row>
    <row r="46" spans="1:26" x14ac:dyDescent="0.3">
      <c r="A46" s="18"/>
      <c r="B46" s="30" t="s">
        <v>3742</v>
      </c>
      <c r="C46" s="21"/>
      <c r="D46" s="21"/>
      <c r="E46" s="21"/>
      <c r="F46" s="21"/>
      <c r="G46" s="21"/>
      <c r="H46" s="21"/>
      <c r="I46" s="21"/>
      <c r="J46" s="21"/>
      <c r="K46" s="21"/>
      <c r="L46" s="21"/>
      <c r="M46" s="21"/>
      <c r="N46" s="21"/>
      <c r="O46" s="20"/>
      <c r="Q46" s="496" t="s">
        <v>447</v>
      </c>
      <c r="R46" s="497"/>
      <c r="S46" s="496" t="s">
        <v>1556</v>
      </c>
      <c r="T46" s="502"/>
      <c r="U46" s="502"/>
      <c r="V46" s="502"/>
      <c r="W46" s="502"/>
      <c r="X46" s="502"/>
      <c r="Y46" s="497"/>
      <c r="Z46" s="505" t="s">
        <v>326</v>
      </c>
    </row>
    <row r="47" spans="1:26" x14ac:dyDescent="0.3">
      <c r="A47" s="18"/>
      <c r="B47" s="30" t="s">
        <v>3741</v>
      </c>
      <c r="C47" s="21"/>
      <c r="D47" s="21"/>
      <c r="E47" s="21"/>
      <c r="F47" s="21"/>
      <c r="G47" s="21"/>
      <c r="H47" s="21"/>
      <c r="I47" s="21"/>
      <c r="J47" s="21"/>
      <c r="K47" s="21"/>
      <c r="L47" s="21"/>
      <c r="M47" s="21"/>
      <c r="N47" s="21"/>
      <c r="O47" s="20"/>
      <c r="Q47" s="498"/>
      <c r="R47" s="499"/>
      <c r="S47" s="498"/>
      <c r="T47" s="503"/>
      <c r="U47" s="503"/>
      <c r="V47" s="503"/>
      <c r="W47" s="503"/>
      <c r="X47" s="503"/>
      <c r="Y47" s="499"/>
      <c r="Z47" s="506"/>
    </row>
    <row r="48" spans="1:26" x14ac:dyDescent="0.3">
      <c r="A48" s="18"/>
      <c r="B48" s="30" t="s">
        <v>3740</v>
      </c>
      <c r="C48" s="21"/>
      <c r="D48" s="21"/>
      <c r="E48" s="21"/>
      <c r="F48" s="21"/>
      <c r="G48" s="21"/>
      <c r="H48" s="21"/>
      <c r="I48" s="21"/>
      <c r="J48" s="21"/>
      <c r="K48" s="21"/>
      <c r="L48" s="21"/>
      <c r="M48" s="21"/>
      <c r="N48" s="21"/>
      <c r="O48" s="20"/>
      <c r="Q48" s="500"/>
      <c r="R48" s="501"/>
      <c r="S48" s="500"/>
      <c r="T48" s="504"/>
      <c r="U48" s="504"/>
      <c r="V48" s="504"/>
      <c r="W48" s="504"/>
      <c r="X48" s="504"/>
      <c r="Y48" s="501"/>
      <c r="Z48" s="507"/>
    </row>
    <row r="49" spans="1:26" ht="15" customHeight="1" x14ac:dyDescent="0.3">
      <c r="A49" s="18"/>
      <c r="B49" s="21"/>
      <c r="C49" s="21"/>
      <c r="D49" s="21"/>
      <c r="E49" s="21"/>
      <c r="F49" s="21"/>
      <c r="G49" s="21"/>
      <c r="H49" s="21"/>
      <c r="I49" s="21"/>
      <c r="J49" s="21"/>
      <c r="K49" s="21"/>
      <c r="L49" s="21"/>
      <c r="M49" s="21"/>
      <c r="N49" s="21"/>
      <c r="O49" s="20"/>
      <c r="Q49" s="496" t="s">
        <v>2299</v>
      </c>
      <c r="R49" s="497"/>
      <c r="S49" s="496" t="s">
        <v>3678</v>
      </c>
      <c r="T49" s="502"/>
      <c r="U49" s="502"/>
      <c r="V49" s="502"/>
      <c r="W49" s="502"/>
      <c r="X49" s="502"/>
      <c r="Y49" s="497"/>
      <c r="Z49" s="505" t="s">
        <v>326</v>
      </c>
    </row>
    <row r="50" spans="1:26" x14ac:dyDescent="0.3">
      <c r="A50" s="18"/>
      <c r="B50" s="21"/>
      <c r="C50" s="21"/>
      <c r="D50" s="21"/>
      <c r="E50" s="21"/>
      <c r="F50" s="21"/>
      <c r="G50" s="21"/>
      <c r="H50" s="21"/>
      <c r="I50" s="21"/>
      <c r="J50" s="21"/>
      <c r="K50" s="21"/>
      <c r="L50" s="21"/>
      <c r="M50" s="21"/>
      <c r="N50" s="21"/>
      <c r="O50" s="20"/>
      <c r="Q50" s="498"/>
      <c r="R50" s="499"/>
      <c r="S50" s="498"/>
      <c r="T50" s="503"/>
      <c r="U50" s="503"/>
      <c r="V50" s="503"/>
      <c r="W50" s="503"/>
      <c r="X50" s="503"/>
      <c r="Y50" s="499"/>
      <c r="Z50" s="506"/>
    </row>
    <row r="51" spans="1:26" x14ac:dyDescent="0.3">
      <c r="A51" s="18"/>
      <c r="B51" s="21"/>
      <c r="C51" s="21"/>
      <c r="D51" s="21"/>
      <c r="E51" s="21"/>
      <c r="F51" s="21"/>
      <c r="G51" s="21"/>
      <c r="H51" s="21"/>
      <c r="I51" s="21"/>
      <c r="J51" s="21"/>
      <c r="K51" s="21"/>
      <c r="L51" s="21"/>
      <c r="M51" s="21"/>
      <c r="N51" s="21"/>
      <c r="O51" s="20"/>
      <c r="Q51" s="500"/>
      <c r="R51" s="501"/>
      <c r="S51" s="500"/>
      <c r="T51" s="504"/>
      <c r="U51" s="504"/>
      <c r="V51" s="504"/>
      <c r="W51" s="504"/>
      <c r="X51" s="504"/>
      <c r="Y51" s="501"/>
      <c r="Z51" s="507"/>
    </row>
    <row r="52" spans="1:26" x14ac:dyDescent="0.3">
      <c r="A52" s="18"/>
      <c r="B52" s="101" t="s">
        <v>1532</v>
      </c>
      <c r="C52" s="21"/>
      <c r="D52" s="21"/>
      <c r="E52" s="21"/>
      <c r="F52" s="21"/>
      <c r="G52" s="179" t="s">
        <v>3555</v>
      </c>
      <c r="H52" s="21"/>
      <c r="I52" s="21"/>
      <c r="J52" s="21"/>
      <c r="K52" s="21"/>
      <c r="L52" s="21"/>
      <c r="M52" s="21"/>
      <c r="N52" s="21"/>
      <c r="O52" s="20"/>
      <c r="Q52" s="126" t="s">
        <v>328</v>
      </c>
    </row>
    <row r="53" spans="1:26" x14ac:dyDescent="0.3">
      <c r="A53" s="18"/>
      <c r="B53" s="298" t="s">
        <v>1648</v>
      </c>
      <c r="C53" s="21"/>
      <c r="D53" s="21"/>
      <c r="E53" s="21"/>
      <c r="F53" s="21"/>
      <c r="G53" s="249" t="str" cm="1">
        <f t="array" ref="G53">_xll.U.CURRENT_SCRIPT()</f>
        <v/>
      </c>
      <c r="H53" s="21"/>
      <c r="I53" s="21"/>
      <c r="J53" s="21"/>
      <c r="K53" s="21"/>
      <c r="L53" s="21"/>
      <c r="M53" s="21"/>
      <c r="N53" s="21"/>
      <c r="O53" s="20"/>
    </row>
    <row r="54" spans="1:26" x14ac:dyDescent="0.3">
      <c r="A54" s="18"/>
      <c r="B54" s="21"/>
      <c r="C54" s="21"/>
      <c r="D54" s="21"/>
      <c r="E54" s="21"/>
      <c r="F54" s="21"/>
      <c r="G54" s="21"/>
      <c r="H54" s="21"/>
      <c r="I54" s="21"/>
      <c r="J54" s="21"/>
      <c r="K54" s="21"/>
      <c r="L54" s="21"/>
      <c r="M54" s="21"/>
      <c r="N54" s="21"/>
      <c r="O54" s="20"/>
    </row>
    <row r="55" spans="1:26" x14ac:dyDescent="0.3">
      <c r="A55" s="18"/>
      <c r="B55" s="21"/>
      <c r="C55" s="21"/>
      <c r="D55" s="21"/>
      <c r="E55" s="21"/>
      <c r="F55" s="21"/>
      <c r="G55" s="21"/>
      <c r="H55" s="21"/>
      <c r="I55" s="21"/>
      <c r="J55" s="21"/>
      <c r="K55" s="21"/>
      <c r="L55" s="21"/>
      <c r="M55" s="21"/>
      <c r="N55" s="21"/>
      <c r="O55" s="20"/>
      <c r="Q55" s="486" t="s">
        <v>3555</v>
      </c>
      <c r="R55" s="486"/>
      <c r="S55" s="486"/>
      <c r="T55" s="486"/>
      <c r="U55" s="486"/>
      <c r="V55" s="486"/>
      <c r="W55" s="486"/>
      <c r="X55" s="486"/>
      <c r="Y55" s="486"/>
      <c r="Z55" s="486"/>
    </row>
    <row r="56" spans="1:26" x14ac:dyDescent="0.3">
      <c r="A56" s="18"/>
      <c r="B56" s="21"/>
      <c r="C56" s="21"/>
      <c r="D56" s="21"/>
      <c r="E56" s="21"/>
      <c r="F56" s="21"/>
      <c r="G56" s="21"/>
      <c r="H56" s="21"/>
      <c r="I56" s="21"/>
      <c r="J56" s="21"/>
      <c r="K56" s="21"/>
      <c r="L56" s="21"/>
      <c r="M56" s="21"/>
      <c r="N56" s="21"/>
      <c r="O56" s="20"/>
      <c r="Q56" s="487" t="s">
        <v>333</v>
      </c>
      <c r="R56" s="487"/>
      <c r="S56" s="487" t="s">
        <v>1647</v>
      </c>
      <c r="T56" s="487"/>
      <c r="U56" s="487"/>
      <c r="V56" s="487"/>
      <c r="W56" s="487"/>
      <c r="X56" s="487"/>
      <c r="Y56" s="487"/>
      <c r="Z56" s="487"/>
    </row>
    <row r="57" spans="1:26" x14ac:dyDescent="0.3">
      <c r="A57" s="18"/>
      <c r="B57" s="21"/>
      <c r="C57" s="21"/>
      <c r="D57" s="21"/>
      <c r="E57" s="21"/>
      <c r="F57" s="21"/>
      <c r="G57" s="21"/>
      <c r="H57" s="21"/>
      <c r="I57" s="21"/>
      <c r="J57" s="21"/>
      <c r="K57" s="21"/>
      <c r="L57" s="21"/>
      <c r="M57" s="21"/>
      <c r="N57" s="21"/>
      <c r="O57" s="20"/>
      <c r="Q57" s="487"/>
      <c r="R57" s="487"/>
      <c r="S57" s="487"/>
      <c r="T57" s="487"/>
      <c r="U57" s="487"/>
      <c r="V57" s="487"/>
      <c r="W57" s="487"/>
      <c r="X57" s="487"/>
      <c r="Y57" s="487"/>
      <c r="Z57" s="487"/>
    </row>
    <row r="58" spans="1:26" x14ac:dyDescent="0.3">
      <c r="A58" s="18"/>
      <c r="B58" s="21"/>
      <c r="C58" s="21"/>
      <c r="D58" s="21"/>
      <c r="E58" s="21"/>
      <c r="F58" s="21"/>
      <c r="G58" s="21"/>
      <c r="H58" s="21"/>
      <c r="I58" s="21"/>
      <c r="J58" s="21"/>
      <c r="K58" s="21"/>
      <c r="L58" s="21"/>
      <c r="M58" s="21"/>
      <c r="N58" s="21"/>
      <c r="O58" s="20"/>
      <c r="Q58" s="487"/>
      <c r="R58" s="487"/>
      <c r="S58" s="487"/>
      <c r="T58" s="487"/>
      <c r="U58" s="487"/>
      <c r="V58" s="487"/>
      <c r="W58" s="487"/>
      <c r="X58" s="487"/>
      <c r="Y58" s="487"/>
      <c r="Z58" s="487"/>
    </row>
    <row r="59" spans="1:26" x14ac:dyDescent="0.3">
      <c r="A59" s="18"/>
      <c r="B59" s="21"/>
      <c r="C59" s="21"/>
      <c r="D59" s="21"/>
      <c r="E59" s="21"/>
      <c r="F59" s="21"/>
      <c r="G59" s="21"/>
      <c r="H59" s="21"/>
      <c r="I59" s="21"/>
      <c r="J59" s="21"/>
      <c r="K59" s="21"/>
      <c r="L59" s="21"/>
      <c r="M59" s="21"/>
      <c r="N59" s="21"/>
      <c r="O59" s="20"/>
      <c r="Q59" s="483" t="s">
        <v>323</v>
      </c>
      <c r="R59" s="483"/>
      <c r="S59" s="483" t="s">
        <v>1</v>
      </c>
      <c r="T59" s="483"/>
      <c r="U59" s="483"/>
      <c r="V59" s="483"/>
      <c r="W59" s="483"/>
      <c r="X59" s="483"/>
      <c r="Y59" s="483"/>
      <c r="Z59" s="85" t="s">
        <v>324</v>
      </c>
    </row>
    <row r="60" spans="1:26" x14ac:dyDescent="0.3">
      <c r="A60" s="18"/>
      <c r="B60" s="21"/>
      <c r="C60" s="21"/>
      <c r="D60" s="21"/>
      <c r="E60" s="21"/>
      <c r="F60" s="21"/>
      <c r="G60" s="21"/>
      <c r="H60" s="21"/>
      <c r="I60" s="21"/>
      <c r="J60" s="21"/>
      <c r="K60" s="21"/>
      <c r="L60" s="21"/>
      <c r="M60" s="21"/>
      <c r="N60" s="21"/>
      <c r="O60" s="20"/>
      <c r="Q60" s="516" t="s">
        <v>431</v>
      </c>
      <c r="R60" s="517"/>
      <c r="S60" s="517"/>
      <c r="T60" s="517"/>
      <c r="U60" s="517"/>
      <c r="V60" s="517"/>
      <c r="W60" s="517"/>
      <c r="X60" s="517"/>
      <c r="Y60" s="517"/>
      <c r="Z60" s="518"/>
    </row>
    <row r="61" spans="1:26" x14ac:dyDescent="0.3">
      <c r="A61" s="18"/>
      <c r="B61" s="21"/>
      <c r="C61" s="21"/>
      <c r="D61" s="21"/>
      <c r="E61" s="21"/>
      <c r="F61" s="21"/>
      <c r="G61" s="21"/>
      <c r="H61" s="21"/>
      <c r="I61" s="21"/>
      <c r="J61" s="21"/>
      <c r="K61" s="21"/>
      <c r="L61" s="21"/>
      <c r="M61" s="21"/>
      <c r="N61" s="21"/>
      <c r="O61" s="20"/>
    </row>
    <row r="62" spans="1:26" x14ac:dyDescent="0.3">
      <c r="A62" s="18"/>
      <c r="B62" s="21"/>
      <c r="C62" s="21"/>
      <c r="D62" s="21"/>
      <c r="E62" s="21"/>
      <c r="F62" s="21"/>
      <c r="G62" s="21"/>
      <c r="H62" s="21"/>
      <c r="I62" s="21"/>
      <c r="J62" s="21"/>
      <c r="K62" s="21"/>
      <c r="L62" s="21"/>
      <c r="M62" s="21"/>
      <c r="N62" s="21"/>
      <c r="O62" s="20"/>
    </row>
    <row r="63" spans="1:26" x14ac:dyDescent="0.3">
      <c r="A63" s="18"/>
      <c r="B63" s="21"/>
      <c r="C63" s="21"/>
      <c r="D63" s="21"/>
      <c r="E63" s="21"/>
      <c r="F63" s="21"/>
      <c r="G63" s="21"/>
      <c r="H63" s="21"/>
      <c r="I63" s="21"/>
      <c r="J63" s="21"/>
      <c r="K63" s="21"/>
      <c r="L63" s="21"/>
      <c r="M63" s="21"/>
      <c r="N63" s="21"/>
      <c r="O63" s="20"/>
    </row>
    <row r="64" spans="1:26" x14ac:dyDescent="0.3">
      <c r="A64" s="18"/>
      <c r="B64" s="21"/>
      <c r="C64" s="21"/>
      <c r="D64" s="21"/>
      <c r="E64" s="21"/>
      <c r="F64" s="21"/>
      <c r="G64" s="21"/>
      <c r="H64" s="21"/>
      <c r="I64" s="21"/>
      <c r="J64" s="21"/>
      <c r="K64" s="21"/>
      <c r="L64" s="21"/>
      <c r="M64" s="21"/>
      <c r="N64" s="21"/>
      <c r="O64" s="20"/>
    </row>
    <row r="65" spans="1:15" x14ac:dyDescent="0.3">
      <c r="A65" s="18"/>
      <c r="B65" s="21"/>
      <c r="C65" s="21"/>
      <c r="D65" s="21"/>
      <c r="E65" s="21"/>
      <c r="F65" s="21"/>
      <c r="G65" s="21"/>
      <c r="H65" s="21"/>
      <c r="I65" s="21"/>
      <c r="J65" s="21"/>
      <c r="K65" s="21"/>
      <c r="L65" s="21"/>
      <c r="M65" s="21"/>
      <c r="N65" s="21"/>
      <c r="O65" s="20"/>
    </row>
    <row r="66" spans="1:15" x14ac:dyDescent="0.3">
      <c r="A66" s="18"/>
      <c r="B66" s="21"/>
      <c r="C66" s="21"/>
      <c r="D66" s="21"/>
      <c r="E66" s="21"/>
      <c r="F66" s="21"/>
      <c r="G66" s="21"/>
      <c r="H66" s="21"/>
      <c r="I66" s="21"/>
      <c r="J66" s="21"/>
      <c r="K66" s="21"/>
      <c r="L66" s="21"/>
      <c r="M66" s="21"/>
      <c r="N66" s="21"/>
      <c r="O66" s="20"/>
    </row>
    <row r="67" spans="1:15" x14ac:dyDescent="0.3">
      <c r="A67" s="18"/>
      <c r="B67" s="21"/>
      <c r="C67" s="21"/>
      <c r="D67" s="21"/>
      <c r="E67" s="21"/>
      <c r="F67" s="21"/>
      <c r="G67" s="21"/>
      <c r="H67" s="21"/>
      <c r="I67" s="21"/>
      <c r="J67" s="21"/>
      <c r="K67" s="21"/>
      <c r="L67" s="21"/>
      <c r="M67" s="21"/>
      <c r="N67" s="21"/>
      <c r="O67" s="20"/>
    </row>
    <row r="68" spans="1:15" x14ac:dyDescent="0.3">
      <c r="A68" s="18"/>
      <c r="B68" s="21"/>
      <c r="C68" s="21"/>
      <c r="D68" s="21"/>
      <c r="E68" s="21"/>
      <c r="F68" s="21"/>
      <c r="G68" s="21"/>
      <c r="H68" s="21"/>
      <c r="I68" s="21"/>
      <c r="J68" s="21"/>
      <c r="K68" s="21"/>
      <c r="L68" s="21"/>
      <c r="M68" s="21"/>
      <c r="N68" s="21"/>
      <c r="O68" s="20"/>
    </row>
    <row r="69" spans="1:15" x14ac:dyDescent="0.3">
      <c r="A69" s="18"/>
      <c r="B69" s="21"/>
      <c r="C69" s="21"/>
      <c r="D69" s="21"/>
      <c r="E69" s="21"/>
      <c r="F69" s="21"/>
      <c r="G69" s="21"/>
      <c r="H69" s="21"/>
      <c r="I69" s="21"/>
      <c r="J69" s="21"/>
      <c r="K69" s="21"/>
      <c r="L69" s="21"/>
      <c r="M69" s="21"/>
      <c r="N69" s="21"/>
      <c r="O69" s="20"/>
    </row>
    <row r="70" spans="1:15" x14ac:dyDescent="0.3">
      <c r="A70" s="18"/>
      <c r="B70" s="21"/>
      <c r="C70" s="21"/>
      <c r="D70" s="21"/>
      <c r="E70" s="21"/>
      <c r="F70" s="21"/>
      <c r="G70" s="21"/>
      <c r="H70" s="21"/>
      <c r="I70" s="21"/>
      <c r="J70" s="21"/>
      <c r="K70" s="21"/>
      <c r="L70" s="21"/>
      <c r="M70" s="21"/>
      <c r="N70" s="21"/>
      <c r="O70" s="20"/>
    </row>
    <row r="71" spans="1:15" x14ac:dyDescent="0.3">
      <c r="A71" s="18"/>
      <c r="B71" s="21"/>
      <c r="C71" s="21"/>
      <c r="D71" s="21"/>
      <c r="E71" s="21"/>
      <c r="F71" s="21"/>
      <c r="G71" s="21"/>
      <c r="H71" s="21"/>
      <c r="I71" s="21"/>
      <c r="J71" s="21"/>
      <c r="K71" s="21"/>
      <c r="L71" s="21"/>
      <c r="M71" s="21"/>
      <c r="N71" s="21"/>
      <c r="O71" s="20"/>
    </row>
    <row r="72" spans="1:15" x14ac:dyDescent="0.3">
      <c r="A72" s="18"/>
      <c r="B72" s="21"/>
      <c r="C72" s="21"/>
      <c r="D72" s="21"/>
      <c r="E72" s="21"/>
      <c r="F72" s="21"/>
      <c r="G72" s="21"/>
      <c r="H72" s="21"/>
      <c r="I72" s="21"/>
      <c r="J72" s="21"/>
      <c r="K72" s="21"/>
      <c r="L72" s="21"/>
      <c r="M72" s="21"/>
      <c r="N72" s="21"/>
      <c r="O72" s="20"/>
    </row>
    <row r="73" spans="1:15" x14ac:dyDescent="0.3">
      <c r="A73" s="18"/>
      <c r="B73" s="21"/>
      <c r="C73" s="21"/>
      <c r="D73" s="21"/>
      <c r="E73" s="21"/>
      <c r="F73" s="21"/>
      <c r="G73" s="21"/>
      <c r="H73" s="21"/>
      <c r="I73" s="21"/>
      <c r="J73" s="21"/>
      <c r="K73" s="21"/>
      <c r="L73" s="21"/>
      <c r="M73" s="21"/>
      <c r="N73" s="21"/>
      <c r="O73" s="20"/>
    </row>
    <row r="74" spans="1:15" x14ac:dyDescent="0.3">
      <c r="A74" s="18"/>
      <c r="B74" s="21"/>
      <c r="C74" s="21"/>
      <c r="D74" s="21"/>
      <c r="E74" s="21"/>
      <c r="F74" s="21"/>
      <c r="G74" s="21"/>
      <c r="H74" s="21"/>
      <c r="I74" s="21"/>
      <c r="J74" s="21"/>
      <c r="K74" s="21"/>
      <c r="L74" s="21"/>
      <c r="M74" s="21"/>
      <c r="N74" s="21"/>
      <c r="O74" s="20"/>
    </row>
    <row r="75" spans="1:15" x14ac:dyDescent="0.3">
      <c r="A75" s="18"/>
      <c r="B75" s="21"/>
      <c r="C75" s="21"/>
      <c r="D75" s="21"/>
      <c r="E75" s="21"/>
      <c r="F75" s="21"/>
      <c r="G75" s="21"/>
      <c r="H75" s="21"/>
      <c r="I75" s="21"/>
      <c r="J75" s="21"/>
      <c r="K75" s="21"/>
      <c r="L75" s="21"/>
      <c r="M75" s="21"/>
      <c r="N75" s="21"/>
      <c r="O75" s="20"/>
    </row>
    <row r="76" spans="1:15" x14ac:dyDescent="0.3">
      <c r="A76" s="18"/>
      <c r="B76" s="21"/>
      <c r="C76" s="21"/>
      <c r="D76" s="21"/>
      <c r="E76" s="21"/>
      <c r="F76" s="21"/>
      <c r="G76" s="21"/>
      <c r="H76" s="21"/>
      <c r="I76" s="21"/>
      <c r="J76" s="21"/>
      <c r="K76" s="21"/>
      <c r="L76" s="21"/>
      <c r="M76" s="21"/>
      <c r="N76" s="21"/>
      <c r="O76" s="20"/>
    </row>
    <row r="77" spans="1:15" x14ac:dyDescent="0.3">
      <c r="A77" s="18"/>
      <c r="B77" s="21"/>
      <c r="C77" s="21"/>
      <c r="D77" s="21"/>
      <c r="E77" s="21"/>
      <c r="F77" s="21"/>
      <c r="G77" s="21"/>
      <c r="H77" s="21"/>
      <c r="I77" s="21"/>
      <c r="J77" s="21"/>
      <c r="K77" s="21"/>
      <c r="L77" s="21"/>
      <c r="M77" s="21"/>
      <c r="N77" s="21"/>
      <c r="O77" s="20"/>
    </row>
    <row r="78" spans="1:15" x14ac:dyDescent="0.3">
      <c r="A78" s="18"/>
      <c r="B78" s="21"/>
      <c r="C78" s="21"/>
      <c r="D78" s="21"/>
      <c r="E78" s="21"/>
      <c r="F78" s="21"/>
      <c r="G78" s="21"/>
      <c r="H78" s="21"/>
      <c r="I78" s="21"/>
      <c r="J78" s="21"/>
      <c r="K78" s="21"/>
      <c r="L78" s="21"/>
      <c r="M78" s="21"/>
      <c r="N78" s="21"/>
      <c r="O78" s="20"/>
    </row>
    <row r="79" spans="1:15" x14ac:dyDescent="0.3">
      <c r="A79" s="18"/>
      <c r="B79" s="21"/>
      <c r="C79" s="21"/>
      <c r="D79" s="21"/>
      <c r="E79" s="21"/>
      <c r="F79" s="21"/>
      <c r="G79" s="21"/>
      <c r="H79" s="21"/>
      <c r="I79" s="21"/>
      <c r="J79" s="21"/>
      <c r="K79" s="21"/>
      <c r="L79" s="21"/>
      <c r="M79" s="21"/>
      <c r="N79" s="21"/>
      <c r="O79" s="20"/>
    </row>
    <row r="80" spans="1:15" x14ac:dyDescent="0.3">
      <c r="A80" s="18"/>
      <c r="B80" s="21"/>
      <c r="C80" s="21"/>
      <c r="D80" s="21"/>
      <c r="E80" s="21"/>
      <c r="F80" s="21"/>
      <c r="G80" s="21"/>
      <c r="H80" s="21"/>
      <c r="I80" s="21"/>
      <c r="J80" s="21"/>
      <c r="K80" s="21"/>
      <c r="L80" s="21"/>
      <c r="M80" s="21"/>
      <c r="N80" s="21"/>
      <c r="O80" s="20"/>
    </row>
    <row r="81" spans="1:15" x14ac:dyDescent="0.3">
      <c r="A81" s="18"/>
      <c r="B81" s="21"/>
      <c r="C81" s="21"/>
      <c r="D81" s="21"/>
      <c r="E81" s="21"/>
      <c r="F81" s="21"/>
      <c r="G81" s="21"/>
      <c r="H81" s="21"/>
      <c r="I81" s="21"/>
      <c r="J81" s="21"/>
      <c r="K81" s="21"/>
      <c r="L81" s="21"/>
      <c r="M81" s="21"/>
      <c r="N81" s="21"/>
      <c r="O81" s="20"/>
    </row>
    <row r="82" spans="1:15" x14ac:dyDescent="0.3">
      <c r="A82" s="18"/>
      <c r="B82" s="21"/>
      <c r="C82" s="21"/>
      <c r="D82" s="21"/>
      <c r="E82" s="21"/>
      <c r="F82" s="21"/>
      <c r="G82" s="21"/>
      <c r="H82" s="21"/>
      <c r="I82" s="21"/>
      <c r="J82" s="21"/>
      <c r="K82" s="21"/>
      <c r="L82" s="21"/>
      <c r="M82" s="21"/>
      <c r="N82" s="21"/>
      <c r="O82" s="20"/>
    </row>
    <row r="83" spans="1:15" x14ac:dyDescent="0.3">
      <c r="A83" s="18"/>
      <c r="B83" s="21"/>
      <c r="C83" s="21"/>
      <c r="D83" s="21"/>
      <c r="E83" s="21"/>
      <c r="F83" s="21"/>
      <c r="G83" s="21"/>
      <c r="H83" s="21"/>
      <c r="I83" s="21"/>
      <c r="J83" s="21"/>
      <c r="K83" s="21"/>
      <c r="L83" s="21"/>
      <c r="M83" s="21"/>
      <c r="N83" s="21"/>
      <c r="O83" s="20"/>
    </row>
    <row r="84" spans="1:15" x14ac:dyDescent="0.3">
      <c r="A84" s="18"/>
      <c r="B84" s="21"/>
      <c r="C84" s="21"/>
      <c r="D84" s="21"/>
      <c r="E84" s="21"/>
      <c r="F84" s="21"/>
      <c r="G84" s="21"/>
      <c r="H84" s="21"/>
      <c r="I84" s="21"/>
      <c r="J84" s="21"/>
      <c r="K84" s="21"/>
      <c r="L84" s="21"/>
      <c r="M84" s="21"/>
      <c r="N84" s="21"/>
      <c r="O84" s="20"/>
    </row>
    <row r="85" spans="1:15" x14ac:dyDescent="0.3">
      <c r="A85" s="18"/>
      <c r="B85" s="21"/>
      <c r="C85" s="21"/>
      <c r="D85" s="21"/>
      <c r="E85" s="21"/>
      <c r="F85" s="21"/>
      <c r="G85" s="21"/>
      <c r="H85" s="21"/>
      <c r="I85" s="21"/>
      <c r="J85" s="21"/>
      <c r="K85" s="21"/>
      <c r="L85" s="21"/>
      <c r="M85" s="21"/>
      <c r="N85" s="21"/>
      <c r="O85" s="20"/>
    </row>
    <row r="86" spans="1:15" x14ac:dyDescent="0.3">
      <c r="A86" s="18"/>
      <c r="B86" s="21"/>
      <c r="C86" s="21"/>
      <c r="D86" s="21"/>
      <c r="E86" s="21"/>
      <c r="F86" s="21"/>
      <c r="G86" s="21"/>
      <c r="H86" s="21"/>
      <c r="I86" s="21"/>
      <c r="J86" s="21"/>
      <c r="K86" s="21"/>
      <c r="L86" s="21"/>
      <c r="M86" s="21"/>
      <c r="N86" s="21"/>
      <c r="O86" s="20"/>
    </row>
    <row r="87" spans="1:15" x14ac:dyDescent="0.3">
      <c r="A87" s="18"/>
      <c r="B87" s="21"/>
      <c r="C87" s="21"/>
      <c r="D87" s="21"/>
      <c r="E87" s="21"/>
      <c r="F87" s="21"/>
      <c r="G87" s="21"/>
      <c r="H87" s="21"/>
      <c r="I87" s="21"/>
      <c r="J87" s="21"/>
      <c r="K87" s="21"/>
      <c r="L87" s="21"/>
      <c r="M87" s="21"/>
      <c r="N87" s="21"/>
      <c r="O87" s="20"/>
    </row>
    <row r="88" spans="1:15" x14ac:dyDescent="0.3">
      <c r="A88" s="18"/>
      <c r="B88" s="21"/>
      <c r="C88" s="21"/>
      <c r="D88" s="21"/>
      <c r="E88" s="21"/>
      <c r="F88" s="21"/>
      <c r="G88" s="21"/>
      <c r="H88" s="21"/>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x14ac:dyDescent="0.3">
      <c r="A90" s="18"/>
      <c r="B90" s="21"/>
      <c r="C90" s="21"/>
      <c r="D90" s="21"/>
      <c r="E90" s="21"/>
      <c r="F90" s="21"/>
      <c r="G90" s="21"/>
      <c r="H90" s="21"/>
      <c r="I90" s="21"/>
      <c r="J90" s="21"/>
      <c r="K90" s="21"/>
      <c r="L90" s="21"/>
      <c r="M90" s="21"/>
      <c r="N90" s="21"/>
      <c r="O90" s="20"/>
    </row>
    <row r="91" spans="1:15" x14ac:dyDescent="0.3">
      <c r="A91" s="18"/>
      <c r="B91" s="21"/>
      <c r="C91" s="21"/>
      <c r="D91" s="21"/>
      <c r="E91" s="21"/>
      <c r="F91" s="21"/>
      <c r="G91" s="21"/>
      <c r="H91" s="21"/>
      <c r="I91" s="21"/>
      <c r="J91" s="21"/>
      <c r="K91" s="21"/>
      <c r="L91" s="21"/>
      <c r="M91" s="21"/>
      <c r="N91" s="21"/>
      <c r="O91" s="20"/>
    </row>
    <row r="92" spans="1:15" ht="15" thickBot="1" x14ac:dyDescent="0.35">
      <c r="A92" s="22"/>
      <c r="B92" s="23"/>
      <c r="C92" s="23"/>
      <c r="D92" s="23"/>
      <c r="E92" s="23"/>
      <c r="F92" s="23"/>
      <c r="G92" s="23"/>
      <c r="H92" s="23"/>
      <c r="I92" s="23"/>
      <c r="J92" s="23"/>
      <c r="K92" s="23"/>
      <c r="L92" s="23"/>
      <c r="M92" s="23"/>
      <c r="N92" s="23"/>
      <c r="O92" s="24"/>
    </row>
  </sheetData>
  <mergeCells count="52">
    <mergeCell ref="Q49:R51"/>
    <mergeCell ref="S49:Y51"/>
    <mergeCell ref="Z49:Z51"/>
    <mergeCell ref="Q60:Z60"/>
    <mergeCell ref="Q55:Z55"/>
    <mergeCell ref="Q56:R58"/>
    <mergeCell ref="S56:Z58"/>
    <mergeCell ref="Q59:R59"/>
    <mergeCell ref="S59:Y59"/>
    <mergeCell ref="Q11:R13"/>
    <mergeCell ref="S11:Y13"/>
    <mergeCell ref="Z11:Z13"/>
    <mergeCell ref="Q20:R22"/>
    <mergeCell ref="S20:Y22"/>
    <mergeCell ref="Z20:Z22"/>
    <mergeCell ref="Q14:R16"/>
    <mergeCell ref="S14:Y16"/>
    <mergeCell ref="Z14:Z16"/>
    <mergeCell ref="Q17:R19"/>
    <mergeCell ref="S17:Y19"/>
    <mergeCell ref="Z17:Z19"/>
    <mergeCell ref="Q8:R10"/>
    <mergeCell ref="S8:Y10"/>
    <mergeCell ref="Z8:Z10"/>
    <mergeCell ref="Q3:Z3"/>
    <mergeCell ref="Q4:R6"/>
    <mergeCell ref="S4:Z6"/>
    <mergeCell ref="Q7:R7"/>
    <mergeCell ref="S7:Y7"/>
    <mergeCell ref="Q26:Z26"/>
    <mergeCell ref="Q27:R29"/>
    <mergeCell ref="S27:Z29"/>
    <mergeCell ref="Q30:R30"/>
    <mergeCell ref="S30:Y30"/>
    <mergeCell ref="Q31:R33"/>
    <mergeCell ref="S31:Y33"/>
    <mergeCell ref="Z31:Z33"/>
    <mergeCell ref="Q34:R36"/>
    <mergeCell ref="S34:Y36"/>
    <mergeCell ref="Z34:Z36"/>
    <mergeCell ref="Q37:R39"/>
    <mergeCell ref="S37:Y39"/>
    <mergeCell ref="Z37:Z39"/>
    <mergeCell ref="Q40:R42"/>
    <mergeCell ref="S40:Y42"/>
    <mergeCell ref="Z40:Z42"/>
    <mergeCell ref="Q43:R45"/>
    <mergeCell ref="S43:Y45"/>
    <mergeCell ref="Z43:Z45"/>
    <mergeCell ref="Q46:R48"/>
    <mergeCell ref="S46:Y48"/>
    <mergeCell ref="Z46:Z48"/>
  </mergeCells>
  <pageMargins left="0.7" right="0.7" top="0.75" bottom="0.75" header="0.3" footer="0.3"/>
  <pageSetup orientation="portrait" verticalDpi="0"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2"/>
  <dimension ref="A1:Z55"/>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33.77734375" bestFit="1" customWidth="1"/>
    <col min="4" max="4" width="17.44140625" customWidth="1"/>
    <col min="5" max="5" width="22.77734375" bestFit="1" customWidth="1"/>
    <col min="6" max="6" width="16.77734375" customWidth="1"/>
    <col min="10" max="11" width="11.77734375" customWidth="1"/>
    <col min="17" max="18" width="11" customWidth="1"/>
    <col min="19" max="25" width="15.77734375" customWidth="1"/>
  </cols>
  <sheetData>
    <row r="1" spans="1:26" ht="34.5" customHeight="1" thickBot="1" x14ac:dyDescent="0.35">
      <c r="A1" s="292" t="s">
        <v>1580</v>
      </c>
      <c r="B1" s="473" t="e" vm="1">
        <v>#VALUE!</v>
      </c>
      <c r="C1" s="8" t="s">
        <v>1618</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3556</v>
      </c>
      <c r="R3" s="486"/>
      <c r="S3" s="486"/>
      <c r="T3" s="486"/>
      <c r="U3" s="486"/>
      <c r="V3" s="486"/>
      <c r="W3" s="486"/>
      <c r="X3" s="486"/>
      <c r="Y3" s="486"/>
      <c r="Z3" s="486"/>
    </row>
    <row r="4" spans="1:26" x14ac:dyDescent="0.3">
      <c r="A4" s="18"/>
      <c r="B4" s="101" t="s">
        <v>1613</v>
      </c>
      <c r="C4" s="101" t="s">
        <v>1616</v>
      </c>
      <c r="D4" s="21"/>
      <c r="E4" s="179" t="s">
        <v>3556</v>
      </c>
      <c r="F4" s="21"/>
      <c r="G4" s="21"/>
      <c r="H4" s="21"/>
      <c r="I4" s="21"/>
      <c r="J4" s="21"/>
      <c r="K4" s="159"/>
      <c r="L4" s="21"/>
      <c r="M4" s="21"/>
      <c r="N4" s="21"/>
      <c r="O4" s="20"/>
      <c r="Q4" s="487" t="s">
        <v>333</v>
      </c>
      <c r="R4" s="487"/>
      <c r="S4" s="487" t="s">
        <v>1609</v>
      </c>
      <c r="T4" s="487"/>
      <c r="U4" s="487"/>
      <c r="V4" s="487"/>
      <c r="W4" s="487"/>
      <c r="X4" s="487"/>
      <c r="Y4" s="487"/>
      <c r="Z4" s="487"/>
    </row>
    <row r="5" spans="1:26" x14ac:dyDescent="0.3">
      <c r="A5" s="18"/>
      <c r="B5" s="474" t="s">
        <v>3877</v>
      </c>
      <c r="C5" s="242" t="s">
        <v>1617</v>
      </c>
      <c r="D5" s="21"/>
      <c r="E5" s="189" t="s">
        <v>3557</v>
      </c>
      <c r="F5" s="21"/>
      <c r="G5" s="21"/>
      <c r="H5" s="21"/>
      <c r="I5" s="21"/>
      <c r="J5" s="21"/>
      <c r="K5" s="159"/>
      <c r="L5" s="21"/>
      <c r="M5" s="21"/>
      <c r="N5" s="21"/>
      <c r="O5" s="20"/>
      <c r="Q5" s="487"/>
      <c r="R5" s="487"/>
      <c r="S5" s="487"/>
      <c r="T5" s="487"/>
      <c r="U5" s="487"/>
      <c r="V5" s="487"/>
      <c r="W5" s="487"/>
      <c r="X5" s="487"/>
      <c r="Y5" s="487"/>
      <c r="Z5" s="487"/>
    </row>
    <row r="6" spans="1:26" x14ac:dyDescent="0.3">
      <c r="A6" s="18"/>
      <c r="B6" s="295" t="s">
        <v>1614</v>
      </c>
      <c r="C6" s="242" t="s">
        <v>1621</v>
      </c>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295" t="s">
        <v>1615</v>
      </c>
      <c r="C7" s="242" t="s">
        <v>1619</v>
      </c>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295" t="s">
        <v>1620</v>
      </c>
      <c r="C8" s="242" t="s">
        <v>1622</v>
      </c>
      <c r="D8" s="21"/>
      <c r="E8" s="21"/>
      <c r="F8" s="21"/>
      <c r="G8" s="21"/>
      <c r="H8" s="21"/>
      <c r="I8" s="21"/>
      <c r="J8" s="21"/>
      <c r="K8" s="21"/>
      <c r="L8" s="21"/>
      <c r="M8" s="21"/>
      <c r="N8" s="21"/>
      <c r="O8" s="20"/>
      <c r="Q8" s="487" t="s">
        <v>538</v>
      </c>
      <c r="R8" s="487"/>
      <c r="S8" s="487" t="s">
        <v>1642</v>
      </c>
      <c r="T8" s="487"/>
      <c r="U8" s="487"/>
      <c r="V8" s="487"/>
      <c r="W8" s="487"/>
      <c r="X8" s="487"/>
      <c r="Y8" s="487"/>
      <c r="Z8" s="509" t="s">
        <v>325</v>
      </c>
    </row>
    <row r="9" spans="1:26" x14ac:dyDescent="0.3">
      <c r="A9" s="18"/>
      <c r="B9" s="21"/>
      <c r="C9" s="21"/>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1"/>
      <c r="C11" s="21"/>
      <c r="D11" s="21"/>
      <c r="E11" s="21"/>
      <c r="F11" s="21"/>
      <c r="G11" s="21"/>
      <c r="H11" s="21"/>
      <c r="I11" s="21"/>
      <c r="J11" s="21"/>
      <c r="K11" s="21"/>
      <c r="L11" s="21"/>
      <c r="M11" s="21"/>
      <c r="N11" s="21"/>
      <c r="O11" s="20"/>
      <c r="Q11" s="484" t="s">
        <v>1606</v>
      </c>
      <c r="R11" s="484"/>
      <c r="S11" s="484" t="s">
        <v>1610</v>
      </c>
      <c r="T11" s="484"/>
      <c r="U11" s="484"/>
      <c r="V11" s="484"/>
      <c r="W11" s="484"/>
      <c r="X11" s="484"/>
      <c r="Y11" s="484"/>
      <c r="Z11" s="485" t="s">
        <v>326</v>
      </c>
    </row>
    <row r="12" spans="1:26" x14ac:dyDescent="0.3">
      <c r="A12" s="18"/>
      <c r="B12" s="21"/>
      <c r="C12" s="21"/>
      <c r="D12" s="21"/>
      <c r="E12" s="21"/>
      <c r="F12" s="21"/>
      <c r="G12" s="21"/>
      <c r="H12" s="21"/>
      <c r="I12" s="21"/>
      <c r="J12" s="21"/>
      <c r="K12" s="21"/>
      <c r="L12" s="21"/>
      <c r="M12" s="21"/>
      <c r="N12" s="21"/>
      <c r="O12" s="20"/>
      <c r="Q12" s="484"/>
      <c r="R12" s="484"/>
      <c r="S12" s="484"/>
      <c r="T12" s="484"/>
      <c r="U12" s="484"/>
      <c r="V12" s="484"/>
      <c r="W12" s="484"/>
      <c r="X12" s="484"/>
      <c r="Y12" s="484"/>
      <c r="Z12" s="485"/>
    </row>
    <row r="13" spans="1:26" x14ac:dyDescent="0.3">
      <c r="A13" s="18"/>
      <c r="B13" s="21"/>
      <c r="C13" s="21"/>
      <c r="D13" s="21"/>
      <c r="E13" s="21"/>
      <c r="F13" s="21"/>
      <c r="G13" s="21"/>
      <c r="H13" s="21"/>
      <c r="I13" s="21"/>
      <c r="J13" s="21"/>
      <c r="K13" s="21"/>
      <c r="L13" s="21"/>
      <c r="M13" s="21"/>
      <c r="N13" s="21"/>
      <c r="O13" s="20"/>
      <c r="Q13" s="484"/>
      <c r="R13" s="484"/>
      <c r="S13" s="484"/>
      <c r="T13" s="484"/>
      <c r="U13" s="484"/>
      <c r="V13" s="484"/>
      <c r="W13" s="484"/>
      <c r="X13" s="484"/>
      <c r="Y13" s="484"/>
      <c r="Z13" s="485"/>
    </row>
    <row r="14" spans="1:26" ht="15" customHeight="1" x14ac:dyDescent="0.3">
      <c r="A14" s="18"/>
      <c r="B14" s="21"/>
      <c r="C14" s="21"/>
      <c r="D14" s="21"/>
      <c r="E14" s="21"/>
      <c r="F14" s="21"/>
      <c r="G14" s="21"/>
      <c r="H14" s="21"/>
      <c r="I14" s="21"/>
      <c r="J14" s="21"/>
      <c r="K14" s="21"/>
      <c r="L14" s="21"/>
      <c r="M14" s="21"/>
      <c r="N14" s="21"/>
      <c r="O14" s="20"/>
      <c r="Q14" s="496" t="s">
        <v>1607</v>
      </c>
      <c r="R14" s="497"/>
      <c r="S14" s="496" t="s">
        <v>1612</v>
      </c>
      <c r="T14" s="502"/>
      <c r="U14" s="502"/>
      <c r="V14" s="502"/>
      <c r="W14" s="502"/>
      <c r="X14" s="502"/>
      <c r="Y14" s="497"/>
      <c r="Z14" s="505" t="s">
        <v>326</v>
      </c>
    </row>
    <row r="15" spans="1:26" x14ac:dyDescent="0.3">
      <c r="A15" s="18"/>
      <c r="B15" s="21"/>
      <c r="C15" s="21"/>
      <c r="D15" s="2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21"/>
      <c r="C16" s="21"/>
      <c r="D16" s="21"/>
      <c r="E16" s="21"/>
      <c r="F16" s="21"/>
      <c r="G16" s="21"/>
      <c r="H16" s="21"/>
      <c r="I16" s="21"/>
      <c r="J16" s="21"/>
      <c r="K16" s="21"/>
      <c r="L16" s="21"/>
      <c r="M16" s="21"/>
      <c r="N16" s="21"/>
      <c r="O16" s="20"/>
      <c r="Q16" s="500"/>
      <c r="R16" s="501"/>
      <c r="S16" s="500"/>
      <c r="T16" s="504"/>
      <c r="U16" s="504"/>
      <c r="V16" s="504"/>
      <c r="W16" s="504"/>
      <c r="X16" s="504"/>
      <c r="Y16" s="501"/>
      <c r="Z16" s="507"/>
    </row>
    <row r="17" spans="1:26" x14ac:dyDescent="0.3">
      <c r="A17" s="18"/>
      <c r="B17" s="21"/>
      <c r="C17" s="21" t="s">
        <v>71</v>
      </c>
      <c r="D17" s="21"/>
      <c r="E17" s="21"/>
      <c r="F17" s="21"/>
      <c r="G17" s="21"/>
      <c r="H17" s="21"/>
      <c r="I17" s="21"/>
      <c r="J17" s="21"/>
      <c r="K17" s="21"/>
      <c r="L17" s="21"/>
      <c r="M17" s="21"/>
      <c r="N17" s="21"/>
      <c r="O17" s="20"/>
      <c r="Q17" s="496" t="s">
        <v>1608</v>
      </c>
      <c r="R17" s="497"/>
      <c r="S17" s="496" t="s">
        <v>1623</v>
      </c>
      <c r="T17" s="502"/>
      <c r="U17" s="502"/>
      <c r="V17" s="502"/>
      <c r="W17" s="502"/>
      <c r="X17" s="502"/>
      <c r="Y17" s="497"/>
      <c r="Z17" s="505" t="s">
        <v>326</v>
      </c>
    </row>
    <row r="18" spans="1:26" x14ac:dyDescent="0.3">
      <c r="A18" s="18"/>
      <c r="B18" s="21"/>
      <c r="C18" s="21" t="s">
        <v>71</v>
      </c>
      <c r="D18" s="21"/>
      <c r="E18" s="21"/>
      <c r="F18" s="21"/>
      <c r="G18" s="21"/>
      <c r="H18" s="21"/>
      <c r="I18" s="21"/>
      <c r="J18" s="21"/>
      <c r="K18" s="21"/>
      <c r="L18" s="21"/>
      <c r="M18" s="21"/>
      <c r="N18" s="21"/>
      <c r="O18" s="20"/>
      <c r="Q18" s="498"/>
      <c r="R18" s="499"/>
      <c r="S18" s="498"/>
      <c r="T18" s="503"/>
      <c r="U18" s="503"/>
      <c r="V18" s="503"/>
      <c r="W18" s="503"/>
      <c r="X18" s="503"/>
      <c r="Y18" s="499"/>
      <c r="Z18" s="506"/>
    </row>
    <row r="19" spans="1:26" x14ac:dyDescent="0.3">
      <c r="A19" s="18"/>
      <c r="B19" s="21"/>
      <c r="C19" s="21" t="s">
        <v>71</v>
      </c>
      <c r="D19" s="21"/>
      <c r="E19" s="21"/>
      <c r="F19" s="21"/>
      <c r="G19" s="21"/>
      <c r="H19" s="21"/>
      <c r="I19" s="21"/>
      <c r="J19" s="21"/>
      <c r="K19" s="21"/>
      <c r="L19" s="21"/>
      <c r="M19" s="21"/>
      <c r="N19" s="21"/>
      <c r="O19" s="20"/>
      <c r="Q19" s="500"/>
      <c r="R19" s="501"/>
      <c r="S19" s="500"/>
      <c r="T19" s="504"/>
      <c r="U19" s="504"/>
      <c r="V19" s="504"/>
      <c r="W19" s="504"/>
      <c r="X19" s="504"/>
      <c r="Y19" s="501"/>
      <c r="Z19" s="507"/>
    </row>
    <row r="20" spans="1:26" x14ac:dyDescent="0.3">
      <c r="A20" s="18"/>
      <c r="B20" s="21"/>
      <c r="C20" s="21"/>
      <c r="D20" s="21"/>
      <c r="E20" s="21"/>
      <c r="F20" s="21"/>
      <c r="G20" s="21"/>
      <c r="H20" s="21"/>
      <c r="I20" s="21"/>
      <c r="J20" s="21"/>
      <c r="K20" s="21"/>
      <c r="L20" s="21"/>
      <c r="M20" s="21"/>
      <c r="N20" s="21"/>
      <c r="O20" s="20"/>
      <c r="Q20" s="496" t="s">
        <v>2300</v>
      </c>
      <c r="R20" s="497"/>
      <c r="S20" s="496" t="s">
        <v>3558</v>
      </c>
      <c r="T20" s="502"/>
      <c r="U20" s="502"/>
      <c r="V20" s="502"/>
      <c r="W20" s="502"/>
      <c r="X20" s="502"/>
      <c r="Y20" s="497"/>
      <c r="Z20" s="505" t="s">
        <v>326</v>
      </c>
    </row>
    <row r="21" spans="1:26" x14ac:dyDescent="0.3">
      <c r="A21" s="18"/>
      <c r="B21" s="21"/>
      <c r="C21" s="21"/>
      <c r="D21" s="21"/>
      <c r="E21" s="21"/>
      <c r="F21" s="21"/>
      <c r="G21" s="21"/>
      <c r="H21" s="21"/>
      <c r="I21" s="21"/>
      <c r="J21" s="21"/>
      <c r="K21" s="21"/>
      <c r="L21" s="21"/>
      <c r="M21" s="21"/>
      <c r="N21" s="21"/>
      <c r="O21" s="20"/>
      <c r="Q21" s="498"/>
      <c r="R21" s="499"/>
      <c r="S21" s="498"/>
      <c r="T21" s="503"/>
      <c r="U21" s="503"/>
      <c r="V21" s="503"/>
      <c r="W21" s="503"/>
      <c r="X21" s="503"/>
      <c r="Y21" s="499"/>
      <c r="Z21" s="506"/>
    </row>
    <row r="22" spans="1:26" x14ac:dyDescent="0.3">
      <c r="A22" s="18"/>
      <c r="B22" s="21"/>
      <c r="C22" s="21"/>
      <c r="D22" s="21"/>
      <c r="E22" s="21"/>
      <c r="F22" s="21"/>
      <c r="G22" s="21"/>
      <c r="H22" s="21"/>
      <c r="I22" s="21"/>
      <c r="J22" s="21"/>
      <c r="K22" s="21"/>
      <c r="L22" s="21"/>
      <c r="M22" s="21"/>
      <c r="N22" s="21"/>
      <c r="O22" s="20"/>
      <c r="Q22" s="500"/>
      <c r="R22" s="501"/>
      <c r="S22" s="500"/>
      <c r="T22" s="504"/>
      <c r="U22" s="504"/>
      <c r="V22" s="504"/>
      <c r="W22" s="504"/>
      <c r="X22" s="504"/>
      <c r="Y22" s="501"/>
      <c r="Z22" s="507"/>
    </row>
    <row r="23" spans="1:26" ht="15" customHeight="1" x14ac:dyDescent="0.3">
      <c r="A23" s="18"/>
      <c r="B23" s="21"/>
      <c r="C23" s="21"/>
      <c r="D23" s="21"/>
      <c r="E23" s="21"/>
      <c r="F23" s="21"/>
      <c r="G23" s="21"/>
      <c r="H23" s="21"/>
      <c r="I23" s="21"/>
      <c r="J23" s="21"/>
      <c r="K23" s="21"/>
      <c r="L23" s="21"/>
      <c r="M23" s="21"/>
      <c r="N23" s="21"/>
      <c r="O23" s="20"/>
      <c r="Q23" s="496" t="s">
        <v>2299</v>
      </c>
      <c r="R23" s="497"/>
      <c r="S23" s="496" t="s">
        <v>3088</v>
      </c>
      <c r="T23" s="502"/>
      <c r="U23" s="502"/>
      <c r="V23" s="502"/>
      <c r="W23" s="502"/>
      <c r="X23" s="502"/>
      <c r="Y23" s="497"/>
      <c r="Z23" s="505" t="s">
        <v>326</v>
      </c>
    </row>
    <row r="24" spans="1:26" x14ac:dyDescent="0.3">
      <c r="A24" s="18"/>
      <c r="B24" s="21"/>
      <c r="C24" s="21"/>
      <c r="D24" s="21"/>
      <c r="E24" s="21"/>
      <c r="F24" s="21"/>
      <c r="G24" s="21"/>
      <c r="H24" s="21"/>
      <c r="I24" s="21"/>
      <c r="J24" s="21"/>
      <c r="K24" s="21"/>
      <c r="L24" s="21"/>
      <c r="M24" s="21"/>
      <c r="N24" s="21"/>
      <c r="O24" s="20"/>
      <c r="Q24" s="498"/>
      <c r="R24" s="499"/>
      <c r="S24" s="498"/>
      <c r="T24" s="503"/>
      <c r="U24" s="503"/>
      <c r="V24" s="503"/>
      <c r="W24" s="503"/>
      <c r="X24" s="503"/>
      <c r="Y24" s="499"/>
      <c r="Z24" s="506"/>
    </row>
    <row r="25" spans="1:26" x14ac:dyDescent="0.3">
      <c r="A25" s="18"/>
      <c r="B25" s="21"/>
      <c r="C25" s="21"/>
      <c r="D25" s="21"/>
      <c r="E25" s="21"/>
      <c r="F25" s="21"/>
      <c r="G25" s="21"/>
      <c r="H25" s="21"/>
      <c r="I25" s="21"/>
      <c r="J25" s="21"/>
      <c r="K25" s="21"/>
      <c r="L25" s="21"/>
      <c r="M25" s="21"/>
      <c r="N25" s="21"/>
      <c r="O25" s="20"/>
      <c r="Q25" s="500"/>
      <c r="R25" s="501"/>
      <c r="S25" s="500"/>
      <c r="T25" s="504"/>
      <c r="U25" s="504"/>
      <c r="V25" s="504"/>
      <c r="W25" s="504"/>
      <c r="X25" s="504"/>
      <c r="Y25" s="501"/>
      <c r="Z25" s="507"/>
    </row>
    <row r="26" spans="1:26" x14ac:dyDescent="0.3">
      <c r="A26" s="18"/>
      <c r="B26" s="21"/>
      <c r="C26" s="21"/>
      <c r="D26" s="21"/>
      <c r="E26" s="21"/>
      <c r="F26" s="21"/>
      <c r="G26" s="21"/>
      <c r="H26" s="21"/>
      <c r="I26" s="21"/>
      <c r="J26" s="21"/>
      <c r="K26" s="21"/>
      <c r="L26" s="21"/>
      <c r="M26" s="21"/>
      <c r="N26" s="21"/>
      <c r="O26" s="20"/>
      <c r="Q26" s="126" t="s">
        <v>328</v>
      </c>
    </row>
    <row r="27" spans="1:26" x14ac:dyDescent="0.3">
      <c r="A27" s="18"/>
      <c r="B27" s="21"/>
      <c r="C27" s="21"/>
      <c r="D27" s="21"/>
      <c r="E27" s="21"/>
      <c r="F27" s="21"/>
      <c r="G27" s="21"/>
      <c r="H27" s="21"/>
      <c r="I27" s="21"/>
      <c r="J27" s="21"/>
      <c r="K27" s="21"/>
      <c r="L27" s="21"/>
      <c r="M27" s="21"/>
      <c r="N27" s="21"/>
      <c r="O27" s="20"/>
    </row>
    <row r="28" spans="1:26" x14ac:dyDescent="0.3">
      <c r="A28" s="18"/>
      <c r="B28" s="21"/>
      <c r="C28" s="21"/>
      <c r="D28" s="21"/>
      <c r="E28" s="21"/>
      <c r="F28" s="21"/>
      <c r="G28" s="21"/>
      <c r="H28" s="21"/>
      <c r="I28" s="21"/>
      <c r="J28" s="21"/>
      <c r="K28" s="21"/>
      <c r="L28" s="21"/>
      <c r="M28" s="21"/>
      <c r="N28" s="21"/>
      <c r="O28" s="20"/>
    </row>
    <row r="29" spans="1:26" x14ac:dyDescent="0.3">
      <c r="A29" s="18"/>
      <c r="B29" s="21"/>
      <c r="C29" s="21"/>
      <c r="D29" s="21"/>
      <c r="E29" s="21"/>
      <c r="F29" s="21"/>
      <c r="G29" s="21"/>
      <c r="H29" s="21"/>
      <c r="I29" s="21"/>
      <c r="J29" s="21"/>
      <c r="K29" s="21"/>
      <c r="L29" s="21"/>
      <c r="M29" s="21"/>
      <c r="N29" s="21"/>
      <c r="O29" s="20"/>
    </row>
    <row r="30" spans="1:26" x14ac:dyDescent="0.3">
      <c r="A30" s="18"/>
      <c r="B30" s="21"/>
      <c r="C30" s="21"/>
      <c r="D30" s="21"/>
      <c r="E30" s="21"/>
      <c r="F30" s="21"/>
      <c r="G30" s="21"/>
      <c r="H30" s="21"/>
      <c r="I30" s="21"/>
      <c r="J30" s="21"/>
      <c r="K30" s="21"/>
      <c r="L30" s="21"/>
      <c r="M30" s="21"/>
      <c r="N30" s="21"/>
      <c r="O30" s="20"/>
    </row>
    <row r="31" spans="1:26" x14ac:dyDescent="0.3">
      <c r="A31" s="18"/>
      <c r="B31" s="21"/>
      <c r="C31" s="21"/>
      <c r="D31" s="21"/>
      <c r="E31" s="21"/>
      <c r="F31" s="21"/>
      <c r="G31" s="21"/>
      <c r="H31" s="21"/>
      <c r="I31" s="21"/>
      <c r="J31" s="21"/>
      <c r="K31" s="21"/>
      <c r="L31" s="21"/>
      <c r="M31" s="21"/>
      <c r="N31" s="21"/>
      <c r="O31" s="20"/>
    </row>
    <row r="32" spans="1:26" x14ac:dyDescent="0.3">
      <c r="A32" s="18"/>
      <c r="B32" s="21"/>
      <c r="C32" s="21"/>
      <c r="D32" s="21"/>
      <c r="E32" s="21"/>
      <c r="F32" s="21"/>
      <c r="G32" s="21"/>
      <c r="H32" s="21"/>
      <c r="I32" s="21"/>
      <c r="J32" s="21"/>
      <c r="K32" s="21"/>
      <c r="L32" s="21"/>
      <c r="M32" s="21"/>
      <c r="N32" s="21"/>
      <c r="O32" s="20"/>
    </row>
    <row r="33" spans="1:15" x14ac:dyDescent="0.3">
      <c r="A33" s="18"/>
      <c r="B33" s="21"/>
      <c r="C33" s="21"/>
      <c r="D33" s="21"/>
      <c r="E33" s="21"/>
      <c r="F33" s="21"/>
      <c r="G33" s="21"/>
      <c r="H33" s="21"/>
      <c r="I33" s="21"/>
      <c r="J33" s="21"/>
      <c r="K33" s="21"/>
      <c r="L33" s="21"/>
      <c r="M33" s="21"/>
      <c r="N33" s="21"/>
      <c r="O33" s="20"/>
    </row>
    <row r="34" spans="1:15" x14ac:dyDescent="0.3">
      <c r="A34" s="18"/>
      <c r="B34" s="21"/>
      <c r="C34" s="21"/>
      <c r="D34" s="21"/>
      <c r="E34" s="21"/>
      <c r="F34" s="21"/>
      <c r="G34" s="21"/>
      <c r="H34" s="21"/>
      <c r="I34" s="21"/>
      <c r="J34" s="21"/>
      <c r="K34" s="21"/>
      <c r="L34" s="21"/>
      <c r="M34" s="21"/>
      <c r="N34" s="21"/>
      <c r="O34" s="20"/>
    </row>
    <row r="35" spans="1:15" x14ac:dyDescent="0.3">
      <c r="A35" s="18"/>
      <c r="B35" s="21"/>
      <c r="C35" s="21"/>
      <c r="D35" s="21"/>
      <c r="E35" s="21"/>
      <c r="F35" s="21"/>
      <c r="G35" s="21"/>
      <c r="H35" s="21"/>
      <c r="I35" s="21"/>
      <c r="J35" s="21"/>
      <c r="K35" s="21"/>
      <c r="L35" s="21"/>
      <c r="M35" s="21"/>
      <c r="N35" s="21"/>
      <c r="O35" s="20"/>
    </row>
    <row r="36" spans="1:15" x14ac:dyDescent="0.3">
      <c r="A36" s="18"/>
      <c r="B36" s="21"/>
      <c r="C36" s="21"/>
      <c r="D36" s="21"/>
      <c r="E36" s="21"/>
      <c r="F36" s="21"/>
      <c r="G36" s="21"/>
      <c r="H36" s="21"/>
      <c r="I36" s="21"/>
      <c r="J36" s="21"/>
      <c r="K36" s="21"/>
      <c r="L36" s="21"/>
      <c r="M36" s="21"/>
      <c r="N36" s="21"/>
      <c r="O36" s="20"/>
    </row>
    <row r="37" spans="1:15" x14ac:dyDescent="0.3">
      <c r="A37" s="18"/>
      <c r="B37" s="21"/>
      <c r="C37" s="21"/>
      <c r="D37" s="21"/>
      <c r="E37" s="21"/>
      <c r="F37" s="21"/>
      <c r="G37" s="21"/>
      <c r="H37" s="21"/>
      <c r="I37" s="21"/>
      <c r="J37" s="21"/>
      <c r="K37" s="21"/>
      <c r="L37" s="21"/>
      <c r="M37" s="21"/>
      <c r="N37" s="21"/>
      <c r="O37" s="20"/>
    </row>
    <row r="38" spans="1:15" x14ac:dyDescent="0.3">
      <c r="A38" s="18"/>
      <c r="B38" s="21"/>
      <c r="C38" s="21"/>
      <c r="D38" s="21"/>
      <c r="E38" s="21"/>
      <c r="F38" s="21"/>
      <c r="G38" s="21"/>
      <c r="H38" s="21"/>
      <c r="I38" s="21"/>
      <c r="J38" s="21"/>
      <c r="K38" s="21"/>
      <c r="L38" s="21"/>
      <c r="M38" s="21"/>
      <c r="N38" s="21"/>
      <c r="O38" s="20"/>
    </row>
    <row r="39" spans="1:15" x14ac:dyDescent="0.3">
      <c r="A39" s="18"/>
      <c r="B39" s="21"/>
      <c r="C39" s="21"/>
      <c r="D39" s="21"/>
      <c r="E39" s="21"/>
      <c r="F39" s="21"/>
      <c r="G39" s="21"/>
      <c r="H39" s="21"/>
      <c r="I39" s="21"/>
      <c r="J39" s="21"/>
      <c r="K39" s="21"/>
      <c r="L39" s="21"/>
      <c r="M39" s="21"/>
      <c r="N39" s="21"/>
      <c r="O39" s="20"/>
    </row>
    <row r="40" spans="1:15" x14ac:dyDescent="0.3">
      <c r="A40" s="18"/>
      <c r="B40" s="21"/>
      <c r="C40" s="21"/>
      <c r="D40" s="21"/>
      <c r="E40" s="21"/>
      <c r="F40" s="21"/>
      <c r="G40" s="21"/>
      <c r="H40" s="21"/>
      <c r="I40" s="21"/>
      <c r="J40" s="21"/>
      <c r="K40" s="21"/>
      <c r="L40" s="21"/>
      <c r="M40" s="21"/>
      <c r="N40" s="21"/>
      <c r="O40" s="20"/>
    </row>
    <row r="41" spans="1:15" x14ac:dyDescent="0.3">
      <c r="A41" s="18"/>
      <c r="B41" s="21"/>
      <c r="C41" s="21"/>
      <c r="D41" s="21"/>
      <c r="E41" s="21"/>
      <c r="F41" s="21"/>
      <c r="G41" s="21"/>
      <c r="H41" s="21"/>
      <c r="I41" s="21"/>
      <c r="J41" s="21"/>
      <c r="K41" s="21"/>
      <c r="L41" s="21"/>
      <c r="M41" s="21"/>
      <c r="N41" s="21"/>
      <c r="O41" s="20"/>
    </row>
    <row r="42" spans="1:15" x14ac:dyDescent="0.3">
      <c r="A42" s="18"/>
      <c r="B42" s="21"/>
      <c r="C42" s="21"/>
      <c r="D42" s="21"/>
      <c r="E42" s="21"/>
      <c r="F42" s="21"/>
      <c r="G42" s="21"/>
      <c r="H42" s="21"/>
      <c r="I42" s="21"/>
      <c r="J42" s="21"/>
      <c r="K42" s="21"/>
      <c r="L42" s="21"/>
      <c r="M42" s="21"/>
      <c r="N42" s="21"/>
      <c r="O42" s="20"/>
    </row>
    <row r="43" spans="1:15" x14ac:dyDescent="0.3">
      <c r="A43" s="18"/>
      <c r="B43" s="21"/>
      <c r="C43" s="21"/>
      <c r="D43" s="21"/>
      <c r="E43" s="21"/>
      <c r="F43" s="21"/>
      <c r="G43" s="21"/>
      <c r="H43" s="21"/>
      <c r="I43" s="21"/>
      <c r="J43" s="21"/>
      <c r="K43" s="21"/>
      <c r="L43" s="21"/>
      <c r="M43" s="21"/>
      <c r="N43" s="21"/>
      <c r="O43" s="20"/>
    </row>
    <row r="44" spans="1:15" x14ac:dyDescent="0.3">
      <c r="A44" s="18"/>
      <c r="B44" s="21"/>
      <c r="C44" s="21"/>
      <c r="D44" s="21"/>
      <c r="E44" s="21"/>
      <c r="F44" s="21"/>
      <c r="G44" s="21"/>
      <c r="H44" s="21"/>
      <c r="I44" s="21"/>
      <c r="J44" s="21"/>
      <c r="K44" s="21"/>
      <c r="L44" s="21"/>
      <c r="M44" s="21"/>
      <c r="N44" s="21"/>
      <c r="O44" s="20"/>
    </row>
    <row r="45" spans="1:15" x14ac:dyDescent="0.3">
      <c r="A45" s="18"/>
      <c r="B45" s="21"/>
      <c r="C45" s="21"/>
      <c r="D45" s="21"/>
      <c r="E45" s="21"/>
      <c r="F45" s="21"/>
      <c r="G45" s="21"/>
      <c r="H45" s="21"/>
      <c r="I45" s="21"/>
      <c r="J45" s="21"/>
      <c r="K45" s="21"/>
      <c r="L45" s="21"/>
      <c r="M45" s="21"/>
      <c r="N45" s="21"/>
      <c r="O45" s="20"/>
    </row>
    <row r="46" spans="1:15" x14ac:dyDescent="0.3">
      <c r="A46" s="18"/>
      <c r="B46" s="21"/>
      <c r="C46" s="21"/>
      <c r="D46" s="21"/>
      <c r="E46" s="21"/>
      <c r="F46" s="21"/>
      <c r="G46" s="21"/>
      <c r="H46" s="21"/>
      <c r="I46" s="21"/>
      <c r="J46" s="21"/>
      <c r="K46" s="21"/>
      <c r="L46" s="21"/>
      <c r="M46" s="21"/>
      <c r="N46" s="21"/>
      <c r="O46" s="20"/>
    </row>
    <row r="47" spans="1:15" x14ac:dyDescent="0.3">
      <c r="A47" s="18"/>
      <c r="B47" s="21"/>
      <c r="C47" s="21"/>
      <c r="D47" s="21"/>
      <c r="E47" s="21"/>
      <c r="F47" s="21"/>
      <c r="G47" s="21"/>
      <c r="H47" s="21"/>
      <c r="I47" s="21"/>
      <c r="J47" s="21"/>
      <c r="K47" s="21"/>
      <c r="L47" s="21"/>
      <c r="M47" s="21"/>
      <c r="N47" s="21"/>
      <c r="O47" s="20"/>
    </row>
    <row r="48" spans="1:15" x14ac:dyDescent="0.3">
      <c r="A48" s="18"/>
      <c r="B48" s="21"/>
      <c r="C48" s="21"/>
      <c r="D48" s="21"/>
      <c r="E48" s="21"/>
      <c r="F48" s="21"/>
      <c r="G48" s="21"/>
      <c r="H48" s="21"/>
      <c r="I48" s="21"/>
      <c r="J48" s="21"/>
      <c r="K48" s="21"/>
      <c r="L48" s="21"/>
      <c r="M48" s="21"/>
      <c r="N48" s="21"/>
      <c r="O48" s="20"/>
    </row>
    <row r="49" spans="1:15" x14ac:dyDescent="0.3">
      <c r="A49" s="18"/>
      <c r="B49" s="21"/>
      <c r="C49" s="21"/>
      <c r="D49" s="21"/>
      <c r="E49" s="21"/>
      <c r="F49" s="21"/>
      <c r="G49" s="21"/>
      <c r="H49" s="21"/>
      <c r="I49" s="21"/>
      <c r="J49" s="21"/>
      <c r="K49" s="21"/>
      <c r="L49" s="21"/>
      <c r="M49" s="21"/>
      <c r="N49" s="21"/>
      <c r="O49" s="20"/>
    </row>
    <row r="50" spans="1:15" x14ac:dyDescent="0.3">
      <c r="A50" s="18"/>
      <c r="B50" s="21"/>
      <c r="C50" s="21"/>
      <c r="D50" s="21"/>
      <c r="E50" s="21"/>
      <c r="F50" s="21"/>
      <c r="G50" s="21"/>
      <c r="H50" s="21"/>
      <c r="I50" s="21"/>
      <c r="J50" s="21"/>
      <c r="K50" s="21"/>
      <c r="L50" s="21"/>
      <c r="M50" s="21"/>
      <c r="N50" s="21"/>
      <c r="O50" s="20"/>
    </row>
    <row r="51" spans="1:15" x14ac:dyDescent="0.3">
      <c r="A51" s="18"/>
      <c r="B51" s="21"/>
      <c r="C51" s="21"/>
      <c r="D51" s="21"/>
      <c r="E51" s="21"/>
      <c r="F51" s="21"/>
      <c r="G51" s="21"/>
      <c r="H51" s="21"/>
      <c r="I51" s="21"/>
      <c r="J51" s="21"/>
      <c r="K51" s="21"/>
      <c r="L51" s="21"/>
      <c r="M51" s="21"/>
      <c r="N51" s="21"/>
      <c r="O51" s="20"/>
    </row>
    <row r="52" spans="1:15" x14ac:dyDescent="0.3">
      <c r="A52" s="18"/>
      <c r="B52" s="21"/>
      <c r="C52" s="21"/>
      <c r="D52" s="21"/>
      <c r="E52" s="21"/>
      <c r="F52" s="21"/>
      <c r="G52" s="21"/>
      <c r="H52" s="21"/>
      <c r="I52" s="21"/>
      <c r="J52" s="21"/>
      <c r="K52" s="21"/>
      <c r="L52" s="21"/>
      <c r="M52" s="21"/>
      <c r="N52" s="21"/>
      <c r="O52" s="20"/>
    </row>
    <row r="53" spans="1:15" x14ac:dyDescent="0.3">
      <c r="A53" s="18"/>
      <c r="B53" s="21"/>
      <c r="C53" s="21"/>
      <c r="D53" s="21"/>
      <c r="E53" s="21"/>
      <c r="F53" s="21"/>
      <c r="G53" s="21"/>
      <c r="H53" s="21"/>
      <c r="I53" s="21"/>
      <c r="J53" s="21"/>
      <c r="K53" s="21"/>
      <c r="L53" s="21"/>
      <c r="M53" s="21"/>
      <c r="N53" s="21"/>
      <c r="O53" s="20"/>
    </row>
    <row r="54" spans="1:15" x14ac:dyDescent="0.3">
      <c r="A54" s="18"/>
      <c r="B54" s="21"/>
      <c r="C54" s="21"/>
      <c r="D54" s="21"/>
      <c r="E54" s="21"/>
      <c r="F54" s="21"/>
      <c r="G54" s="21"/>
      <c r="H54" s="21"/>
      <c r="I54" s="21"/>
      <c r="J54" s="21"/>
      <c r="K54" s="21"/>
      <c r="L54" s="21"/>
      <c r="M54" s="21"/>
      <c r="N54" s="21"/>
      <c r="O54" s="20"/>
    </row>
    <row r="55" spans="1:15" ht="15" thickBot="1" x14ac:dyDescent="0.35">
      <c r="A55" s="22"/>
      <c r="B55" s="23"/>
      <c r="C55" s="23"/>
      <c r="D55" s="23"/>
      <c r="E55" s="23"/>
      <c r="F55" s="23"/>
      <c r="G55" s="23"/>
      <c r="H55" s="23"/>
      <c r="I55" s="23"/>
      <c r="J55" s="23"/>
      <c r="K55" s="23"/>
      <c r="L55" s="23"/>
      <c r="M55" s="23"/>
      <c r="N55" s="23"/>
      <c r="O55" s="24"/>
    </row>
  </sheetData>
  <mergeCells count="23">
    <mergeCell ref="Q11:R13"/>
    <mergeCell ref="S11:Y13"/>
    <mergeCell ref="Z11:Z13"/>
    <mergeCell ref="Q23:R25"/>
    <mergeCell ref="S23:Y25"/>
    <mergeCell ref="Z23:Z25"/>
    <mergeCell ref="Q14:R16"/>
    <mergeCell ref="S14:Y16"/>
    <mergeCell ref="Z14:Z16"/>
    <mergeCell ref="Q17:R19"/>
    <mergeCell ref="S17:Y19"/>
    <mergeCell ref="Z17:Z19"/>
    <mergeCell ref="Q20:R22"/>
    <mergeCell ref="S20:Y22"/>
    <mergeCell ref="Z20:Z22"/>
    <mergeCell ref="Q8:R10"/>
    <mergeCell ref="S8:Y10"/>
    <mergeCell ref="Z8:Z10"/>
    <mergeCell ref="Q3:Z3"/>
    <mergeCell ref="Q4:R6"/>
    <mergeCell ref="S4:Z6"/>
    <mergeCell ref="Q7:R7"/>
    <mergeCell ref="S7:Y7"/>
  </mergeCells>
  <hyperlinks>
    <hyperlink ref="B5" r:id="rId1" xr:uid="{BE0A8AD7-FE38-4275-A853-C88AC579AD1B}"/>
  </hyperlinks>
  <pageMargins left="0.7" right="0.7" top="0.75" bottom="0.75" header="0.3" footer="0.3"/>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3"/>
  <dimension ref="A1:Z34"/>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38.77734375" customWidth="1"/>
    <col min="4" max="4" width="17.44140625" customWidth="1"/>
    <col min="5" max="5" width="18.77734375" bestFit="1" customWidth="1"/>
    <col min="6" max="6" width="16.77734375" customWidth="1"/>
    <col min="10" max="11" width="11.77734375" customWidth="1"/>
    <col min="19" max="25" width="15.44140625" customWidth="1"/>
  </cols>
  <sheetData>
    <row r="1" spans="1:26" ht="34.5" customHeight="1" thickBot="1" x14ac:dyDescent="0.35">
      <c r="A1" s="292" t="s">
        <v>1580</v>
      </c>
      <c r="B1" s="473" t="e" vm="1">
        <v>#VALUE!</v>
      </c>
      <c r="C1" s="8" t="s">
        <v>988</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3559</v>
      </c>
      <c r="R3" s="486"/>
      <c r="S3" s="486"/>
      <c r="T3" s="486"/>
      <c r="U3" s="486"/>
      <c r="V3" s="486"/>
      <c r="W3" s="486"/>
      <c r="X3" s="486"/>
      <c r="Y3" s="486"/>
      <c r="Z3" s="486"/>
    </row>
    <row r="4" spans="1:26" x14ac:dyDescent="0.3">
      <c r="A4" s="18"/>
      <c r="B4" s="492" t="s">
        <v>166</v>
      </c>
      <c r="C4" s="493"/>
      <c r="D4" s="21"/>
      <c r="E4" s="179" t="s">
        <v>3559</v>
      </c>
      <c r="F4" s="21"/>
      <c r="G4" s="21"/>
      <c r="H4" s="21"/>
      <c r="I4" s="21"/>
      <c r="J4" s="21"/>
      <c r="K4" s="159"/>
      <c r="L4" s="21"/>
      <c r="M4" s="21"/>
      <c r="N4" s="21"/>
      <c r="O4" s="20"/>
      <c r="Q4" s="487" t="s">
        <v>333</v>
      </c>
      <c r="R4" s="487"/>
      <c r="S4" s="487" t="s">
        <v>991</v>
      </c>
      <c r="T4" s="487"/>
      <c r="U4" s="487"/>
      <c r="V4" s="487"/>
      <c r="W4" s="487"/>
      <c r="X4" s="487"/>
      <c r="Y4" s="487"/>
      <c r="Z4" s="487"/>
    </row>
    <row r="5" spans="1:26" x14ac:dyDescent="0.3">
      <c r="A5" s="18"/>
      <c r="B5" s="42" t="s">
        <v>77</v>
      </c>
      <c r="C5" s="44">
        <v>1</v>
      </c>
      <c r="D5" s="21"/>
      <c r="E5" s="189" cm="1">
        <f t="array" ref="E5">_xll.U.SYNC_CELLS(B5:C7,B11:C13,B17:C19)</f>
        <v>46145.893302395831</v>
      </c>
      <c r="F5" s="21"/>
      <c r="G5" s="21"/>
      <c r="H5" s="21"/>
      <c r="I5" s="21"/>
      <c r="J5" s="21"/>
      <c r="K5" s="159"/>
      <c r="L5" s="21"/>
      <c r="M5" s="21"/>
      <c r="N5" s="21"/>
      <c r="O5" s="20"/>
      <c r="Q5" s="487"/>
      <c r="R5" s="487"/>
      <c r="S5" s="487"/>
      <c r="T5" s="487"/>
      <c r="U5" s="487"/>
      <c r="V5" s="487"/>
      <c r="W5" s="487"/>
      <c r="X5" s="487"/>
      <c r="Y5" s="487"/>
      <c r="Z5" s="487"/>
    </row>
    <row r="6" spans="1:26" x14ac:dyDescent="0.3">
      <c r="A6" s="18"/>
      <c r="B6" s="42" t="s">
        <v>78</v>
      </c>
      <c r="C6" s="44">
        <v>2</v>
      </c>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42" t="s">
        <v>79</v>
      </c>
      <c r="C7" s="44">
        <v>3</v>
      </c>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21"/>
      <c r="C8" s="21"/>
      <c r="D8" s="21"/>
      <c r="E8" s="21"/>
      <c r="F8" s="21"/>
      <c r="G8" s="21"/>
      <c r="H8" s="21"/>
      <c r="I8" s="21"/>
      <c r="J8" s="21"/>
      <c r="K8" s="21"/>
      <c r="L8" s="21"/>
      <c r="M8" s="21"/>
      <c r="N8" s="21"/>
      <c r="O8" s="20"/>
      <c r="Q8" s="487" t="s">
        <v>458</v>
      </c>
      <c r="R8" s="487"/>
      <c r="S8" s="487" t="s">
        <v>990</v>
      </c>
      <c r="T8" s="487"/>
      <c r="U8" s="487"/>
      <c r="V8" s="487"/>
      <c r="W8" s="487"/>
      <c r="X8" s="487"/>
      <c r="Y8" s="487"/>
      <c r="Z8" s="509" t="s">
        <v>325</v>
      </c>
    </row>
    <row r="9" spans="1:26" x14ac:dyDescent="0.3">
      <c r="A9" s="18"/>
      <c r="B9" s="21"/>
      <c r="C9" s="21"/>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B10" s="492" t="s">
        <v>167</v>
      </c>
      <c r="C10" s="493"/>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42" t="s">
        <v>77</v>
      </c>
      <c r="C11" s="44">
        <v>1</v>
      </c>
      <c r="D11" s="21"/>
      <c r="E11" s="21"/>
      <c r="F11" s="21"/>
      <c r="G11" s="21"/>
      <c r="H11" s="21"/>
      <c r="I11" s="21"/>
      <c r="J11" s="21"/>
      <c r="K11" s="21"/>
      <c r="L11" s="21"/>
      <c r="M11" s="21"/>
      <c r="N11" s="21"/>
      <c r="O11" s="20"/>
      <c r="Q11" s="487" t="s">
        <v>458</v>
      </c>
      <c r="R11" s="487"/>
      <c r="S11" s="487" t="s">
        <v>990</v>
      </c>
      <c r="T11" s="487"/>
      <c r="U11" s="487"/>
      <c r="V11" s="487"/>
      <c r="W11" s="487"/>
      <c r="X11" s="487"/>
      <c r="Y11" s="487"/>
      <c r="Z11" s="509" t="s">
        <v>325</v>
      </c>
    </row>
    <row r="12" spans="1:26" x14ac:dyDescent="0.3">
      <c r="A12" s="18"/>
      <c r="B12" s="42" t="s">
        <v>78</v>
      </c>
      <c r="C12" s="44">
        <v>2</v>
      </c>
      <c r="D12" s="21"/>
      <c r="E12" s="21"/>
      <c r="F12" s="21"/>
      <c r="G12" s="21"/>
      <c r="H12" s="21"/>
      <c r="I12" s="21"/>
      <c r="J12" s="21"/>
      <c r="K12" s="21"/>
      <c r="L12" s="21"/>
      <c r="M12" s="21"/>
      <c r="N12" s="21"/>
      <c r="O12" s="20"/>
      <c r="Q12" s="487"/>
      <c r="R12" s="487"/>
      <c r="S12" s="487"/>
      <c r="T12" s="487"/>
      <c r="U12" s="487"/>
      <c r="V12" s="487"/>
      <c r="W12" s="487"/>
      <c r="X12" s="487"/>
      <c r="Y12" s="487"/>
      <c r="Z12" s="509"/>
    </row>
    <row r="13" spans="1:26" x14ac:dyDescent="0.3">
      <c r="A13" s="18"/>
      <c r="B13" s="42" t="s">
        <v>79</v>
      </c>
      <c r="C13" s="44">
        <v>3</v>
      </c>
      <c r="D13" s="21"/>
      <c r="E13" s="21"/>
      <c r="F13" s="21"/>
      <c r="G13" s="21"/>
      <c r="H13" s="21"/>
      <c r="I13" s="21"/>
      <c r="J13" s="21"/>
      <c r="K13" s="21"/>
      <c r="L13" s="21"/>
      <c r="M13" s="21"/>
      <c r="N13" s="21"/>
      <c r="O13" s="20"/>
      <c r="Q13" s="487"/>
      <c r="R13" s="487"/>
      <c r="S13" s="487"/>
      <c r="T13" s="487"/>
      <c r="U13" s="487"/>
      <c r="V13" s="487"/>
      <c r="W13" s="487"/>
      <c r="X13" s="487"/>
      <c r="Y13" s="487"/>
      <c r="Z13" s="509"/>
    </row>
    <row r="14" spans="1:26" x14ac:dyDescent="0.3">
      <c r="A14" s="18"/>
      <c r="B14" s="21"/>
      <c r="C14" s="21"/>
      <c r="D14" s="21"/>
      <c r="E14" s="21"/>
      <c r="F14" s="21"/>
      <c r="G14" s="21"/>
      <c r="H14" s="21"/>
      <c r="I14" s="21"/>
      <c r="J14" s="21"/>
      <c r="K14" s="21"/>
      <c r="L14" s="21"/>
      <c r="M14" s="21"/>
      <c r="N14" s="21"/>
      <c r="O14" s="20"/>
      <c r="Q14" s="496" t="s">
        <v>989</v>
      </c>
      <c r="R14" s="497"/>
      <c r="S14" s="496" t="s">
        <v>3883</v>
      </c>
      <c r="T14" s="502"/>
      <c r="U14" s="502"/>
      <c r="V14" s="502"/>
      <c r="W14" s="502"/>
      <c r="X14" s="502"/>
      <c r="Y14" s="497"/>
      <c r="Z14" s="505" t="s">
        <v>326</v>
      </c>
    </row>
    <row r="15" spans="1:26" x14ac:dyDescent="0.3">
      <c r="A15" s="18"/>
      <c r="B15" s="21"/>
      <c r="C15" s="21"/>
      <c r="D15" s="2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492" t="s">
        <v>168</v>
      </c>
      <c r="C16" s="493"/>
      <c r="D16" s="21"/>
      <c r="E16" s="21"/>
      <c r="F16" s="21"/>
      <c r="G16" s="21"/>
      <c r="H16" s="21"/>
      <c r="I16" s="21"/>
      <c r="J16" s="21"/>
      <c r="K16" s="21"/>
      <c r="L16" s="21"/>
      <c r="M16" s="21"/>
      <c r="N16" s="21"/>
      <c r="O16" s="20"/>
      <c r="Q16" s="500"/>
      <c r="R16" s="501"/>
      <c r="S16" s="500"/>
      <c r="T16" s="504"/>
      <c r="U16" s="504"/>
      <c r="V16" s="504"/>
      <c r="W16" s="504"/>
      <c r="X16" s="504"/>
      <c r="Y16" s="501"/>
      <c r="Z16" s="507"/>
    </row>
    <row r="17" spans="1:26" x14ac:dyDescent="0.3">
      <c r="A17" s="18"/>
      <c r="B17" s="42" t="s">
        <v>77</v>
      </c>
      <c r="C17" s="44">
        <v>1</v>
      </c>
      <c r="D17" s="21"/>
      <c r="E17" s="21"/>
      <c r="F17" s="21"/>
      <c r="G17" s="21"/>
      <c r="H17" s="21"/>
      <c r="I17" s="21"/>
      <c r="J17" s="21"/>
      <c r="K17" s="21"/>
      <c r="L17" s="21"/>
      <c r="M17" s="21"/>
      <c r="N17" s="21"/>
      <c r="O17" s="20"/>
      <c r="Q17" s="496" t="s">
        <v>989</v>
      </c>
      <c r="R17" s="497"/>
      <c r="S17" s="496" t="s">
        <v>1202</v>
      </c>
      <c r="T17" s="502"/>
      <c r="U17" s="502"/>
      <c r="V17" s="502"/>
      <c r="W17" s="502"/>
      <c r="X17" s="502"/>
      <c r="Y17" s="497"/>
      <c r="Z17" s="505" t="s">
        <v>326</v>
      </c>
    </row>
    <row r="18" spans="1:26" x14ac:dyDescent="0.3">
      <c r="A18" s="18"/>
      <c r="B18" s="42" t="s">
        <v>78</v>
      </c>
      <c r="C18" s="44">
        <v>2</v>
      </c>
      <c r="D18" s="21"/>
      <c r="E18" s="21"/>
      <c r="F18" s="21"/>
      <c r="G18" s="21"/>
      <c r="H18" s="21"/>
      <c r="I18" s="21"/>
      <c r="J18" s="21"/>
      <c r="K18" s="21"/>
      <c r="L18" s="21"/>
      <c r="M18" s="21"/>
      <c r="N18" s="21"/>
      <c r="O18" s="20"/>
      <c r="Q18" s="498"/>
      <c r="R18" s="499"/>
      <c r="S18" s="498"/>
      <c r="T18" s="503"/>
      <c r="U18" s="503"/>
      <c r="V18" s="503"/>
      <c r="W18" s="503"/>
      <c r="X18" s="503"/>
      <c r="Y18" s="499"/>
      <c r="Z18" s="506"/>
    </row>
    <row r="19" spans="1:26" x14ac:dyDescent="0.3">
      <c r="A19" s="18"/>
      <c r="B19" s="42" t="s">
        <v>79</v>
      </c>
      <c r="C19" s="44">
        <v>3</v>
      </c>
      <c r="D19" s="21"/>
      <c r="E19" s="21"/>
      <c r="F19" s="21"/>
      <c r="G19" s="21"/>
      <c r="H19" s="21"/>
      <c r="I19" s="21"/>
      <c r="J19" s="21"/>
      <c r="K19" s="21"/>
      <c r="L19" s="21"/>
      <c r="M19" s="21"/>
      <c r="N19" s="21"/>
      <c r="O19" s="20"/>
      <c r="Q19" s="500"/>
      <c r="R19" s="501"/>
      <c r="S19" s="500"/>
      <c r="T19" s="504"/>
      <c r="U19" s="504"/>
      <c r="V19" s="504"/>
      <c r="W19" s="504"/>
      <c r="X19" s="504"/>
      <c r="Y19" s="501"/>
      <c r="Z19" s="507"/>
    </row>
    <row r="20" spans="1:26" x14ac:dyDescent="0.3">
      <c r="A20" s="18"/>
      <c r="B20" s="21"/>
      <c r="C20" s="21"/>
      <c r="D20" s="21"/>
      <c r="E20" s="21"/>
      <c r="F20" s="21"/>
      <c r="G20" s="21"/>
      <c r="H20" s="21"/>
      <c r="I20" s="21"/>
      <c r="J20" s="21"/>
      <c r="K20" s="21"/>
      <c r="L20" s="21"/>
      <c r="M20" s="21"/>
      <c r="N20" s="21"/>
      <c r="O20" s="20"/>
      <c r="Q20" s="126" t="s">
        <v>328</v>
      </c>
    </row>
    <row r="21" spans="1:26" x14ac:dyDescent="0.3">
      <c r="A21" s="18"/>
      <c r="B21" s="21"/>
      <c r="C21" s="21"/>
      <c r="D21" s="21"/>
      <c r="E21" s="21"/>
      <c r="F21" s="21"/>
      <c r="G21" s="21"/>
      <c r="H21" s="21"/>
      <c r="I21" s="21"/>
      <c r="J21" s="21"/>
      <c r="K21" s="21"/>
      <c r="L21" s="21"/>
      <c r="M21" s="21"/>
      <c r="N21" s="21"/>
      <c r="O21" s="20"/>
    </row>
    <row r="22" spans="1:26" x14ac:dyDescent="0.3">
      <c r="A22" s="18"/>
      <c r="B22" s="21"/>
      <c r="C22" s="21"/>
      <c r="D22" s="21"/>
      <c r="E22" s="21"/>
      <c r="F22" s="21"/>
      <c r="G22" s="21"/>
      <c r="H22" s="21"/>
      <c r="I22" s="21"/>
      <c r="J22" s="21"/>
      <c r="K22" s="21"/>
      <c r="L22" s="21"/>
      <c r="M22" s="21"/>
      <c r="N22" s="21"/>
      <c r="O22" s="20"/>
    </row>
    <row r="23" spans="1:26" x14ac:dyDescent="0.3">
      <c r="A23" s="18"/>
      <c r="B23" s="21"/>
      <c r="C23" s="21"/>
      <c r="D23" s="21"/>
      <c r="E23" s="21"/>
      <c r="F23" s="21"/>
      <c r="G23" s="21"/>
      <c r="H23" s="21"/>
      <c r="I23" s="21"/>
      <c r="J23" s="21"/>
      <c r="K23" s="21"/>
      <c r="L23" s="21"/>
      <c r="M23" s="21"/>
      <c r="N23" s="21"/>
      <c r="O23" s="20"/>
    </row>
    <row r="24" spans="1:26" x14ac:dyDescent="0.3">
      <c r="A24" s="18"/>
      <c r="B24" s="21"/>
      <c r="C24" s="21"/>
      <c r="D24" s="21"/>
      <c r="E24" s="21"/>
      <c r="F24" s="21"/>
      <c r="G24" s="21"/>
      <c r="H24" s="21"/>
      <c r="I24" s="21"/>
      <c r="J24" s="21"/>
      <c r="K24" s="21"/>
      <c r="L24" s="21"/>
      <c r="M24" s="21"/>
      <c r="N24" s="21"/>
      <c r="O24" s="20"/>
    </row>
    <row r="25" spans="1:26" x14ac:dyDescent="0.3">
      <c r="A25" s="18"/>
      <c r="B25" s="21"/>
      <c r="C25" s="101" t="s">
        <v>1203</v>
      </c>
      <c r="D25" s="21"/>
      <c r="E25" s="179" t="s">
        <v>3559</v>
      </c>
      <c r="F25" s="21"/>
      <c r="G25" s="21"/>
      <c r="H25" s="21"/>
      <c r="I25" s="21"/>
      <c r="J25" s="21"/>
      <c r="K25" s="21"/>
      <c r="L25" s="21"/>
      <c r="M25" s="21"/>
      <c r="N25" s="21"/>
      <c r="O25" s="20"/>
    </row>
    <row r="26" spans="1:26" x14ac:dyDescent="0.3">
      <c r="A26" s="18"/>
      <c r="B26" s="21"/>
      <c r="C26" s="42" t="s">
        <v>39</v>
      </c>
      <c r="D26" s="21"/>
      <c r="E26" s="189" cm="1">
        <f t="array" ref="E26">_xll.U.SYNC_CELLS(C26,C29)</f>
        <v>46145.893291284723</v>
      </c>
      <c r="F26" s="21"/>
      <c r="G26" s="21"/>
      <c r="H26" s="21"/>
      <c r="I26" s="21"/>
      <c r="J26" s="21"/>
      <c r="K26" s="21"/>
      <c r="L26" s="21"/>
      <c r="M26" s="21"/>
      <c r="N26" s="21"/>
      <c r="O26" s="20"/>
    </row>
    <row r="27" spans="1:26" x14ac:dyDescent="0.3">
      <c r="A27" s="18"/>
      <c r="B27" s="21"/>
      <c r="C27" s="21"/>
      <c r="D27" s="21"/>
      <c r="E27" s="21"/>
      <c r="F27" s="21"/>
      <c r="G27" s="21"/>
      <c r="H27" s="21"/>
      <c r="I27" s="21"/>
      <c r="J27" s="21"/>
      <c r="K27" s="21"/>
      <c r="L27" s="21"/>
      <c r="M27" s="21"/>
      <c r="N27" s="21"/>
      <c r="O27" s="20"/>
    </row>
    <row r="28" spans="1:26" x14ac:dyDescent="0.3">
      <c r="A28" s="18"/>
      <c r="B28" s="21"/>
      <c r="C28" s="101" t="s">
        <v>1204</v>
      </c>
      <c r="D28" s="21"/>
      <c r="E28" s="21"/>
      <c r="F28" s="21"/>
      <c r="G28" s="21"/>
      <c r="H28" s="21"/>
      <c r="I28" s="21"/>
      <c r="J28" s="21"/>
      <c r="K28" s="21"/>
      <c r="L28" s="21"/>
      <c r="M28" s="21"/>
      <c r="N28" s="21"/>
      <c r="O28" s="20"/>
    </row>
    <row r="29" spans="1:26" x14ac:dyDescent="0.3">
      <c r="A29" s="18"/>
      <c r="B29" s="21"/>
      <c r="C29" s="42" t="s">
        <v>1205</v>
      </c>
      <c r="D29" s="21"/>
      <c r="E29" s="21"/>
      <c r="F29" s="21"/>
      <c r="G29" s="21"/>
      <c r="H29" s="21"/>
      <c r="I29" s="21"/>
      <c r="J29" s="21"/>
      <c r="K29" s="21"/>
      <c r="L29" s="21"/>
      <c r="M29" s="21"/>
      <c r="N29" s="21"/>
      <c r="O29" s="20"/>
    </row>
    <row r="30" spans="1:26" x14ac:dyDescent="0.3">
      <c r="A30" s="18"/>
      <c r="B30" s="21"/>
      <c r="C30" s="21"/>
      <c r="D30" s="21"/>
      <c r="E30" s="21"/>
      <c r="F30" s="21"/>
      <c r="G30" s="21"/>
      <c r="H30" s="21"/>
      <c r="I30" s="21"/>
      <c r="J30" s="21"/>
      <c r="K30" s="21"/>
      <c r="L30" s="21"/>
      <c r="M30" s="21"/>
      <c r="N30" s="21"/>
      <c r="O30" s="20"/>
    </row>
    <row r="31" spans="1:26" x14ac:dyDescent="0.3">
      <c r="A31" s="18"/>
      <c r="B31" s="21"/>
      <c r="C31" s="21"/>
      <c r="D31" s="21"/>
      <c r="E31" s="21"/>
      <c r="F31" s="21"/>
      <c r="G31" s="21"/>
      <c r="H31" s="21"/>
      <c r="I31" s="21"/>
      <c r="J31" s="21"/>
      <c r="K31" s="21"/>
      <c r="L31" s="21"/>
      <c r="M31" s="21"/>
      <c r="N31" s="21"/>
      <c r="O31" s="20"/>
    </row>
    <row r="32" spans="1:26" x14ac:dyDescent="0.3">
      <c r="A32" s="18"/>
      <c r="B32" s="21"/>
      <c r="C32" s="21"/>
      <c r="D32" s="21"/>
      <c r="E32" s="21"/>
      <c r="F32" s="21"/>
      <c r="G32" s="21"/>
      <c r="H32" s="21"/>
      <c r="I32" s="21"/>
      <c r="J32" s="21"/>
      <c r="K32" s="21"/>
      <c r="L32" s="21"/>
      <c r="M32" s="21"/>
      <c r="N32" s="21"/>
      <c r="O32" s="20"/>
    </row>
    <row r="33" spans="1:15" x14ac:dyDescent="0.3">
      <c r="A33" s="18"/>
      <c r="B33" s="21"/>
      <c r="C33" s="21"/>
      <c r="D33" s="21"/>
      <c r="E33" s="21"/>
      <c r="F33" s="21"/>
      <c r="G33" s="21"/>
      <c r="H33" s="21"/>
      <c r="I33" s="21"/>
      <c r="J33" s="21"/>
      <c r="K33" s="21"/>
      <c r="L33" s="21"/>
      <c r="M33" s="21"/>
      <c r="N33" s="21"/>
      <c r="O33" s="20"/>
    </row>
    <row r="34" spans="1:15" ht="15" thickBot="1" x14ac:dyDescent="0.35">
      <c r="A34" s="22"/>
      <c r="B34" s="23"/>
      <c r="C34" s="23"/>
      <c r="D34" s="23"/>
      <c r="E34" s="23"/>
      <c r="F34" s="23"/>
      <c r="G34" s="23"/>
      <c r="H34" s="23"/>
      <c r="I34" s="23"/>
      <c r="J34" s="23"/>
      <c r="K34" s="23"/>
      <c r="L34" s="23"/>
      <c r="M34" s="23"/>
      <c r="N34" s="23"/>
      <c r="O34" s="24"/>
    </row>
  </sheetData>
  <mergeCells count="20">
    <mergeCell ref="Q3:Z3"/>
    <mergeCell ref="Q4:R6"/>
    <mergeCell ref="S4:Z6"/>
    <mergeCell ref="Q7:R7"/>
    <mergeCell ref="S7:Y7"/>
    <mergeCell ref="B16:C16"/>
    <mergeCell ref="Q8:R10"/>
    <mergeCell ref="S8:Y10"/>
    <mergeCell ref="Z8:Z10"/>
    <mergeCell ref="B4:C4"/>
    <mergeCell ref="B10:C10"/>
    <mergeCell ref="Q11:R13"/>
    <mergeCell ref="S11:Y13"/>
    <mergeCell ref="Z11:Z13"/>
    <mergeCell ref="Q17:R19"/>
    <mergeCell ref="S17:Y19"/>
    <mergeCell ref="Z17:Z19"/>
    <mergeCell ref="Q14:R16"/>
    <mergeCell ref="S14:Y16"/>
    <mergeCell ref="Z14:Z16"/>
  </mergeCells>
  <pageMargins left="0.7" right="0.7" top="0.75" bottom="0.75" header="0.3" footer="0.3"/>
  <pageSetup orientation="portrait" verticalDpi="0" r:id="rId1"/>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E858-DD84-45EF-AEF2-9ABFAEAEAB4C}">
  <sheetPr codeName="Sheet54"/>
  <dimension ref="A1:Z68"/>
  <sheetViews>
    <sheetView workbookViewId="0">
      <pane ySplit="1" topLeftCell="A2" activePane="bottomLeft" state="frozen"/>
      <selection pane="bottomLeft" activeCell="A2" sqref="A2"/>
    </sheetView>
  </sheetViews>
  <sheetFormatPr defaultRowHeight="14.4" x14ac:dyDescent="0.3"/>
  <cols>
    <col min="2" max="2" width="28.21875" customWidth="1"/>
    <col min="3" max="3" width="38.77734375" customWidth="1"/>
    <col min="4" max="4" width="17.44140625" customWidth="1"/>
    <col min="5" max="5" width="23.5546875" bestFit="1" customWidth="1"/>
    <col min="6" max="6" width="16.77734375" customWidth="1"/>
    <col min="10" max="11" width="11.77734375" customWidth="1"/>
    <col min="19" max="25" width="11.21875" customWidth="1"/>
  </cols>
  <sheetData>
    <row r="1" spans="1:26" ht="34.5" customHeight="1" thickBot="1" x14ac:dyDescent="0.35">
      <c r="A1" s="292" t="s">
        <v>1580</v>
      </c>
      <c r="B1" s="473" t="e" vm="1">
        <v>#VALUE!</v>
      </c>
      <c r="C1" s="8" t="s">
        <v>2563</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3560</v>
      </c>
      <c r="R3" s="486"/>
      <c r="S3" s="486"/>
      <c r="T3" s="486"/>
      <c r="U3" s="486"/>
      <c r="V3" s="486"/>
      <c r="W3" s="486"/>
      <c r="X3" s="486"/>
      <c r="Y3" s="486"/>
      <c r="Z3" s="486"/>
    </row>
    <row r="4" spans="1:26" ht="15" customHeight="1" x14ac:dyDescent="0.3">
      <c r="A4" s="18"/>
      <c r="B4" s="3" t="s">
        <v>2568</v>
      </c>
      <c r="C4" s="21"/>
      <c r="D4" s="21"/>
      <c r="E4" s="179" t="s">
        <v>3560</v>
      </c>
      <c r="F4" s="21"/>
      <c r="G4" s="21"/>
      <c r="H4" s="21"/>
      <c r="I4" s="21"/>
      <c r="J4" s="21"/>
      <c r="K4" s="159"/>
      <c r="L4" s="21"/>
      <c r="M4" s="21"/>
      <c r="N4" s="21"/>
      <c r="O4" s="20"/>
      <c r="Q4" s="487" t="s">
        <v>333</v>
      </c>
      <c r="R4" s="487"/>
      <c r="S4" s="487" t="s">
        <v>2564</v>
      </c>
      <c r="T4" s="487"/>
      <c r="U4" s="487"/>
      <c r="V4" s="487"/>
      <c r="W4" s="487"/>
      <c r="X4" s="487"/>
      <c r="Y4" s="487"/>
      <c r="Z4" s="487"/>
    </row>
    <row r="5" spans="1:26" x14ac:dyDescent="0.3">
      <c r="A5" s="18"/>
      <c r="B5" s="21"/>
      <c r="C5" s="21"/>
      <c r="D5" s="21"/>
      <c r="E5" s="189" cm="1">
        <f t="array" ref="E5">_xll.U.SELECTION_PATH(B4,B6,B8:C9,B11)</f>
        <v>46145.89323144676</v>
      </c>
      <c r="F5" s="21"/>
      <c r="G5" s="21"/>
      <c r="H5" s="21"/>
      <c r="I5" s="21"/>
      <c r="J5" s="21"/>
      <c r="K5" s="159"/>
      <c r="L5" s="21"/>
      <c r="M5" s="21"/>
      <c r="N5" s="21"/>
      <c r="O5" s="20"/>
      <c r="Q5" s="487"/>
      <c r="R5" s="487"/>
      <c r="S5" s="487"/>
      <c r="T5" s="487"/>
      <c r="U5" s="487"/>
      <c r="V5" s="487"/>
      <c r="W5" s="487"/>
      <c r="X5" s="487"/>
      <c r="Y5" s="487"/>
      <c r="Z5" s="487"/>
    </row>
    <row r="6" spans="1:26" x14ac:dyDescent="0.3">
      <c r="A6" s="18"/>
      <c r="B6" s="3" t="s">
        <v>2569</v>
      </c>
      <c r="C6" s="21"/>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21"/>
      <c r="C7" s="21"/>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ht="15" customHeight="1" x14ac:dyDescent="0.3">
      <c r="A8" s="18"/>
      <c r="B8" s="3" t="s">
        <v>2570</v>
      </c>
      <c r="C8" s="3"/>
      <c r="D8" s="21"/>
      <c r="E8" s="21"/>
      <c r="F8" s="21"/>
      <c r="G8" s="21"/>
      <c r="H8" s="21"/>
      <c r="I8" s="21"/>
      <c r="J8" s="21"/>
      <c r="K8" s="21"/>
      <c r="L8" s="21"/>
      <c r="M8" s="21"/>
      <c r="N8" s="21"/>
      <c r="O8" s="20"/>
      <c r="Q8" s="487" t="s">
        <v>458</v>
      </c>
      <c r="R8" s="487"/>
      <c r="S8" s="487" t="s">
        <v>2565</v>
      </c>
      <c r="T8" s="487"/>
      <c r="U8" s="487"/>
      <c r="V8" s="487"/>
      <c r="W8" s="487"/>
      <c r="X8" s="487"/>
      <c r="Y8" s="487"/>
      <c r="Z8" s="509" t="s">
        <v>325</v>
      </c>
    </row>
    <row r="9" spans="1:26" x14ac:dyDescent="0.3">
      <c r="A9" s="18"/>
      <c r="B9" s="3"/>
      <c r="C9" s="3"/>
      <c r="D9" s="21"/>
      <c r="E9" s="21"/>
      <c r="F9" s="21"/>
      <c r="G9" s="21"/>
      <c r="H9" s="21"/>
      <c r="I9" s="21"/>
      <c r="J9" s="21"/>
      <c r="K9" s="21"/>
      <c r="L9" s="21"/>
      <c r="M9" s="21"/>
      <c r="N9" s="21"/>
      <c r="O9" s="20"/>
      <c r="Q9" s="487"/>
      <c r="R9" s="487"/>
      <c r="S9" s="487"/>
      <c r="T9" s="487"/>
      <c r="U9" s="487"/>
      <c r="V9" s="487"/>
      <c r="W9" s="487"/>
      <c r="X9" s="487"/>
      <c r="Y9" s="487"/>
      <c r="Z9" s="509"/>
    </row>
    <row r="10" spans="1:26" x14ac:dyDescent="0.3">
      <c r="A10" s="18"/>
      <c r="C10" s="21"/>
      <c r="D10" s="21"/>
      <c r="E10" s="21"/>
      <c r="F10" s="21"/>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3" t="s">
        <v>2571</v>
      </c>
      <c r="C11" s="21"/>
      <c r="D11" s="21"/>
      <c r="E11" s="21"/>
      <c r="F11" s="21"/>
      <c r="G11" s="21"/>
      <c r="H11" s="21"/>
      <c r="I11" s="21"/>
      <c r="J11" s="21"/>
      <c r="K11" s="21"/>
      <c r="L11" s="21"/>
      <c r="M11" s="21"/>
      <c r="N11" s="21"/>
      <c r="O11" s="20"/>
      <c r="Q11" s="487" t="s">
        <v>458</v>
      </c>
      <c r="R11" s="487"/>
      <c r="S11" s="487" t="s">
        <v>2566</v>
      </c>
      <c r="T11" s="487"/>
      <c r="U11" s="487"/>
      <c r="V11" s="487"/>
      <c r="W11" s="487"/>
      <c r="X11" s="487"/>
      <c r="Y11" s="487"/>
      <c r="Z11" s="509" t="s">
        <v>325</v>
      </c>
    </row>
    <row r="12" spans="1:26" x14ac:dyDescent="0.3">
      <c r="A12" s="18"/>
      <c r="B12" s="21"/>
      <c r="C12" s="21"/>
      <c r="D12" s="21"/>
      <c r="E12" s="21"/>
      <c r="F12" s="21"/>
      <c r="G12" s="21"/>
      <c r="H12" s="21"/>
      <c r="I12" s="21"/>
      <c r="J12" s="21"/>
      <c r="K12" s="21"/>
      <c r="L12" s="21"/>
      <c r="M12" s="21"/>
      <c r="N12" s="21"/>
      <c r="O12" s="20"/>
      <c r="Q12" s="487"/>
      <c r="R12" s="487"/>
      <c r="S12" s="487"/>
      <c r="T12" s="487"/>
      <c r="U12" s="487"/>
      <c r="V12" s="487"/>
      <c r="W12" s="487"/>
      <c r="X12" s="487"/>
      <c r="Y12" s="487"/>
      <c r="Z12" s="509"/>
    </row>
    <row r="13" spans="1:26" x14ac:dyDescent="0.3">
      <c r="A13" s="18"/>
      <c r="B13" s="21"/>
      <c r="C13" s="21"/>
      <c r="D13" s="21"/>
      <c r="E13" s="21"/>
      <c r="F13" s="21"/>
      <c r="G13" s="21"/>
      <c r="H13" s="21"/>
      <c r="I13" s="21"/>
      <c r="J13" s="21"/>
      <c r="K13" s="21"/>
      <c r="L13" s="21"/>
      <c r="M13" s="21"/>
      <c r="N13" s="21"/>
      <c r="O13" s="20"/>
      <c r="Q13" s="487"/>
      <c r="R13" s="487"/>
      <c r="S13" s="487"/>
      <c r="T13" s="487"/>
      <c r="U13" s="487"/>
      <c r="V13" s="487"/>
      <c r="W13" s="487"/>
      <c r="X13" s="487"/>
      <c r="Y13" s="487"/>
      <c r="Z13" s="509"/>
    </row>
    <row r="14" spans="1:26" ht="15" customHeight="1" x14ac:dyDescent="0.3">
      <c r="A14" s="18"/>
      <c r="B14" s="21"/>
      <c r="C14" s="21"/>
      <c r="D14" s="21"/>
      <c r="E14" s="21"/>
      <c r="F14" s="21"/>
      <c r="G14" s="21"/>
      <c r="H14" s="21"/>
      <c r="I14" s="21"/>
      <c r="J14" s="21"/>
      <c r="K14" s="21"/>
      <c r="L14" s="21"/>
      <c r="M14" s="21"/>
      <c r="N14" s="21"/>
      <c r="O14" s="20"/>
      <c r="Q14" s="484" t="s">
        <v>989</v>
      </c>
      <c r="R14" s="484"/>
      <c r="S14" s="484" t="s">
        <v>2567</v>
      </c>
      <c r="T14" s="484"/>
      <c r="U14" s="484"/>
      <c r="V14" s="484"/>
      <c r="W14" s="484"/>
      <c r="X14" s="484"/>
      <c r="Y14" s="484"/>
      <c r="Z14" s="485" t="s">
        <v>326</v>
      </c>
    </row>
    <row r="15" spans="1:26" x14ac:dyDescent="0.3">
      <c r="A15" s="18"/>
      <c r="B15" s="21"/>
      <c r="C15" s="21"/>
      <c r="D15" s="21"/>
      <c r="E15" s="21"/>
      <c r="F15" s="21"/>
      <c r="G15" s="21"/>
      <c r="H15" s="21"/>
      <c r="I15" s="21"/>
      <c r="J15" s="21"/>
      <c r="K15" s="21"/>
      <c r="L15" s="21"/>
      <c r="M15" s="21"/>
      <c r="N15" s="21"/>
      <c r="O15" s="20"/>
      <c r="Q15" s="484"/>
      <c r="R15" s="484"/>
      <c r="S15" s="484"/>
      <c r="T15" s="484"/>
      <c r="U15" s="484"/>
      <c r="V15" s="484"/>
      <c r="W15" s="484"/>
      <c r="X15" s="484"/>
      <c r="Y15" s="484"/>
      <c r="Z15" s="485"/>
    </row>
    <row r="16" spans="1:26" x14ac:dyDescent="0.3">
      <c r="A16" s="18"/>
      <c r="B16" s="21"/>
      <c r="C16" s="21"/>
      <c r="D16" s="21"/>
      <c r="E16" s="21"/>
      <c r="F16" s="21"/>
      <c r="G16" s="21"/>
      <c r="H16" s="21"/>
      <c r="I16" s="21"/>
      <c r="J16" s="21"/>
      <c r="K16" s="21"/>
      <c r="L16" s="21"/>
      <c r="M16" s="21"/>
      <c r="N16" s="21"/>
      <c r="O16" s="20"/>
      <c r="Q16" s="484"/>
      <c r="R16" s="484"/>
      <c r="S16" s="484"/>
      <c r="T16" s="484"/>
      <c r="U16" s="484"/>
      <c r="V16" s="484"/>
      <c r="W16" s="484"/>
      <c r="X16" s="484"/>
      <c r="Y16" s="484"/>
      <c r="Z16" s="485"/>
    </row>
    <row r="17" spans="1:26" ht="15" customHeight="1" x14ac:dyDescent="0.3">
      <c r="A17" s="18"/>
      <c r="B17" s="21"/>
      <c r="C17" s="21"/>
      <c r="D17" s="21"/>
      <c r="E17" s="21"/>
      <c r="F17" s="21"/>
      <c r="G17" s="21"/>
      <c r="H17" s="21"/>
      <c r="I17" s="21"/>
      <c r="J17" s="21"/>
      <c r="K17" s="21"/>
      <c r="L17" s="21"/>
      <c r="M17" s="21"/>
      <c r="N17" s="21"/>
      <c r="O17" s="20"/>
      <c r="Q17" s="484" t="s">
        <v>989</v>
      </c>
      <c r="R17" s="484"/>
      <c r="S17" s="484" t="s">
        <v>2567</v>
      </c>
      <c r="T17" s="484"/>
      <c r="U17" s="484"/>
      <c r="V17" s="484"/>
      <c r="W17" s="484"/>
      <c r="X17" s="484"/>
      <c r="Y17" s="484"/>
      <c r="Z17" s="485" t="s">
        <v>326</v>
      </c>
    </row>
    <row r="18" spans="1:26" x14ac:dyDescent="0.3">
      <c r="A18" s="18"/>
      <c r="B18" s="21"/>
      <c r="C18" s="21"/>
      <c r="D18" s="21"/>
      <c r="E18" s="21"/>
      <c r="F18" s="21"/>
      <c r="G18" s="21"/>
      <c r="H18" s="21"/>
      <c r="I18" s="21"/>
      <c r="J18" s="21"/>
      <c r="K18" s="21"/>
      <c r="L18" s="21"/>
      <c r="M18" s="21"/>
      <c r="N18" s="21"/>
      <c r="O18" s="20"/>
      <c r="Q18" s="484"/>
      <c r="R18" s="484"/>
      <c r="S18" s="484"/>
      <c r="T18" s="484"/>
      <c r="U18" s="484"/>
      <c r="V18" s="484"/>
      <c r="W18" s="484"/>
      <c r="X18" s="484"/>
      <c r="Y18" s="484"/>
      <c r="Z18" s="485"/>
    </row>
    <row r="19" spans="1:26" x14ac:dyDescent="0.3">
      <c r="A19" s="18"/>
      <c r="B19" s="21"/>
      <c r="C19" s="21"/>
      <c r="D19" s="21"/>
      <c r="E19" s="21"/>
      <c r="F19" s="21"/>
      <c r="G19" s="21"/>
      <c r="H19" s="21"/>
      <c r="I19" s="21"/>
      <c r="J19" s="21"/>
      <c r="K19" s="21"/>
      <c r="L19" s="21"/>
      <c r="M19" s="21"/>
      <c r="N19" s="21"/>
      <c r="O19" s="20"/>
      <c r="Q19" s="484"/>
      <c r="R19" s="484"/>
      <c r="S19" s="484"/>
      <c r="T19" s="484"/>
      <c r="U19" s="484"/>
      <c r="V19" s="484"/>
      <c r="W19" s="484"/>
      <c r="X19" s="484"/>
      <c r="Y19" s="484"/>
      <c r="Z19" s="485"/>
    </row>
    <row r="20" spans="1:26" ht="15" customHeight="1" x14ac:dyDescent="0.3">
      <c r="A20" s="18"/>
      <c r="B20" s="3" t="s">
        <v>2568</v>
      </c>
      <c r="C20" s="21"/>
      <c r="D20" s="21"/>
      <c r="E20" s="179" t="s">
        <v>3560</v>
      </c>
      <c r="F20" s="21"/>
      <c r="G20" s="21"/>
      <c r="H20" s="21"/>
      <c r="I20" s="21"/>
      <c r="J20" s="21"/>
      <c r="K20" s="21"/>
      <c r="L20" s="21"/>
      <c r="M20" s="21"/>
      <c r="N20" s="21"/>
      <c r="O20" s="20"/>
      <c r="Q20" s="484" t="s">
        <v>989</v>
      </c>
      <c r="R20" s="484"/>
      <c r="S20" s="484" t="s">
        <v>2567</v>
      </c>
      <c r="T20" s="484"/>
      <c r="U20" s="484"/>
      <c r="V20" s="484"/>
      <c r="W20" s="484"/>
      <c r="X20" s="484"/>
      <c r="Y20" s="484"/>
      <c r="Z20" s="485" t="s">
        <v>326</v>
      </c>
    </row>
    <row r="21" spans="1:26" x14ac:dyDescent="0.3">
      <c r="A21" s="18"/>
      <c r="B21" s="21"/>
      <c r="C21" s="21"/>
      <c r="D21" s="21"/>
      <c r="E21" s="189" cm="1">
        <f t="array" ref="E21">_xll.U.SELECTION_PATH(B20,B22:B23,B25,"enter_only")</f>
        <v>46145.893226018517</v>
      </c>
      <c r="F21" s="21"/>
      <c r="G21" s="21"/>
      <c r="H21" s="21"/>
      <c r="I21" s="21"/>
      <c r="J21" s="21"/>
      <c r="K21" s="21"/>
      <c r="L21" s="21"/>
      <c r="M21" s="21"/>
      <c r="N21" s="21"/>
      <c r="O21" s="20"/>
      <c r="Q21" s="484"/>
      <c r="R21" s="484"/>
      <c r="S21" s="484"/>
      <c r="T21" s="484"/>
      <c r="U21" s="484"/>
      <c r="V21" s="484"/>
      <c r="W21" s="484"/>
      <c r="X21" s="484"/>
      <c r="Y21" s="484"/>
      <c r="Z21" s="485"/>
    </row>
    <row r="22" spans="1:26" x14ac:dyDescent="0.3">
      <c r="A22" s="18"/>
      <c r="B22" s="3" t="s">
        <v>2569</v>
      </c>
      <c r="C22" s="21"/>
      <c r="D22" s="21"/>
      <c r="E22" s="189" cm="1">
        <f t="array" ref="E22">_xll.U.SELECTION_PATH(B22:B23,B25,B27,"tab_only")</f>
        <v>46145.89322633102</v>
      </c>
      <c r="F22" s="21"/>
      <c r="G22" s="21"/>
      <c r="H22" s="21"/>
      <c r="I22" s="21"/>
      <c r="J22" s="21"/>
      <c r="K22" s="21"/>
      <c r="L22" s="21"/>
      <c r="M22" s="21"/>
      <c r="N22" s="21"/>
      <c r="O22" s="20"/>
      <c r="Q22" s="484"/>
      <c r="R22" s="484"/>
      <c r="S22" s="484"/>
      <c r="T22" s="484"/>
      <c r="U22" s="484"/>
      <c r="V22" s="484"/>
      <c r="W22" s="484"/>
      <c r="X22" s="484"/>
      <c r="Y22" s="484"/>
      <c r="Z22" s="485"/>
    </row>
    <row r="23" spans="1:26" ht="15" customHeight="1" x14ac:dyDescent="0.3">
      <c r="A23" s="18"/>
      <c r="B23" s="47"/>
      <c r="C23" s="21"/>
      <c r="D23" s="21"/>
      <c r="E23" s="21"/>
      <c r="F23" s="21"/>
      <c r="G23" s="21"/>
      <c r="H23" s="21"/>
      <c r="I23" s="21"/>
      <c r="J23" s="21"/>
      <c r="K23" s="21"/>
      <c r="L23" s="21"/>
      <c r="M23" s="21"/>
      <c r="N23" s="21"/>
      <c r="O23" s="20"/>
      <c r="Q23" s="484" t="s">
        <v>989</v>
      </c>
      <c r="R23" s="484"/>
      <c r="S23" s="484" t="s">
        <v>2567</v>
      </c>
      <c r="T23" s="484"/>
      <c r="U23" s="484"/>
      <c r="V23" s="484"/>
      <c r="W23" s="484"/>
      <c r="X23" s="484"/>
      <c r="Y23" s="484"/>
      <c r="Z23" s="485" t="s">
        <v>326</v>
      </c>
    </row>
    <row r="24" spans="1:26" x14ac:dyDescent="0.3">
      <c r="A24" s="18"/>
      <c r="B24" s="21"/>
      <c r="C24" s="21"/>
      <c r="D24" s="21"/>
      <c r="E24" s="21"/>
      <c r="F24" s="21"/>
      <c r="G24" s="21"/>
      <c r="H24" s="21"/>
      <c r="I24" s="21"/>
      <c r="J24" s="21"/>
      <c r="K24" s="21"/>
      <c r="L24" s="21"/>
      <c r="M24" s="21"/>
      <c r="N24" s="21"/>
      <c r="O24" s="20"/>
      <c r="Q24" s="484"/>
      <c r="R24" s="484"/>
      <c r="S24" s="484"/>
      <c r="T24" s="484"/>
      <c r="U24" s="484"/>
      <c r="V24" s="484"/>
      <c r="W24" s="484"/>
      <c r="X24" s="484"/>
      <c r="Y24" s="484"/>
      <c r="Z24" s="485"/>
    </row>
    <row r="25" spans="1:26" x14ac:dyDescent="0.3">
      <c r="A25" s="18"/>
      <c r="B25" s="3" t="s">
        <v>2570</v>
      </c>
      <c r="C25" s="21"/>
      <c r="D25" s="21"/>
      <c r="E25" s="21"/>
      <c r="F25" s="21"/>
      <c r="G25" s="21"/>
      <c r="H25" s="21"/>
      <c r="I25" s="21"/>
      <c r="J25" s="21"/>
      <c r="K25" s="21"/>
      <c r="L25" s="21"/>
      <c r="M25" s="21"/>
      <c r="N25" s="21"/>
      <c r="O25" s="20"/>
      <c r="Q25" s="484"/>
      <c r="R25" s="484"/>
      <c r="S25" s="484"/>
      <c r="T25" s="484"/>
      <c r="U25" s="484"/>
      <c r="V25" s="484"/>
      <c r="W25" s="484"/>
      <c r="X25" s="484"/>
      <c r="Y25" s="484"/>
      <c r="Z25" s="485"/>
    </row>
    <row r="26" spans="1:26" ht="15" customHeight="1" x14ac:dyDescent="0.3">
      <c r="A26" s="18"/>
      <c r="B26" s="21"/>
      <c r="C26" s="21"/>
      <c r="D26" s="21"/>
      <c r="E26" s="21"/>
      <c r="F26" s="21"/>
      <c r="G26" s="21"/>
      <c r="H26" s="21"/>
      <c r="I26" s="21"/>
      <c r="J26" s="21"/>
      <c r="K26" s="21"/>
      <c r="L26" s="21"/>
      <c r="M26" s="21"/>
      <c r="N26" s="21"/>
      <c r="O26" s="20"/>
      <c r="Q26" s="484" t="s">
        <v>989</v>
      </c>
      <c r="R26" s="484"/>
      <c r="S26" s="484" t="s">
        <v>2567</v>
      </c>
      <c r="T26" s="484"/>
      <c r="U26" s="484"/>
      <c r="V26" s="484"/>
      <c r="W26" s="484"/>
      <c r="X26" s="484"/>
      <c r="Y26" s="484"/>
      <c r="Z26" s="485" t="s">
        <v>326</v>
      </c>
    </row>
    <row r="27" spans="1:26" x14ac:dyDescent="0.3">
      <c r="A27" s="18"/>
      <c r="B27" s="3" t="s">
        <v>2571</v>
      </c>
      <c r="C27" s="21"/>
      <c r="D27" s="21"/>
      <c r="E27" s="21"/>
      <c r="F27" s="21"/>
      <c r="G27" s="21"/>
      <c r="H27" s="21"/>
      <c r="I27" s="21"/>
      <c r="J27" s="21"/>
      <c r="K27" s="21"/>
      <c r="L27" s="21"/>
      <c r="M27" s="21"/>
      <c r="N27" s="21"/>
      <c r="O27" s="20"/>
      <c r="Q27" s="484"/>
      <c r="R27" s="484"/>
      <c r="S27" s="484"/>
      <c r="T27" s="484"/>
      <c r="U27" s="484"/>
      <c r="V27" s="484"/>
      <c r="W27" s="484"/>
      <c r="X27" s="484"/>
      <c r="Y27" s="484"/>
      <c r="Z27" s="485"/>
    </row>
    <row r="28" spans="1:26" x14ac:dyDescent="0.3">
      <c r="A28" s="18"/>
      <c r="B28" s="21"/>
      <c r="C28" s="21"/>
      <c r="D28" s="21"/>
      <c r="E28" s="21"/>
      <c r="F28" s="21"/>
      <c r="G28" s="21"/>
      <c r="H28" s="21"/>
      <c r="I28" s="21"/>
      <c r="J28" s="21"/>
      <c r="K28" s="21"/>
      <c r="L28" s="21"/>
      <c r="M28" s="21"/>
      <c r="N28" s="21"/>
      <c r="O28" s="20"/>
      <c r="Q28" s="484"/>
      <c r="R28" s="484"/>
      <c r="S28" s="484"/>
      <c r="T28" s="484"/>
      <c r="U28" s="484"/>
      <c r="V28" s="484"/>
      <c r="W28" s="484"/>
      <c r="X28" s="484"/>
      <c r="Y28" s="484"/>
      <c r="Z28" s="485"/>
    </row>
    <row r="29" spans="1:26" ht="15" customHeight="1" x14ac:dyDescent="0.3">
      <c r="A29" s="18"/>
      <c r="B29" s="21"/>
      <c r="C29" s="21"/>
      <c r="D29" s="21"/>
      <c r="E29" s="21"/>
      <c r="F29" s="21"/>
      <c r="G29" s="21"/>
      <c r="H29" s="21"/>
      <c r="I29" s="21"/>
      <c r="J29" s="21"/>
      <c r="K29" s="21"/>
      <c r="L29" s="21"/>
      <c r="M29" s="21"/>
      <c r="N29" s="21"/>
      <c r="O29" s="20"/>
      <c r="Q29" s="484" t="s">
        <v>989</v>
      </c>
      <c r="R29" s="484"/>
      <c r="S29" s="484" t="s">
        <v>2567</v>
      </c>
      <c r="T29" s="484"/>
      <c r="U29" s="484"/>
      <c r="V29" s="484"/>
      <c r="W29" s="484"/>
      <c r="X29" s="484"/>
      <c r="Y29" s="484"/>
      <c r="Z29" s="485" t="s">
        <v>326</v>
      </c>
    </row>
    <row r="30" spans="1:26" x14ac:dyDescent="0.3">
      <c r="A30" s="18"/>
      <c r="B30" s="21"/>
      <c r="C30" s="21"/>
      <c r="D30" s="21"/>
      <c r="E30" s="21"/>
      <c r="F30" s="21"/>
      <c r="G30" s="21"/>
      <c r="H30" s="21"/>
      <c r="I30" s="21"/>
      <c r="J30" s="21"/>
      <c r="K30" s="21"/>
      <c r="L30" s="21"/>
      <c r="M30" s="21"/>
      <c r="N30" s="21"/>
      <c r="O30" s="20"/>
      <c r="Q30" s="484"/>
      <c r="R30" s="484"/>
      <c r="S30" s="484"/>
      <c r="T30" s="484"/>
      <c r="U30" s="484"/>
      <c r="V30" s="484"/>
      <c r="W30" s="484"/>
      <c r="X30" s="484"/>
      <c r="Y30" s="484"/>
      <c r="Z30" s="485"/>
    </row>
    <row r="31" spans="1:26" x14ac:dyDescent="0.3">
      <c r="A31" s="18"/>
      <c r="B31" s="21"/>
      <c r="C31" s="21"/>
      <c r="D31" s="21"/>
      <c r="E31" s="21"/>
      <c r="F31" s="21"/>
      <c r="G31" s="21"/>
      <c r="H31" s="21"/>
      <c r="I31" s="21"/>
      <c r="J31" s="21"/>
      <c r="K31" s="21"/>
      <c r="L31" s="21"/>
      <c r="M31" s="21"/>
      <c r="N31" s="21"/>
      <c r="O31" s="20"/>
      <c r="Q31" s="484"/>
      <c r="R31" s="484"/>
      <c r="S31" s="484"/>
      <c r="T31" s="484"/>
      <c r="U31" s="484"/>
      <c r="V31" s="484"/>
      <c r="W31" s="484"/>
      <c r="X31" s="484"/>
      <c r="Y31" s="484"/>
      <c r="Z31" s="485"/>
    </row>
    <row r="32" spans="1:26" ht="15" customHeight="1" x14ac:dyDescent="0.3">
      <c r="A32" s="18"/>
      <c r="C32" s="21"/>
      <c r="D32" s="21"/>
      <c r="E32" s="21"/>
      <c r="F32" s="21"/>
      <c r="G32" s="21"/>
      <c r="H32" s="21"/>
      <c r="I32" s="21"/>
      <c r="J32" s="21"/>
      <c r="K32" s="21"/>
      <c r="L32" s="21"/>
      <c r="M32" s="21"/>
      <c r="N32" s="21"/>
      <c r="O32" s="20"/>
      <c r="Q32" s="484" t="s">
        <v>989</v>
      </c>
      <c r="R32" s="484"/>
      <c r="S32" s="484" t="s">
        <v>2567</v>
      </c>
      <c r="T32" s="484"/>
      <c r="U32" s="484"/>
      <c r="V32" s="484"/>
      <c r="W32" s="484"/>
      <c r="X32" s="484"/>
      <c r="Y32" s="484"/>
      <c r="Z32" s="485" t="s">
        <v>326</v>
      </c>
    </row>
    <row r="33" spans="1:26" x14ac:dyDescent="0.3">
      <c r="A33" s="18"/>
      <c r="B33" s="21"/>
      <c r="C33" s="21"/>
      <c r="D33" s="21"/>
      <c r="E33" s="21"/>
      <c r="F33" s="21"/>
      <c r="G33" s="21"/>
      <c r="H33" s="21"/>
      <c r="I33" s="21"/>
      <c r="J33" s="21"/>
      <c r="K33" s="21"/>
      <c r="L33" s="21"/>
      <c r="M33" s="21"/>
      <c r="N33" s="21"/>
      <c r="O33" s="20"/>
      <c r="Q33" s="484"/>
      <c r="R33" s="484"/>
      <c r="S33" s="484"/>
      <c r="T33" s="484"/>
      <c r="U33" s="484"/>
      <c r="V33" s="484"/>
      <c r="W33" s="484"/>
      <c r="X33" s="484"/>
      <c r="Y33" s="484"/>
      <c r="Z33" s="485"/>
    </row>
    <row r="34" spans="1:26" x14ac:dyDescent="0.3">
      <c r="A34" s="18"/>
      <c r="B34" s="21"/>
      <c r="C34" s="21"/>
      <c r="D34" s="21"/>
      <c r="E34" s="21"/>
      <c r="F34" s="21"/>
      <c r="G34" s="21"/>
      <c r="H34" s="21"/>
      <c r="I34" s="21"/>
      <c r="J34" s="21"/>
      <c r="K34" s="21"/>
      <c r="L34" s="21"/>
      <c r="M34" s="21"/>
      <c r="N34" s="21"/>
      <c r="O34" s="20"/>
      <c r="Q34" s="484"/>
      <c r="R34" s="484"/>
      <c r="S34" s="484"/>
      <c r="T34" s="484"/>
      <c r="U34" s="484"/>
      <c r="V34" s="484"/>
      <c r="W34" s="484"/>
      <c r="X34" s="484"/>
      <c r="Y34" s="484"/>
      <c r="Z34" s="485"/>
    </row>
    <row r="35" spans="1:26" ht="15" customHeight="1" x14ac:dyDescent="0.3">
      <c r="A35" s="18"/>
      <c r="B35" s="21"/>
      <c r="C35" s="21"/>
      <c r="D35" s="21"/>
      <c r="E35" s="21"/>
      <c r="F35" s="21"/>
      <c r="G35" s="21"/>
      <c r="H35" s="21"/>
      <c r="I35" s="21"/>
      <c r="J35" s="21"/>
      <c r="K35" s="21"/>
      <c r="L35" s="21"/>
      <c r="M35" s="21"/>
      <c r="N35" s="21"/>
      <c r="O35" s="20"/>
      <c r="Q35" s="484" t="s">
        <v>989</v>
      </c>
      <c r="R35" s="484"/>
      <c r="S35" s="484" t="s">
        <v>2567</v>
      </c>
      <c r="T35" s="484"/>
      <c r="U35" s="484"/>
      <c r="V35" s="484"/>
      <c r="W35" s="484"/>
      <c r="X35" s="484"/>
      <c r="Y35" s="484"/>
      <c r="Z35" s="485" t="s">
        <v>326</v>
      </c>
    </row>
    <row r="36" spans="1:26" x14ac:dyDescent="0.3">
      <c r="A36" s="18"/>
      <c r="B36" s="21"/>
      <c r="C36" s="21"/>
      <c r="D36" s="21"/>
      <c r="E36" s="21"/>
      <c r="F36" s="21"/>
      <c r="G36" s="21"/>
      <c r="H36" s="21"/>
      <c r="I36" s="21"/>
      <c r="J36" s="21"/>
      <c r="K36" s="21"/>
      <c r="L36" s="21"/>
      <c r="M36" s="21"/>
      <c r="N36" s="21"/>
      <c r="O36" s="20"/>
      <c r="Q36" s="484"/>
      <c r="R36" s="484"/>
      <c r="S36" s="484"/>
      <c r="T36" s="484"/>
      <c r="U36" s="484"/>
      <c r="V36" s="484"/>
      <c r="W36" s="484"/>
      <c r="X36" s="484"/>
      <c r="Y36" s="484"/>
      <c r="Z36" s="485"/>
    </row>
    <row r="37" spans="1:26" x14ac:dyDescent="0.3">
      <c r="A37" s="18"/>
      <c r="B37" s="21"/>
      <c r="C37" s="21"/>
      <c r="D37" s="21"/>
      <c r="E37" s="21"/>
      <c r="F37" s="21"/>
      <c r="G37" s="21"/>
      <c r="H37" s="21"/>
      <c r="I37" s="21"/>
      <c r="J37" s="21"/>
      <c r="K37" s="21"/>
      <c r="L37" s="21"/>
      <c r="M37" s="21"/>
      <c r="N37" s="21"/>
      <c r="O37" s="20"/>
      <c r="Q37" s="484"/>
      <c r="R37" s="484"/>
      <c r="S37" s="484"/>
      <c r="T37" s="484"/>
      <c r="U37" s="484"/>
      <c r="V37" s="484"/>
      <c r="W37" s="484"/>
      <c r="X37" s="484"/>
      <c r="Y37" s="484"/>
      <c r="Z37" s="485"/>
    </row>
    <row r="38" spans="1:26" ht="15" customHeight="1" x14ac:dyDescent="0.3">
      <c r="A38" s="18"/>
      <c r="B38" s="21"/>
      <c r="C38" s="21"/>
      <c r="D38" s="21"/>
      <c r="E38" s="21"/>
      <c r="F38" s="21"/>
      <c r="G38" s="21"/>
      <c r="H38" s="21"/>
      <c r="I38" s="21"/>
      <c r="J38" s="21"/>
      <c r="K38" s="21"/>
      <c r="L38" s="21"/>
      <c r="M38" s="21"/>
      <c r="N38" s="21"/>
      <c r="O38" s="20"/>
      <c r="Q38" s="484" t="s">
        <v>989</v>
      </c>
      <c r="R38" s="484"/>
      <c r="S38" s="484" t="s">
        <v>2567</v>
      </c>
      <c r="T38" s="484"/>
      <c r="U38" s="484"/>
      <c r="V38" s="484"/>
      <c r="W38" s="484"/>
      <c r="X38" s="484"/>
      <c r="Y38" s="484"/>
      <c r="Z38" s="485" t="s">
        <v>326</v>
      </c>
    </row>
    <row r="39" spans="1:26" x14ac:dyDescent="0.3">
      <c r="A39" s="18"/>
      <c r="B39" s="21"/>
      <c r="C39" s="21"/>
      <c r="D39" s="21"/>
      <c r="E39" s="21"/>
      <c r="F39" s="21"/>
      <c r="G39" s="21"/>
      <c r="H39" s="21"/>
      <c r="I39" s="21"/>
      <c r="J39" s="21"/>
      <c r="K39" s="21"/>
      <c r="L39" s="21"/>
      <c r="M39" s="21"/>
      <c r="N39" s="21"/>
      <c r="O39" s="20"/>
      <c r="Q39" s="484"/>
      <c r="R39" s="484"/>
      <c r="S39" s="484"/>
      <c r="T39" s="484"/>
      <c r="U39" s="484"/>
      <c r="V39" s="484"/>
      <c r="W39" s="484"/>
      <c r="X39" s="484"/>
      <c r="Y39" s="484"/>
      <c r="Z39" s="485"/>
    </row>
    <row r="40" spans="1:26" x14ac:dyDescent="0.3">
      <c r="A40" s="18"/>
      <c r="B40" s="21"/>
      <c r="C40" s="21"/>
      <c r="D40" s="21"/>
      <c r="E40" s="21"/>
      <c r="F40" s="21"/>
      <c r="G40" s="21"/>
      <c r="H40" s="21"/>
      <c r="I40" s="21"/>
      <c r="J40" s="21"/>
      <c r="K40" s="21"/>
      <c r="L40" s="21"/>
      <c r="M40" s="21"/>
      <c r="N40" s="21"/>
      <c r="O40" s="20"/>
      <c r="Q40" s="484"/>
      <c r="R40" s="484"/>
      <c r="S40" s="484"/>
      <c r="T40" s="484"/>
      <c r="U40" s="484"/>
      <c r="V40" s="484"/>
      <c r="W40" s="484"/>
      <c r="X40" s="484"/>
      <c r="Y40" s="484"/>
      <c r="Z40" s="485"/>
    </row>
    <row r="41" spans="1:26" ht="15" customHeight="1" thickBot="1" x14ac:dyDescent="0.35">
      <c r="A41" s="22"/>
      <c r="B41" s="23"/>
      <c r="C41" s="23"/>
      <c r="D41" s="23"/>
      <c r="E41" s="23"/>
      <c r="F41" s="23"/>
      <c r="G41" s="23"/>
      <c r="H41" s="23"/>
      <c r="I41" s="23"/>
      <c r="J41" s="23"/>
      <c r="K41" s="23"/>
      <c r="L41" s="23"/>
      <c r="M41" s="23"/>
      <c r="N41" s="23"/>
      <c r="O41" s="24"/>
      <c r="Q41" s="484" t="s">
        <v>989</v>
      </c>
      <c r="R41" s="484"/>
      <c r="S41" s="484" t="s">
        <v>2567</v>
      </c>
      <c r="T41" s="484"/>
      <c r="U41" s="484"/>
      <c r="V41" s="484"/>
      <c r="W41" s="484"/>
      <c r="X41" s="484"/>
      <c r="Y41" s="484"/>
      <c r="Z41" s="485" t="s">
        <v>326</v>
      </c>
    </row>
    <row r="42" spans="1:26" x14ac:dyDescent="0.3">
      <c r="Q42" s="484"/>
      <c r="R42" s="484"/>
      <c r="S42" s="484"/>
      <c r="T42" s="484"/>
      <c r="U42" s="484"/>
      <c r="V42" s="484"/>
      <c r="W42" s="484"/>
      <c r="X42" s="484"/>
      <c r="Y42" s="484"/>
      <c r="Z42" s="485"/>
    </row>
    <row r="43" spans="1:26" x14ac:dyDescent="0.3">
      <c r="Q43" s="484"/>
      <c r="R43" s="484"/>
      <c r="S43" s="484"/>
      <c r="T43" s="484"/>
      <c r="U43" s="484"/>
      <c r="V43" s="484"/>
      <c r="W43" s="484"/>
      <c r="X43" s="484"/>
      <c r="Y43" s="484"/>
      <c r="Z43" s="485"/>
    </row>
    <row r="44" spans="1:26" ht="15" customHeight="1" x14ac:dyDescent="0.3">
      <c r="Q44" s="484" t="s">
        <v>989</v>
      </c>
      <c r="R44" s="484"/>
      <c r="S44" s="484" t="s">
        <v>2567</v>
      </c>
      <c r="T44" s="484"/>
      <c r="U44" s="484"/>
      <c r="V44" s="484"/>
      <c r="W44" s="484"/>
      <c r="X44" s="484"/>
      <c r="Y44" s="484"/>
      <c r="Z44" s="485" t="s">
        <v>326</v>
      </c>
    </row>
    <row r="45" spans="1:26" x14ac:dyDescent="0.3">
      <c r="Q45" s="484"/>
      <c r="R45" s="484"/>
      <c r="S45" s="484"/>
      <c r="T45" s="484"/>
      <c r="U45" s="484"/>
      <c r="V45" s="484"/>
      <c r="W45" s="484"/>
      <c r="X45" s="484"/>
      <c r="Y45" s="484"/>
      <c r="Z45" s="485"/>
    </row>
    <row r="46" spans="1:26" x14ac:dyDescent="0.3">
      <c r="Q46" s="484"/>
      <c r="R46" s="484"/>
      <c r="S46" s="484"/>
      <c r="T46" s="484"/>
      <c r="U46" s="484"/>
      <c r="V46" s="484"/>
      <c r="W46" s="484"/>
      <c r="X46" s="484"/>
      <c r="Y46" s="484"/>
      <c r="Z46" s="485"/>
    </row>
    <row r="47" spans="1:26" ht="15" customHeight="1" x14ac:dyDescent="0.3">
      <c r="Q47" s="484" t="s">
        <v>989</v>
      </c>
      <c r="R47" s="484"/>
      <c r="S47" s="484" t="s">
        <v>2567</v>
      </c>
      <c r="T47" s="484"/>
      <c r="U47" s="484"/>
      <c r="V47" s="484"/>
      <c r="W47" s="484"/>
      <c r="X47" s="484"/>
      <c r="Y47" s="484"/>
      <c r="Z47" s="485" t="s">
        <v>326</v>
      </c>
    </row>
    <row r="48" spans="1:26" x14ac:dyDescent="0.3">
      <c r="Q48" s="484"/>
      <c r="R48" s="484"/>
      <c r="S48" s="484"/>
      <c r="T48" s="484"/>
      <c r="U48" s="484"/>
      <c r="V48" s="484"/>
      <c r="W48" s="484"/>
      <c r="X48" s="484"/>
      <c r="Y48" s="484"/>
      <c r="Z48" s="485"/>
    </row>
    <row r="49" spans="17:26" x14ac:dyDescent="0.3">
      <c r="Q49" s="484"/>
      <c r="R49" s="484"/>
      <c r="S49" s="484"/>
      <c r="T49" s="484"/>
      <c r="U49" s="484"/>
      <c r="V49" s="484"/>
      <c r="W49" s="484"/>
      <c r="X49" s="484"/>
      <c r="Y49" s="484"/>
      <c r="Z49" s="485"/>
    </row>
    <row r="50" spans="17:26" ht="15" customHeight="1" x14ac:dyDescent="0.3">
      <c r="Q50" s="484" t="s">
        <v>989</v>
      </c>
      <c r="R50" s="484"/>
      <c r="S50" s="484" t="s">
        <v>2567</v>
      </c>
      <c r="T50" s="484"/>
      <c r="U50" s="484"/>
      <c r="V50" s="484"/>
      <c r="W50" s="484"/>
      <c r="X50" s="484"/>
      <c r="Y50" s="484"/>
      <c r="Z50" s="485" t="s">
        <v>326</v>
      </c>
    </row>
    <row r="51" spans="17:26" x14ac:dyDescent="0.3">
      <c r="Q51" s="484"/>
      <c r="R51" s="484"/>
      <c r="S51" s="484"/>
      <c r="T51" s="484"/>
      <c r="U51" s="484"/>
      <c r="V51" s="484"/>
      <c r="W51" s="484"/>
      <c r="X51" s="484"/>
      <c r="Y51" s="484"/>
      <c r="Z51" s="485"/>
    </row>
    <row r="52" spans="17:26" x14ac:dyDescent="0.3">
      <c r="Q52" s="484"/>
      <c r="R52" s="484"/>
      <c r="S52" s="484"/>
      <c r="T52" s="484"/>
      <c r="U52" s="484"/>
      <c r="V52" s="484"/>
      <c r="W52" s="484"/>
      <c r="X52" s="484"/>
      <c r="Y52" s="484"/>
      <c r="Z52" s="485"/>
    </row>
    <row r="53" spans="17:26" ht="15" customHeight="1" x14ac:dyDescent="0.3">
      <c r="Q53" s="484" t="s">
        <v>989</v>
      </c>
      <c r="R53" s="484"/>
      <c r="S53" s="484" t="s">
        <v>2567</v>
      </c>
      <c r="T53" s="484"/>
      <c r="U53" s="484"/>
      <c r="V53" s="484"/>
      <c r="W53" s="484"/>
      <c r="X53" s="484"/>
      <c r="Y53" s="484"/>
      <c r="Z53" s="485" t="s">
        <v>326</v>
      </c>
    </row>
    <row r="54" spans="17:26" x14ac:dyDescent="0.3">
      <c r="Q54" s="484"/>
      <c r="R54" s="484"/>
      <c r="S54" s="484"/>
      <c r="T54" s="484"/>
      <c r="U54" s="484"/>
      <c r="V54" s="484"/>
      <c r="W54" s="484"/>
      <c r="X54" s="484"/>
      <c r="Y54" s="484"/>
      <c r="Z54" s="485"/>
    </row>
    <row r="55" spans="17:26" x14ac:dyDescent="0.3">
      <c r="Q55" s="484"/>
      <c r="R55" s="484"/>
      <c r="S55" s="484"/>
      <c r="T55" s="484"/>
      <c r="U55" s="484"/>
      <c r="V55" s="484"/>
      <c r="W55" s="484"/>
      <c r="X55" s="484"/>
      <c r="Y55" s="484"/>
      <c r="Z55" s="485"/>
    </row>
    <row r="56" spans="17:26" ht="15" customHeight="1" x14ac:dyDescent="0.3">
      <c r="Q56" s="484" t="s">
        <v>989</v>
      </c>
      <c r="R56" s="484"/>
      <c r="S56" s="484" t="s">
        <v>2567</v>
      </c>
      <c r="T56" s="484"/>
      <c r="U56" s="484"/>
      <c r="V56" s="484"/>
      <c r="W56" s="484"/>
      <c r="X56" s="484"/>
      <c r="Y56" s="484"/>
      <c r="Z56" s="485" t="s">
        <v>326</v>
      </c>
    </row>
    <row r="57" spans="17:26" x14ac:dyDescent="0.3">
      <c r="Q57" s="484"/>
      <c r="R57" s="484"/>
      <c r="S57" s="484"/>
      <c r="T57" s="484"/>
      <c r="U57" s="484"/>
      <c r="V57" s="484"/>
      <c r="W57" s="484"/>
      <c r="X57" s="484"/>
      <c r="Y57" s="484"/>
      <c r="Z57" s="485"/>
    </row>
    <row r="58" spans="17:26" x14ac:dyDescent="0.3">
      <c r="Q58" s="484"/>
      <c r="R58" s="484"/>
      <c r="S58" s="484"/>
      <c r="T58" s="484"/>
      <c r="U58" s="484"/>
      <c r="V58" s="484"/>
      <c r="W58" s="484"/>
      <c r="X58" s="484"/>
      <c r="Y58" s="484"/>
      <c r="Z58" s="485"/>
    </row>
    <row r="59" spans="17:26" ht="15" customHeight="1" x14ac:dyDescent="0.3">
      <c r="Q59" s="484" t="s">
        <v>989</v>
      </c>
      <c r="R59" s="484"/>
      <c r="S59" s="484" t="s">
        <v>2567</v>
      </c>
      <c r="T59" s="484"/>
      <c r="U59" s="484"/>
      <c r="V59" s="484"/>
      <c r="W59" s="484"/>
      <c r="X59" s="484"/>
      <c r="Y59" s="484"/>
      <c r="Z59" s="485" t="s">
        <v>326</v>
      </c>
    </row>
    <row r="60" spans="17:26" x14ac:dyDescent="0.3">
      <c r="Q60" s="484"/>
      <c r="R60" s="484"/>
      <c r="S60" s="484"/>
      <c r="T60" s="484"/>
      <c r="U60" s="484"/>
      <c r="V60" s="484"/>
      <c r="W60" s="484"/>
      <c r="X60" s="484"/>
      <c r="Y60" s="484"/>
      <c r="Z60" s="485"/>
    </row>
    <row r="61" spans="17:26" x14ac:dyDescent="0.3">
      <c r="Q61" s="484"/>
      <c r="R61" s="484"/>
      <c r="S61" s="484"/>
      <c r="T61" s="484"/>
      <c r="U61" s="484"/>
      <c r="V61" s="484"/>
      <c r="W61" s="484"/>
      <c r="X61" s="484"/>
      <c r="Y61" s="484"/>
      <c r="Z61" s="485"/>
    </row>
    <row r="62" spans="17:26" ht="15" customHeight="1" x14ac:dyDescent="0.3">
      <c r="Q62" s="484" t="s">
        <v>989</v>
      </c>
      <c r="R62" s="484"/>
      <c r="S62" s="484" t="s">
        <v>2567</v>
      </c>
      <c r="T62" s="484"/>
      <c r="U62" s="484"/>
      <c r="V62" s="484"/>
      <c r="W62" s="484"/>
      <c r="X62" s="484"/>
      <c r="Y62" s="484"/>
      <c r="Z62" s="485" t="s">
        <v>326</v>
      </c>
    </row>
    <row r="63" spans="17:26" x14ac:dyDescent="0.3">
      <c r="Q63" s="484"/>
      <c r="R63" s="484"/>
      <c r="S63" s="484"/>
      <c r="T63" s="484"/>
      <c r="U63" s="484"/>
      <c r="V63" s="484"/>
      <c r="W63" s="484"/>
      <c r="X63" s="484"/>
      <c r="Y63" s="484"/>
      <c r="Z63" s="485"/>
    </row>
    <row r="64" spans="17:26" x14ac:dyDescent="0.3">
      <c r="Q64" s="484"/>
      <c r="R64" s="484"/>
      <c r="S64" s="484"/>
      <c r="T64" s="484"/>
      <c r="U64" s="484"/>
      <c r="V64" s="484"/>
      <c r="W64" s="484"/>
      <c r="X64" s="484"/>
      <c r="Y64" s="484"/>
      <c r="Z64" s="485"/>
    </row>
    <row r="65" spans="17:26" ht="15" customHeight="1" x14ac:dyDescent="0.3">
      <c r="Q65" s="484" t="s">
        <v>989</v>
      </c>
      <c r="R65" s="484"/>
      <c r="S65" s="484" t="s">
        <v>2567</v>
      </c>
      <c r="T65" s="484"/>
      <c r="U65" s="484"/>
      <c r="V65" s="484"/>
      <c r="W65" s="484"/>
      <c r="X65" s="484"/>
      <c r="Y65" s="484"/>
      <c r="Z65" s="485" t="s">
        <v>326</v>
      </c>
    </row>
    <row r="66" spans="17:26" x14ac:dyDescent="0.3">
      <c r="Q66" s="484"/>
      <c r="R66" s="484"/>
      <c r="S66" s="484"/>
      <c r="T66" s="484"/>
      <c r="U66" s="484"/>
      <c r="V66" s="484"/>
      <c r="W66" s="484"/>
      <c r="X66" s="484"/>
      <c r="Y66" s="484"/>
      <c r="Z66" s="485"/>
    </row>
    <row r="67" spans="17:26" x14ac:dyDescent="0.3">
      <c r="Q67" s="484"/>
      <c r="R67" s="484"/>
      <c r="S67" s="484"/>
      <c r="T67" s="484"/>
      <c r="U67" s="484"/>
      <c r="V67" s="484"/>
      <c r="W67" s="484"/>
      <c r="X67" s="484"/>
      <c r="Y67" s="484"/>
      <c r="Z67" s="485"/>
    </row>
    <row r="68" spans="17:26" x14ac:dyDescent="0.3">
      <c r="Q68" s="126" t="s">
        <v>328</v>
      </c>
    </row>
  </sheetData>
  <mergeCells count="65">
    <mergeCell ref="Q3:Z3"/>
    <mergeCell ref="Q4:R6"/>
    <mergeCell ref="S4:Z6"/>
    <mergeCell ref="Q7:R7"/>
    <mergeCell ref="S7:Y7"/>
    <mergeCell ref="Q8:R10"/>
    <mergeCell ref="S8:Y10"/>
    <mergeCell ref="Z8:Z10"/>
    <mergeCell ref="Q11:R13"/>
    <mergeCell ref="S11:Y13"/>
    <mergeCell ref="Z11:Z13"/>
    <mergeCell ref="Q14:R16"/>
    <mergeCell ref="S14:Y16"/>
    <mergeCell ref="Z14:Z16"/>
    <mergeCell ref="Q17:R19"/>
    <mergeCell ref="S17:Y19"/>
    <mergeCell ref="Z17:Z19"/>
    <mergeCell ref="Q20:R22"/>
    <mergeCell ref="S20:Y22"/>
    <mergeCell ref="Z20:Z22"/>
    <mergeCell ref="Q23:R25"/>
    <mergeCell ref="S23:Y25"/>
    <mergeCell ref="Z23:Z25"/>
    <mergeCell ref="Q26:R28"/>
    <mergeCell ref="S26:Y28"/>
    <mergeCell ref="Z26:Z28"/>
    <mergeCell ref="Q29:R31"/>
    <mergeCell ref="S29:Y31"/>
    <mergeCell ref="Z29:Z31"/>
    <mergeCell ref="Q32:R34"/>
    <mergeCell ref="S32:Y34"/>
    <mergeCell ref="Z32:Z34"/>
    <mergeCell ref="Q35:R37"/>
    <mergeCell ref="S35:Y37"/>
    <mergeCell ref="Z35:Z37"/>
    <mergeCell ref="Q38:R40"/>
    <mergeCell ref="S38:Y40"/>
    <mergeCell ref="Z38:Z40"/>
    <mergeCell ref="Q41:R43"/>
    <mergeCell ref="S41:Y43"/>
    <mergeCell ref="Z41:Z43"/>
    <mergeCell ref="Q44:R46"/>
    <mergeCell ref="S44:Y46"/>
    <mergeCell ref="Z44:Z46"/>
    <mergeCell ref="Q47:R49"/>
    <mergeCell ref="S47:Y49"/>
    <mergeCell ref="Z47:Z49"/>
    <mergeCell ref="Q50:R52"/>
    <mergeCell ref="S50:Y52"/>
    <mergeCell ref="Z50:Z52"/>
    <mergeCell ref="Q53:R55"/>
    <mergeCell ref="S53:Y55"/>
    <mergeCell ref="Z53:Z55"/>
    <mergeCell ref="Q56:R58"/>
    <mergeCell ref="S56:Y58"/>
    <mergeCell ref="Z56:Z58"/>
    <mergeCell ref="Q59:R61"/>
    <mergeCell ref="S59:Y61"/>
    <mergeCell ref="Z59:Z61"/>
    <mergeCell ref="Q62:R64"/>
    <mergeCell ref="S62:Y64"/>
    <mergeCell ref="Z62:Z64"/>
    <mergeCell ref="Q65:R67"/>
    <mergeCell ref="S65:Y67"/>
    <mergeCell ref="Z65:Z67"/>
  </mergeCells>
  <pageMargins left="0.7" right="0.7" top="0.75" bottom="0.75" header="0.3" footer="0.3"/>
  <legacy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5"/>
  <dimension ref="A1:T23"/>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37" customWidth="1"/>
    <col min="4" max="4" width="9.21875" customWidth="1"/>
    <col min="5" max="6" width="10.21875" customWidth="1"/>
  </cols>
  <sheetData>
    <row r="1" spans="1:20" ht="34.5" customHeight="1" thickBot="1" x14ac:dyDescent="0.35">
      <c r="A1" s="292" t="s">
        <v>1580</v>
      </c>
      <c r="B1" s="473" t="e" vm="1">
        <v>#VALUE!</v>
      </c>
      <c r="C1" s="8" t="s">
        <v>141</v>
      </c>
      <c r="D1" s="27"/>
      <c r="E1" s="16"/>
      <c r="F1" s="16"/>
      <c r="G1" s="16"/>
      <c r="H1" s="16"/>
      <c r="I1" s="19"/>
    </row>
    <row r="2" spans="1:20" ht="15" customHeight="1" x14ac:dyDescent="0.3">
      <c r="A2" s="18"/>
      <c r="B2" s="25"/>
      <c r="C2" s="25"/>
      <c r="D2" s="21"/>
      <c r="E2" s="21"/>
      <c r="F2" s="21"/>
      <c r="G2" s="21"/>
      <c r="H2" s="21"/>
      <c r="I2" s="20"/>
    </row>
    <row r="3" spans="1:20" ht="15" customHeight="1" x14ac:dyDescent="0.3">
      <c r="A3" s="18"/>
      <c r="B3" s="21"/>
      <c r="C3" s="21"/>
      <c r="D3" s="26"/>
      <c r="E3" s="21"/>
      <c r="F3" s="21"/>
      <c r="G3" s="21"/>
      <c r="H3" s="21"/>
      <c r="I3" s="20"/>
      <c r="K3" s="486" t="s">
        <v>3561</v>
      </c>
      <c r="L3" s="486"/>
      <c r="M3" s="486"/>
      <c r="N3" s="486"/>
      <c r="O3" s="486"/>
      <c r="P3" s="486"/>
      <c r="Q3" s="486"/>
      <c r="R3" s="486"/>
      <c r="S3" s="486"/>
      <c r="T3" s="486"/>
    </row>
    <row r="4" spans="1:20" ht="15" customHeight="1" x14ac:dyDescent="0.3">
      <c r="A4" s="18"/>
      <c r="B4" s="58" t="s">
        <v>3561</v>
      </c>
      <c r="C4" s="30" t="str" cm="1">
        <f t="array" ref="C4">_xll.U.UUID()</f>
        <v>ccd798a3-0ec3-425a-ab59-1a3d8dd6c615</v>
      </c>
      <c r="D4" s="26"/>
      <c r="E4" s="21"/>
      <c r="F4" s="21"/>
      <c r="G4" s="21"/>
      <c r="H4" s="21"/>
      <c r="I4" s="20"/>
      <c r="K4" s="487" t="s">
        <v>333</v>
      </c>
      <c r="L4" s="487"/>
      <c r="M4" s="487" t="s">
        <v>556</v>
      </c>
      <c r="N4" s="487"/>
      <c r="O4" s="487"/>
      <c r="P4" s="487"/>
      <c r="Q4" s="487"/>
      <c r="R4" s="487"/>
      <c r="S4" s="487"/>
      <c r="T4" s="487"/>
    </row>
    <row r="5" spans="1:20" x14ac:dyDescent="0.3">
      <c r="A5" s="18"/>
      <c r="B5" s="21"/>
      <c r="C5" s="21"/>
      <c r="D5" s="21"/>
      <c r="E5" s="21"/>
      <c r="F5" s="21"/>
      <c r="G5" s="21"/>
      <c r="H5" s="21"/>
      <c r="I5" s="20"/>
      <c r="K5" s="487"/>
      <c r="L5" s="487"/>
      <c r="M5" s="487"/>
      <c r="N5" s="487"/>
      <c r="O5" s="487"/>
      <c r="P5" s="487"/>
      <c r="Q5" s="487"/>
      <c r="R5" s="487"/>
      <c r="S5" s="487"/>
      <c r="T5" s="487"/>
    </row>
    <row r="6" spans="1:20" x14ac:dyDescent="0.3">
      <c r="A6" s="18"/>
      <c r="B6" s="21"/>
      <c r="C6" s="21"/>
      <c r="D6" s="21"/>
      <c r="E6" s="21"/>
      <c r="F6" s="21"/>
      <c r="G6" s="21"/>
      <c r="H6" s="21"/>
      <c r="I6" s="20"/>
      <c r="K6" s="487"/>
      <c r="L6" s="487"/>
      <c r="M6" s="487"/>
      <c r="N6" s="487"/>
      <c r="O6" s="487"/>
      <c r="P6" s="487"/>
      <c r="Q6" s="487"/>
      <c r="R6" s="487"/>
      <c r="S6" s="487"/>
      <c r="T6" s="487"/>
    </row>
    <row r="7" spans="1:20" x14ac:dyDescent="0.3">
      <c r="A7" s="18"/>
      <c r="B7" s="21"/>
      <c r="C7" s="21"/>
      <c r="D7" s="21"/>
      <c r="E7" s="21"/>
      <c r="F7" s="21"/>
      <c r="G7" s="21"/>
      <c r="H7" s="21"/>
      <c r="I7" s="20"/>
      <c r="K7" s="483" t="s">
        <v>323</v>
      </c>
      <c r="L7" s="483"/>
      <c r="M7" s="483" t="s">
        <v>1</v>
      </c>
      <c r="N7" s="483"/>
      <c r="O7" s="483"/>
      <c r="P7" s="483"/>
      <c r="Q7" s="483"/>
      <c r="R7" s="483"/>
      <c r="S7" s="483"/>
      <c r="T7" s="85" t="s">
        <v>324</v>
      </c>
    </row>
    <row r="8" spans="1:20" ht="15" customHeight="1" x14ac:dyDescent="0.3">
      <c r="A8" s="18"/>
      <c r="B8" s="21"/>
      <c r="C8" s="21"/>
      <c r="D8" s="21"/>
      <c r="E8" s="21"/>
      <c r="F8" s="21"/>
      <c r="G8" s="21"/>
      <c r="H8" s="21"/>
      <c r="I8" s="20"/>
      <c r="K8" s="516" t="s">
        <v>431</v>
      </c>
      <c r="L8" s="517"/>
      <c r="M8" s="517"/>
      <c r="N8" s="517"/>
      <c r="O8" s="517"/>
      <c r="P8" s="517"/>
      <c r="Q8" s="517"/>
      <c r="R8" s="517"/>
      <c r="S8" s="517"/>
      <c r="T8" s="518"/>
    </row>
    <row r="9" spans="1:20" x14ac:dyDescent="0.3">
      <c r="A9" s="18"/>
      <c r="B9" s="21"/>
      <c r="C9" s="21"/>
      <c r="D9" s="21"/>
      <c r="E9" s="21"/>
      <c r="F9" s="21"/>
      <c r="G9" s="21"/>
      <c r="H9" s="21"/>
      <c r="I9" s="20"/>
    </row>
    <row r="10" spans="1:20" x14ac:dyDescent="0.3">
      <c r="A10" s="18"/>
      <c r="B10" s="58" t="s">
        <v>3561</v>
      </c>
      <c r="C10" s="30" t="str">
        <f t="array" ref="C10:C20">_xll.U.UUID()</f>
        <v>f6403deb-dad9-426c-b9bd-285fc9676bab</v>
      </c>
      <c r="D10" s="21"/>
      <c r="E10" s="21"/>
      <c r="F10" s="21"/>
      <c r="G10" s="21"/>
      <c r="H10" s="21"/>
      <c r="I10" s="20"/>
    </row>
    <row r="11" spans="1:20" x14ac:dyDescent="0.3">
      <c r="A11" s="18"/>
      <c r="B11" s="21"/>
      <c r="C11" s="30" t="str">
        <v>23be09f3-b5b0-4d11-8ce4-90b7b3b97590</v>
      </c>
      <c r="D11" s="21"/>
      <c r="E11" s="21"/>
      <c r="F11" s="21"/>
      <c r="G11" s="21"/>
      <c r="H11" s="21"/>
      <c r="I11" s="20"/>
    </row>
    <row r="12" spans="1:20" x14ac:dyDescent="0.3">
      <c r="A12" s="18"/>
      <c r="B12" s="21"/>
      <c r="C12" s="30" t="str">
        <v>1d1f1888-3b64-48c9-9cce-482bf49bec3d</v>
      </c>
      <c r="D12" s="21"/>
      <c r="E12" s="21"/>
      <c r="F12" s="21"/>
      <c r="G12" s="21"/>
      <c r="H12" s="21"/>
      <c r="I12" s="20"/>
    </row>
    <row r="13" spans="1:20" x14ac:dyDescent="0.3">
      <c r="A13" s="18"/>
      <c r="B13" s="21"/>
      <c r="C13" s="30" t="str">
        <v>3bb212f7-f775-4411-9da9-62339debd568</v>
      </c>
      <c r="D13" s="21"/>
      <c r="E13" s="21"/>
      <c r="F13" s="21"/>
      <c r="G13" s="21"/>
      <c r="H13" s="21"/>
      <c r="I13" s="20"/>
    </row>
    <row r="14" spans="1:20" x14ac:dyDescent="0.3">
      <c r="A14" s="18"/>
      <c r="B14" s="21"/>
      <c r="C14" s="30" t="str">
        <v>4b58072a-4b84-457d-9586-bb5eaa0a0ce4</v>
      </c>
      <c r="D14" s="21"/>
      <c r="E14" s="21"/>
      <c r="F14" s="21"/>
      <c r="G14" s="21"/>
      <c r="H14" s="21"/>
      <c r="I14" s="20"/>
    </row>
    <row r="15" spans="1:20" x14ac:dyDescent="0.3">
      <c r="A15" s="18"/>
      <c r="B15" s="21"/>
      <c r="C15" s="30" t="str">
        <v>ec875a55-25a8-4eb1-8bf8-7960af9eabb9</v>
      </c>
      <c r="D15" s="21"/>
      <c r="E15" s="21"/>
      <c r="F15" s="21"/>
      <c r="G15" s="21"/>
      <c r="H15" s="21"/>
      <c r="I15" s="20"/>
    </row>
    <row r="16" spans="1:20" x14ac:dyDescent="0.3">
      <c r="A16" s="18"/>
      <c r="B16" s="21"/>
      <c r="C16" s="30" t="str">
        <v>93238b93-f3d7-47e9-bdf4-09001a6f0dbb</v>
      </c>
      <c r="D16" s="21"/>
      <c r="E16" s="21"/>
      <c r="F16" s="21"/>
      <c r="G16" s="21"/>
      <c r="H16" s="21"/>
      <c r="I16" s="20"/>
    </row>
    <row r="17" spans="1:9" x14ac:dyDescent="0.3">
      <c r="A17" s="18"/>
      <c r="B17" s="21"/>
      <c r="C17" s="30" t="str">
        <v>aa3ef843-ad4c-4e23-af99-e2162daeb24b</v>
      </c>
      <c r="D17" s="21"/>
      <c r="E17" s="21"/>
      <c r="F17" s="21"/>
      <c r="G17" s="21"/>
      <c r="H17" s="21"/>
      <c r="I17" s="20"/>
    </row>
    <row r="18" spans="1:9" x14ac:dyDescent="0.3">
      <c r="A18" s="18"/>
      <c r="B18" s="21"/>
      <c r="C18" s="30" t="str">
        <v>f42ac453-11e5-483a-825f-7f0ee4e9da04</v>
      </c>
      <c r="D18" s="21"/>
      <c r="E18" s="21"/>
      <c r="F18" s="21"/>
      <c r="G18" s="21"/>
      <c r="H18" s="21"/>
      <c r="I18" s="20"/>
    </row>
    <row r="19" spans="1:9" x14ac:dyDescent="0.3">
      <c r="A19" s="18"/>
      <c r="B19" s="21"/>
      <c r="C19" s="30" t="str">
        <v>d26efdef-971b-4719-b5d6-1a4186cc500c</v>
      </c>
      <c r="D19" s="21"/>
      <c r="E19" s="21"/>
      <c r="F19" s="21"/>
      <c r="G19" s="21"/>
      <c r="H19" s="21"/>
      <c r="I19" s="20"/>
    </row>
    <row r="20" spans="1:9" x14ac:dyDescent="0.3">
      <c r="A20" s="18"/>
      <c r="B20" s="21"/>
      <c r="C20" s="30" t="str">
        <v>c8bfb018-f3a2-4c99-97e4-520812aa369e</v>
      </c>
      <c r="D20" s="21"/>
      <c r="E20" s="21"/>
      <c r="F20" s="21"/>
      <c r="G20" s="21"/>
      <c r="H20" s="21"/>
      <c r="I20" s="20"/>
    </row>
    <row r="21" spans="1:9" x14ac:dyDescent="0.3">
      <c r="A21" s="18"/>
      <c r="B21" s="21"/>
      <c r="C21" s="21"/>
      <c r="D21" s="21"/>
      <c r="E21" s="21"/>
      <c r="F21" s="21"/>
      <c r="G21" s="21"/>
      <c r="H21" s="21"/>
      <c r="I21" s="20"/>
    </row>
    <row r="22" spans="1:9" x14ac:dyDescent="0.3">
      <c r="A22" s="18"/>
      <c r="B22" s="21"/>
      <c r="C22" s="21"/>
      <c r="D22" s="21"/>
      <c r="E22" s="21"/>
      <c r="F22" s="21"/>
      <c r="G22" s="21"/>
      <c r="H22" s="21"/>
      <c r="I22" s="20"/>
    </row>
    <row r="23" spans="1:9" ht="15" thickBot="1" x14ac:dyDescent="0.35">
      <c r="A23" s="22"/>
      <c r="B23" s="23"/>
      <c r="C23" s="23"/>
      <c r="D23" s="23"/>
      <c r="E23" s="23"/>
      <c r="F23" s="23"/>
      <c r="G23" s="23"/>
      <c r="H23" s="23"/>
      <c r="I23" s="24"/>
    </row>
  </sheetData>
  <mergeCells count="6">
    <mergeCell ref="K8:T8"/>
    <mergeCell ref="K3:T3"/>
    <mergeCell ref="K4:L6"/>
    <mergeCell ref="M4:T6"/>
    <mergeCell ref="K7:L7"/>
    <mergeCell ref="M7:S7"/>
  </mergeCells>
  <pageMargins left="0.7" right="0.7" top="0.75" bottom="0.75" header="0.3" footer="0.3"/>
  <pageSetup orientation="portrait" r:id="rId1"/>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6"/>
  <dimension ref="A1:Z90"/>
  <sheetViews>
    <sheetView workbookViewId="0">
      <pane ySplit="1" topLeftCell="A2" activePane="bottomLeft" state="frozen"/>
      <selection activeCell="C33" sqref="C33"/>
      <selection pane="bottomLeft" activeCell="A2" sqref="A2"/>
    </sheetView>
  </sheetViews>
  <sheetFormatPr defaultRowHeight="14.4" x14ac:dyDescent="0.3"/>
  <cols>
    <col min="2" max="2" width="21.21875" customWidth="1"/>
    <col min="3" max="3" width="49.21875" bestFit="1" customWidth="1"/>
    <col min="4" max="4" width="28.21875" bestFit="1" customWidth="1"/>
    <col min="5" max="5" width="11.21875" customWidth="1"/>
    <col min="6" max="6" width="18.77734375" bestFit="1" customWidth="1"/>
    <col min="7" max="7" width="32.77734375" bestFit="1" customWidth="1"/>
    <col min="10" max="11" width="11.77734375" customWidth="1"/>
    <col min="17" max="18" width="11.77734375" customWidth="1"/>
    <col min="19" max="25" width="18.21875" customWidth="1"/>
  </cols>
  <sheetData>
    <row r="1" spans="1:26" ht="34.5" customHeight="1" thickBot="1" x14ac:dyDescent="0.35">
      <c r="A1" s="292" t="s">
        <v>1580</v>
      </c>
      <c r="B1" s="473" t="e" vm="1">
        <v>#VALUE!</v>
      </c>
      <c r="C1" s="8" t="s">
        <v>1390</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3562</v>
      </c>
      <c r="R3" s="486"/>
      <c r="S3" s="486"/>
      <c r="T3" s="486"/>
      <c r="U3" s="486"/>
      <c r="V3" s="486"/>
      <c r="W3" s="486"/>
      <c r="X3" s="486"/>
      <c r="Y3" s="486"/>
      <c r="Z3" s="486"/>
    </row>
    <row r="4" spans="1:26" x14ac:dyDescent="0.3">
      <c r="A4" s="18"/>
      <c r="B4" s="21"/>
      <c r="C4" s="179" t="s">
        <v>3562</v>
      </c>
      <c r="D4" s="21"/>
      <c r="E4" s="21"/>
      <c r="F4" s="21"/>
      <c r="G4" s="21"/>
      <c r="H4" s="21"/>
      <c r="I4" s="21"/>
      <c r="J4" s="21"/>
      <c r="K4" s="159"/>
      <c r="L4" s="21"/>
      <c r="M4" s="21"/>
      <c r="N4" s="21"/>
      <c r="O4" s="20"/>
      <c r="Q4" s="487" t="s">
        <v>333</v>
      </c>
      <c r="R4" s="487"/>
      <c r="S4" s="487" t="s">
        <v>1392</v>
      </c>
      <c r="T4" s="487"/>
      <c r="U4" s="487"/>
      <c r="V4" s="487"/>
      <c r="W4" s="487"/>
      <c r="X4" s="487"/>
      <c r="Y4" s="487"/>
      <c r="Z4" s="487"/>
    </row>
    <row r="5" spans="1:26" x14ac:dyDescent="0.3">
      <c r="A5" s="18"/>
      <c r="B5" s="21"/>
      <c r="C5" s="189" t="s">
        <v>3563</v>
      </c>
      <c r="D5" s="21"/>
      <c r="E5" s="21"/>
      <c r="F5" s="21"/>
      <c r="G5" s="21"/>
      <c r="H5" s="21"/>
      <c r="I5" s="21"/>
      <c r="J5" s="21"/>
      <c r="K5" s="159"/>
      <c r="L5" s="21"/>
      <c r="M5" s="21"/>
      <c r="N5" s="21"/>
      <c r="O5" s="20"/>
      <c r="Q5" s="487"/>
      <c r="R5" s="487"/>
      <c r="S5" s="487"/>
      <c r="T5" s="487"/>
      <c r="U5" s="487"/>
      <c r="V5" s="487"/>
      <c r="W5" s="487"/>
      <c r="X5" s="487"/>
      <c r="Y5" s="487"/>
      <c r="Z5" s="487"/>
    </row>
    <row r="6" spans="1:26" x14ac:dyDescent="0.3">
      <c r="A6" s="18"/>
      <c r="B6" s="21"/>
      <c r="C6" s="21"/>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21"/>
      <c r="C7" s="21"/>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21"/>
      <c r="C8" s="21"/>
      <c r="D8" s="21"/>
      <c r="E8" s="21"/>
      <c r="F8" s="21"/>
      <c r="G8" s="21"/>
      <c r="H8" s="21"/>
      <c r="I8" s="21"/>
      <c r="J8" s="21"/>
      <c r="K8" s="21"/>
      <c r="L8" s="21"/>
      <c r="M8" s="21"/>
      <c r="N8" s="21"/>
      <c r="O8" s="20"/>
      <c r="Q8" s="487" t="s">
        <v>507</v>
      </c>
      <c r="R8" s="487"/>
      <c r="S8" s="487" t="s">
        <v>1433</v>
      </c>
      <c r="T8" s="487"/>
      <c r="U8" s="487"/>
      <c r="V8" s="487"/>
      <c r="W8" s="487"/>
      <c r="X8" s="487"/>
      <c r="Y8" s="487"/>
      <c r="Z8" s="548" t="s">
        <v>325</v>
      </c>
    </row>
    <row r="9" spans="1:26" x14ac:dyDescent="0.3">
      <c r="A9" s="18"/>
      <c r="B9" s="21"/>
      <c r="C9" s="21"/>
      <c r="D9" s="21"/>
      <c r="E9" s="21"/>
      <c r="F9" s="21"/>
      <c r="G9" s="21"/>
      <c r="H9" s="21"/>
      <c r="I9" s="21"/>
      <c r="J9" s="21"/>
      <c r="K9" s="21"/>
      <c r="L9" s="21"/>
      <c r="M9" s="21"/>
      <c r="N9" s="21"/>
      <c r="O9" s="20"/>
      <c r="Q9" s="487"/>
      <c r="R9" s="487"/>
      <c r="S9" s="487"/>
      <c r="T9" s="487"/>
      <c r="U9" s="487"/>
      <c r="V9" s="487"/>
      <c r="W9" s="487"/>
      <c r="X9" s="487"/>
      <c r="Y9" s="487"/>
      <c r="Z9" s="549"/>
    </row>
    <row r="10" spans="1:26" x14ac:dyDescent="0.3">
      <c r="A10" s="18"/>
      <c r="B10" s="21"/>
      <c r="C10" s="21"/>
      <c r="D10" s="21"/>
      <c r="E10" s="21"/>
      <c r="F10" s="21"/>
      <c r="G10" s="21"/>
      <c r="H10" s="21"/>
      <c r="I10" s="21"/>
      <c r="J10" s="21"/>
      <c r="K10" s="21"/>
      <c r="L10" s="21"/>
      <c r="M10" s="21"/>
      <c r="N10" s="21"/>
      <c r="O10" s="20"/>
      <c r="Q10" s="487"/>
      <c r="R10" s="487"/>
      <c r="S10" s="487"/>
      <c r="T10" s="487"/>
      <c r="U10" s="487"/>
      <c r="V10" s="487"/>
      <c r="W10" s="487"/>
      <c r="X10" s="487"/>
      <c r="Y10" s="487"/>
      <c r="Z10" s="550"/>
    </row>
    <row r="11" spans="1:26" ht="15" customHeight="1" x14ac:dyDescent="0.3">
      <c r="A11" s="18"/>
      <c r="B11" s="21"/>
      <c r="C11" s="21"/>
      <c r="D11" s="21"/>
      <c r="E11" s="21"/>
      <c r="F11" s="21"/>
      <c r="G11" s="21"/>
      <c r="H11" s="21"/>
      <c r="I11" s="21"/>
      <c r="J11" s="21"/>
      <c r="K11" s="21"/>
      <c r="L11" s="21"/>
      <c r="M11" s="21"/>
      <c r="N11" s="21"/>
      <c r="O11" s="20"/>
      <c r="Q11" s="484" t="s">
        <v>615</v>
      </c>
      <c r="R11" s="484"/>
      <c r="S11" s="484" t="s">
        <v>1434</v>
      </c>
      <c r="T11" s="484"/>
      <c r="U11" s="484"/>
      <c r="V11" s="484"/>
      <c r="W11" s="484"/>
      <c r="X11" s="484"/>
      <c r="Y11" s="484"/>
      <c r="Z11" s="505" t="s">
        <v>326</v>
      </c>
    </row>
    <row r="12" spans="1:26" x14ac:dyDescent="0.3">
      <c r="A12" s="18"/>
      <c r="B12" s="21"/>
      <c r="C12" s="21"/>
      <c r="D12" s="21"/>
      <c r="E12" s="21"/>
      <c r="F12" s="21"/>
      <c r="G12" s="21"/>
      <c r="H12" s="21"/>
      <c r="I12" s="21"/>
      <c r="J12" s="21"/>
      <c r="K12" s="21"/>
      <c r="L12" s="21"/>
      <c r="M12" s="21"/>
      <c r="N12" s="21"/>
      <c r="O12" s="20"/>
      <c r="Q12" s="484"/>
      <c r="R12" s="484"/>
      <c r="S12" s="484"/>
      <c r="T12" s="484"/>
      <c r="U12" s="484"/>
      <c r="V12" s="484"/>
      <c r="W12" s="484"/>
      <c r="X12" s="484"/>
      <c r="Y12" s="484"/>
      <c r="Z12" s="506"/>
    </row>
    <row r="13" spans="1:26" x14ac:dyDescent="0.3">
      <c r="A13" s="18"/>
      <c r="B13" s="21"/>
      <c r="C13" s="21"/>
      <c r="D13" s="21"/>
      <c r="E13" s="21"/>
      <c r="F13" s="21"/>
      <c r="G13" s="21"/>
      <c r="H13" s="21"/>
      <c r="I13" s="21"/>
      <c r="J13" s="21"/>
      <c r="K13" s="21"/>
      <c r="L13" s="21"/>
      <c r="M13" s="21"/>
      <c r="N13" s="21"/>
      <c r="O13" s="20"/>
      <c r="Q13" s="484"/>
      <c r="R13" s="484"/>
      <c r="S13" s="484"/>
      <c r="T13" s="484"/>
      <c r="U13" s="484"/>
      <c r="V13" s="484"/>
      <c r="W13" s="484"/>
      <c r="X13" s="484"/>
      <c r="Y13" s="484"/>
      <c r="Z13" s="507"/>
    </row>
    <row r="14" spans="1:26" x14ac:dyDescent="0.3">
      <c r="A14" s="18"/>
      <c r="B14" s="21"/>
      <c r="C14" s="21"/>
      <c r="D14" s="21"/>
      <c r="E14" s="21"/>
      <c r="F14" s="21"/>
      <c r="G14" s="21"/>
      <c r="H14" s="21"/>
      <c r="I14" s="21"/>
      <c r="J14" s="21"/>
      <c r="K14" s="21"/>
      <c r="L14" s="21"/>
      <c r="M14" s="21"/>
      <c r="N14" s="21"/>
      <c r="O14" s="20"/>
      <c r="Q14" s="484" t="s">
        <v>1393</v>
      </c>
      <c r="R14" s="484"/>
      <c r="S14" s="484" t="s">
        <v>1431</v>
      </c>
      <c r="T14" s="484"/>
      <c r="U14" s="484"/>
      <c r="V14" s="484"/>
      <c r="W14" s="484"/>
      <c r="X14" s="484"/>
      <c r="Y14" s="484"/>
      <c r="Z14" s="505" t="s">
        <v>326</v>
      </c>
    </row>
    <row r="15" spans="1:26" x14ac:dyDescent="0.3">
      <c r="A15" s="18"/>
      <c r="B15" s="21"/>
      <c r="C15" s="21"/>
      <c r="D15" s="21"/>
      <c r="E15" s="21"/>
      <c r="F15" s="21"/>
      <c r="G15" s="21"/>
      <c r="H15" s="21"/>
      <c r="I15" s="21"/>
      <c r="J15" s="21"/>
      <c r="K15" s="21"/>
      <c r="L15" s="21"/>
      <c r="M15" s="21"/>
      <c r="N15" s="21"/>
      <c r="O15" s="20"/>
      <c r="Q15" s="484"/>
      <c r="R15" s="484"/>
      <c r="S15" s="484"/>
      <c r="T15" s="484"/>
      <c r="U15" s="484"/>
      <c r="V15" s="484"/>
      <c r="W15" s="484"/>
      <c r="X15" s="484"/>
      <c r="Y15" s="484"/>
      <c r="Z15" s="506"/>
    </row>
    <row r="16" spans="1:26" x14ac:dyDescent="0.3">
      <c r="A16" s="18"/>
      <c r="B16" s="21"/>
      <c r="C16" s="21"/>
      <c r="D16" s="21"/>
      <c r="E16" s="21"/>
      <c r="F16" s="21"/>
      <c r="G16" s="21"/>
      <c r="H16" s="21"/>
      <c r="I16" s="21"/>
      <c r="J16" s="21"/>
      <c r="K16" s="21"/>
      <c r="L16" s="21"/>
      <c r="M16" s="21"/>
      <c r="N16" s="21"/>
      <c r="O16" s="20"/>
      <c r="Q16" s="484"/>
      <c r="R16" s="484"/>
      <c r="S16" s="484"/>
      <c r="T16" s="484"/>
      <c r="U16" s="484"/>
      <c r="V16" s="484"/>
      <c r="W16" s="484"/>
      <c r="X16" s="484"/>
      <c r="Y16" s="484"/>
      <c r="Z16" s="507"/>
    </row>
    <row r="17" spans="1:26" x14ac:dyDescent="0.3">
      <c r="A17" s="18"/>
      <c r="B17" s="21"/>
      <c r="C17" s="21"/>
      <c r="D17" s="21"/>
      <c r="E17" s="21"/>
      <c r="F17" s="21"/>
      <c r="G17" s="21"/>
      <c r="H17" s="21"/>
      <c r="I17" s="21"/>
      <c r="J17" s="21"/>
      <c r="K17" s="21"/>
      <c r="L17" s="21"/>
      <c r="M17" s="21"/>
      <c r="N17" s="21"/>
      <c r="O17" s="20"/>
      <c r="Q17" s="484" t="s">
        <v>1394</v>
      </c>
      <c r="R17" s="484"/>
      <c r="S17" s="484" t="s">
        <v>1403</v>
      </c>
      <c r="T17" s="484"/>
      <c r="U17" s="484"/>
      <c r="V17" s="484"/>
      <c r="W17" s="484"/>
      <c r="X17" s="484"/>
      <c r="Y17" s="484"/>
      <c r="Z17" s="505" t="s">
        <v>326</v>
      </c>
    </row>
    <row r="18" spans="1:26" x14ac:dyDescent="0.3">
      <c r="A18" s="18"/>
      <c r="B18" s="21"/>
      <c r="C18" s="21"/>
      <c r="D18" s="21"/>
      <c r="E18" s="21"/>
      <c r="F18" s="21"/>
      <c r="G18" s="21"/>
      <c r="H18" s="21"/>
      <c r="I18" s="21"/>
      <c r="J18" s="21"/>
      <c r="K18" s="21"/>
      <c r="L18" s="21"/>
      <c r="M18" s="21"/>
      <c r="N18" s="21"/>
      <c r="O18" s="20"/>
      <c r="Q18" s="484"/>
      <c r="R18" s="484"/>
      <c r="S18" s="484"/>
      <c r="T18" s="484"/>
      <c r="U18" s="484"/>
      <c r="V18" s="484"/>
      <c r="W18" s="484"/>
      <c r="X18" s="484"/>
      <c r="Y18" s="484"/>
      <c r="Z18" s="506"/>
    </row>
    <row r="19" spans="1:26" x14ac:dyDescent="0.3">
      <c r="A19" s="18"/>
      <c r="B19" s="21"/>
      <c r="C19" s="21"/>
      <c r="D19" s="21"/>
      <c r="E19" s="21"/>
      <c r="F19" s="21"/>
      <c r="G19" s="21"/>
      <c r="H19" s="21"/>
      <c r="I19" s="21"/>
      <c r="J19" s="21"/>
      <c r="K19" s="21"/>
      <c r="L19" s="21"/>
      <c r="M19" s="21"/>
      <c r="N19" s="21"/>
      <c r="O19" s="20"/>
      <c r="Q19" s="484"/>
      <c r="R19" s="484"/>
      <c r="S19" s="484"/>
      <c r="T19" s="484"/>
      <c r="U19" s="484"/>
      <c r="V19" s="484"/>
      <c r="W19" s="484"/>
      <c r="X19" s="484"/>
      <c r="Y19" s="484"/>
      <c r="Z19" s="507"/>
    </row>
    <row r="20" spans="1:26" x14ac:dyDescent="0.3">
      <c r="A20" s="18"/>
      <c r="B20" s="21"/>
      <c r="C20" s="21"/>
      <c r="D20" s="21"/>
      <c r="E20" s="21"/>
      <c r="F20" s="21"/>
      <c r="G20" s="21"/>
      <c r="H20" s="21"/>
      <c r="I20" s="21"/>
      <c r="J20" s="21"/>
      <c r="K20" s="21"/>
      <c r="L20" s="21"/>
      <c r="M20" s="21"/>
      <c r="N20" s="21"/>
      <c r="O20" s="20"/>
      <c r="Q20" s="484" t="s">
        <v>1395</v>
      </c>
      <c r="R20" s="484"/>
      <c r="S20" s="484" t="s">
        <v>1402</v>
      </c>
      <c r="T20" s="484"/>
      <c r="U20" s="484"/>
      <c r="V20" s="484"/>
      <c r="W20" s="484"/>
      <c r="X20" s="484"/>
      <c r="Y20" s="484"/>
      <c r="Z20" s="505" t="s">
        <v>326</v>
      </c>
    </row>
    <row r="21" spans="1:26" x14ac:dyDescent="0.3">
      <c r="A21" s="18"/>
      <c r="B21" s="21"/>
      <c r="C21" s="21"/>
      <c r="D21" s="21"/>
      <c r="E21" s="21"/>
      <c r="F21" s="21"/>
      <c r="G21" s="21"/>
      <c r="H21" s="21"/>
      <c r="I21" s="21"/>
      <c r="J21" s="21"/>
      <c r="K21" s="21"/>
      <c r="L21" s="21"/>
      <c r="M21" s="21"/>
      <c r="N21" s="21"/>
      <c r="O21" s="20"/>
      <c r="Q21" s="484"/>
      <c r="R21" s="484"/>
      <c r="S21" s="484"/>
      <c r="T21" s="484"/>
      <c r="U21" s="484"/>
      <c r="V21" s="484"/>
      <c r="W21" s="484"/>
      <c r="X21" s="484"/>
      <c r="Y21" s="484"/>
      <c r="Z21" s="506"/>
    </row>
    <row r="22" spans="1:26" x14ac:dyDescent="0.3">
      <c r="A22" s="18"/>
      <c r="B22" s="21"/>
      <c r="C22" s="21"/>
      <c r="D22" s="21"/>
      <c r="E22" s="21"/>
      <c r="F22" s="21"/>
      <c r="G22" s="21"/>
      <c r="H22" s="21"/>
      <c r="I22" s="21"/>
      <c r="J22" s="21"/>
      <c r="K22" s="21"/>
      <c r="L22" s="21"/>
      <c r="M22" s="21"/>
      <c r="N22" s="21"/>
      <c r="O22" s="20"/>
      <c r="Q22" s="484"/>
      <c r="R22" s="484"/>
      <c r="S22" s="484"/>
      <c r="T22" s="484"/>
      <c r="U22" s="484"/>
      <c r="V22" s="484"/>
      <c r="W22" s="484"/>
      <c r="X22" s="484"/>
      <c r="Y22" s="484"/>
      <c r="Z22" s="507"/>
    </row>
    <row r="23" spans="1:26" x14ac:dyDescent="0.3">
      <c r="A23" s="18"/>
      <c r="B23" s="21"/>
      <c r="C23" s="21"/>
      <c r="D23" s="21"/>
      <c r="E23" s="21"/>
      <c r="F23" s="21"/>
      <c r="G23" s="21"/>
      <c r="H23" s="21"/>
      <c r="I23" s="21"/>
      <c r="J23" s="21"/>
      <c r="K23" s="21"/>
      <c r="L23" s="21"/>
      <c r="M23" s="21"/>
      <c r="N23" s="21"/>
      <c r="O23" s="20"/>
      <c r="Q23" s="484" t="s">
        <v>1396</v>
      </c>
      <c r="R23" s="484"/>
      <c r="S23" s="484" t="s">
        <v>1404</v>
      </c>
      <c r="T23" s="484"/>
      <c r="U23" s="484"/>
      <c r="V23" s="484"/>
      <c r="W23" s="484"/>
      <c r="X23" s="484"/>
      <c r="Y23" s="484"/>
      <c r="Z23" s="505" t="s">
        <v>326</v>
      </c>
    </row>
    <row r="24" spans="1:26" ht="15" customHeight="1" x14ac:dyDescent="0.3">
      <c r="A24" s="18"/>
      <c r="B24" s="21"/>
      <c r="C24" s="21"/>
      <c r="D24" s="21"/>
      <c r="E24" s="21"/>
      <c r="F24" s="21"/>
      <c r="G24" s="21"/>
      <c r="H24" s="21"/>
      <c r="I24" s="21"/>
      <c r="J24" s="21"/>
      <c r="K24" s="21"/>
      <c r="L24" s="21"/>
      <c r="M24" s="21"/>
      <c r="N24" s="21"/>
      <c r="O24" s="20"/>
      <c r="Q24" s="484"/>
      <c r="R24" s="484"/>
      <c r="S24" s="484"/>
      <c r="T24" s="484"/>
      <c r="U24" s="484"/>
      <c r="V24" s="484"/>
      <c r="W24" s="484"/>
      <c r="X24" s="484"/>
      <c r="Y24" s="484"/>
      <c r="Z24" s="506"/>
    </row>
    <row r="25" spans="1:26" x14ac:dyDescent="0.3">
      <c r="A25" s="18"/>
      <c r="B25" s="21"/>
      <c r="C25" s="21"/>
      <c r="D25" s="21"/>
      <c r="E25" s="21"/>
      <c r="F25" s="21"/>
      <c r="G25" s="21"/>
      <c r="H25" s="21"/>
      <c r="I25" s="21"/>
      <c r="J25" s="21"/>
      <c r="K25" s="21"/>
      <c r="L25" s="21"/>
      <c r="M25" s="21"/>
      <c r="N25" s="21"/>
      <c r="O25" s="20"/>
      <c r="Q25" s="484"/>
      <c r="R25" s="484"/>
      <c r="S25" s="484"/>
      <c r="T25" s="484"/>
      <c r="U25" s="484"/>
      <c r="V25" s="484"/>
      <c r="W25" s="484"/>
      <c r="X25" s="484"/>
      <c r="Y25" s="484"/>
      <c r="Z25" s="507"/>
    </row>
    <row r="26" spans="1:26" x14ac:dyDescent="0.3">
      <c r="A26" s="18"/>
      <c r="B26" s="21"/>
      <c r="C26" s="21"/>
      <c r="D26" s="21"/>
      <c r="E26" s="21"/>
      <c r="F26" s="21"/>
      <c r="G26" s="21"/>
      <c r="H26" s="21"/>
      <c r="I26" s="21"/>
      <c r="J26" s="21"/>
      <c r="K26" s="21"/>
      <c r="L26" s="21"/>
      <c r="M26" s="21"/>
      <c r="N26" s="21"/>
      <c r="O26" s="20"/>
      <c r="Q26" s="484" t="s">
        <v>1397</v>
      </c>
      <c r="R26" s="484"/>
      <c r="S26" s="484" t="s">
        <v>1405</v>
      </c>
      <c r="T26" s="484"/>
      <c r="U26" s="484"/>
      <c r="V26" s="484"/>
      <c r="W26" s="484"/>
      <c r="X26" s="484"/>
      <c r="Y26" s="484"/>
      <c r="Z26" s="505" t="s">
        <v>326</v>
      </c>
    </row>
    <row r="27" spans="1:26" ht="15" customHeight="1" x14ac:dyDescent="0.3">
      <c r="A27" s="18"/>
      <c r="B27" s="21"/>
      <c r="C27" s="21"/>
      <c r="D27" s="21"/>
      <c r="E27" s="21"/>
      <c r="F27" s="21"/>
      <c r="G27" s="21"/>
      <c r="H27" s="21"/>
      <c r="I27" s="21"/>
      <c r="J27" s="21"/>
      <c r="K27" s="21"/>
      <c r="L27" s="21"/>
      <c r="M27" s="21"/>
      <c r="N27" s="21"/>
      <c r="O27" s="20"/>
      <c r="Q27" s="484"/>
      <c r="R27" s="484"/>
      <c r="S27" s="484"/>
      <c r="T27" s="484"/>
      <c r="U27" s="484"/>
      <c r="V27" s="484"/>
      <c r="W27" s="484"/>
      <c r="X27" s="484"/>
      <c r="Y27" s="484"/>
      <c r="Z27" s="506"/>
    </row>
    <row r="28" spans="1:26" ht="15" customHeight="1" x14ac:dyDescent="0.3">
      <c r="A28" s="18"/>
      <c r="B28" s="21"/>
      <c r="C28" s="21"/>
      <c r="D28" s="21"/>
      <c r="E28" s="21"/>
      <c r="F28" s="21"/>
      <c r="G28" s="21"/>
      <c r="H28" s="21"/>
      <c r="I28" s="21"/>
      <c r="J28" s="21"/>
      <c r="K28" s="21"/>
      <c r="L28" s="21"/>
      <c r="M28" s="21"/>
      <c r="N28" s="21"/>
      <c r="O28" s="20"/>
      <c r="Q28" s="484"/>
      <c r="R28" s="484"/>
      <c r="S28" s="484"/>
      <c r="T28" s="484"/>
      <c r="U28" s="484"/>
      <c r="V28" s="484"/>
      <c r="W28" s="484"/>
      <c r="X28" s="484"/>
      <c r="Y28" s="484"/>
      <c r="Z28" s="507"/>
    </row>
    <row r="29" spans="1:26" x14ac:dyDescent="0.3">
      <c r="A29" s="18"/>
      <c r="B29" s="21"/>
      <c r="C29" s="21"/>
      <c r="D29" s="21"/>
      <c r="E29" s="21"/>
      <c r="F29" s="21"/>
      <c r="G29" s="21"/>
      <c r="H29" s="21"/>
      <c r="I29" s="21"/>
      <c r="J29" s="21"/>
      <c r="K29" s="21"/>
      <c r="L29" s="21"/>
      <c r="M29" s="21"/>
      <c r="N29" s="21"/>
      <c r="O29" s="20"/>
      <c r="Q29" s="484" t="s">
        <v>1430</v>
      </c>
      <c r="R29" s="484"/>
      <c r="S29" s="484" t="s">
        <v>1432</v>
      </c>
      <c r="T29" s="484"/>
      <c r="U29" s="484"/>
      <c r="V29" s="484"/>
      <c r="W29" s="484"/>
      <c r="X29" s="484"/>
      <c r="Y29" s="484"/>
      <c r="Z29" s="505" t="s">
        <v>326</v>
      </c>
    </row>
    <row r="30" spans="1:26" x14ac:dyDescent="0.3">
      <c r="A30" s="18"/>
      <c r="B30" s="21"/>
      <c r="C30" s="21"/>
      <c r="D30" s="21"/>
      <c r="E30" s="21"/>
      <c r="F30" s="21"/>
      <c r="G30" s="21"/>
      <c r="H30" s="21"/>
      <c r="I30" s="21"/>
      <c r="J30" s="21"/>
      <c r="K30" s="21"/>
      <c r="L30" s="21"/>
      <c r="M30" s="21"/>
      <c r="N30" s="21"/>
      <c r="O30" s="20"/>
      <c r="Q30" s="484"/>
      <c r="R30" s="484"/>
      <c r="S30" s="484"/>
      <c r="T30" s="484"/>
      <c r="U30" s="484"/>
      <c r="V30" s="484"/>
      <c r="W30" s="484"/>
      <c r="X30" s="484"/>
      <c r="Y30" s="484"/>
      <c r="Z30" s="506"/>
    </row>
    <row r="31" spans="1:26" ht="15" customHeight="1" x14ac:dyDescent="0.3">
      <c r="A31" s="18"/>
      <c r="B31" s="21"/>
      <c r="C31" s="21"/>
      <c r="D31" s="21"/>
      <c r="E31" s="21"/>
      <c r="F31" s="21"/>
      <c r="G31" s="21"/>
      <c r="H31" s="21"/>
      <c r="I31" s="21"/>
      <c r="J31" s="21"/>
      <c r="K31" s="21"/>
      <c r="L31" s="21"/>
      <c r="M31" s="21"/>
      <c r="N31" s="21"/>
      <c r="O31" s="20"/>
      <c r="Q31" s="484"/>
      <c r="R31" s="484"/>
      <c r="S31" s="484"/>
      <c r="T31" s="484"/>
      <c r="U31" s="484"/>
      <c r="V31" s="484"/>
      <c r="W31" s="484"/>
      <c r="X31" s="484"/>
      <c r="Y31" s="484"/>
      <c r="Z31" s="507"/>
    </row>
    <row r="32" spans="1:26" x14ac:dyDescent="0.3">
      <c r="A32" s="18"/>
      <c r="B32" s="21"/>
      <c r="C32" s="21"/>
      <c r="D32" s="21"/>
      <c r="E32" s="21"/>
      <c r="F32" s="21"/>
      <c r="G32" s="21"/>
      <c r="H32" s="21"/>
      <c r="I32" s="21"/>
      <c r="J32" s="21"/>
      <c r="K32" s="21"/>
      <c r="L32" s="21"/>
      <c r="M32" s="21"/>
      <c r="N32" s="21"/>
      <c r="O32" s="20"/>
      <c r="Q32" s="484" t="s">
        <v>1398</v>
      </c>
      <c r="R32" s="484"/>
      <c r="S32" s="484" t="s">
        <v>1406</v>
      </c>
      <c r="T32" s="484"/>
      <c r="U32" s="484"/>
      <c r="V32" s="484"/>
      <c r="W32" s="484"/>
      <c r="X32" s="484"/>
      <c r="Y32" s="484"/>
      <c r="Z32" s="505" t="s">
        <v>326</v>
      </c>
    </row>
    <row r="33" spans="1:26" x14ac:dyDescent="0.3">
      <c r="A33" s="18"/>
      <c r="B33" s="21"/>
      <c r="C33" s="21"/>
      <c r="D33" s="21"/>
      <c r="E33" s="21"/>
      <c r="F33" s="21"/>
      <c r="G33" s="21"/>
      <c r="H33" s="21"/>
      <c r="I33" s="21"/>
      <c r="J33" s="21"/>
      <c r="K33" s="21"/>
      <c r="L33" s="21"/>
      <c r="M33" s="21"/>
      <c r="N33" s="21"/>
      <c r="O33" s="20"/>
      <c r="Q33" s="484"/>
      <c r="R33" s="484"/>
      <c r="S33" s="484"/>
      <c r="T33" s="484"/>
      <c r="U33" s="484"/>
      <c r="V33" s="484"/>
      <c r="W33" s="484"/>
      <c r="X33" s="484"/>
      <c r="Y33" s="484"/>
      <c r="Z33" s="506"/>
    </row>
    <row r="34" spans="1:26" ht="15" customHeight="1" x14ac:dyDescent="0.3">
      <c r="A34" s="18"/>
      <c r="B34" s="21"/>
      <c r="C34" s="21"/>
      <c r="D34" s="21"/>
      <c r="E34" s="21"/>
      <c r="F34" s="21"/>
      <c r="G34" s="21"/>
      <c r="H34" s="21"/>
      <c r="I34" s="21"/>
      <c r="J34" s="21"/>
      <c r="K34" s="21"/>
      <c r="L34" s="21"/>
      <c r="M34" s="21"/>
      <c r="N34" s="21"/>
      <c r="O34" s="20"/>
      <c r="Q34" s="484"/>
      <c r="R34" s="484"/>
      <c r="S34" s="484"/>
      <c r="T34" s="484"/>
      <c r="U34" s="484"/>
      <c r="V34" s="484"/>
      <c r="W34" s="484"/>
      <c r="X34" s="484"/>
      <c r="Y34" s="484"/>
      <c r="Z34" s="507"/>
    </row>
    <row r="35" spans="1:26" x14ac:dyDescent="0.3">
      <c r="A35" s="18"/>
      <c r="B35" s="21"/>
      <c r="C35" s="21"/>
      <c r="D35" s="21"/>
      <c r="E35" s="21"/>
      <c r="F35" s="21"/>
      <c r="G35" s="21"/>
      <c r="H35" s="21"/>
      <c r="I35" s="21"/>
      <c r="J35" s="21"/>
      <c r="K35" s="21"/>
      <c r="L35" s="21"/>
      <c r="M35" s="21"/>
      <c r="N35" s="21"/>
      <c r="O35" s="20"/>
      <c r="Q35" s="496" t="s">
        <v>1399</v>
      </c>
      <c r="R35" s="497"/>
      <c r="S35" s="496" t="s">
        <v>1407</v>
      </c>
      <c r="T35" s="502"/>
      <c r="U35" s="502"/>
      <c r="V35" s="502"/>
      <c r="W35" s="502"/>
      <c r="X35" s="502"/>
      <c r="Y35" s="497"/>
      <c r="Z35" s="505" t="s">
        <v>326</v>
      </c>
    </row>
    <row r="36" spans="1:26" x14ac:dyDescent="0.3">
      <c r="A36" s="18"/>
      <c r="B36" s="21"/>
      <c r="C36" s="21"/>
      <c r="D36" s="21"/>
      <c r="E36" s="21"/>
      <c r="F36" s="21"/>
      <c r="G36" s="21"/>
      <c r="H36" s="21"/>
      <c r="I36" s="21"/>
      <c r="J36" s="21"/>
      <c r="K36" s="21"/>
      <c r="L36" s="21"/>
      <c r="M36" s="21"/>
      <c r="N36" s="21"/>
      <c r="O36" s="20"/>
      <c r="Q36" s="498"/>
      <c r="R36" s="499"/>
      <c r="S36" s="498"/>
      <c r="T36" s="503"/>
      <c r="U36" s="503"/>
      <c r="V36" s="503"/>
      <c r="W36" s="503"/>
      <c r="X36" s="503"/>
      <c r="Y36" s="499"/>
      <c r="Z36" s="506"/>
    </row>
    <row r="37" spans="1:26" ht="15" customHeight="1" x14ac:dyDescent="0.3">
      <c r="A37" s="18"/>
      <c r="B37" s="21"/>
      <c r="C37" s="21"/>
      <c r="D37" s="21"/>
      <c r="E37" s="21"/>
      <c r="F37" s="21"/>
      <c r="G37" s="21"/>
      <c r="H37" s="21"/>
      <c r="I37" s="21"/>
      <c r="J37" s="21"/>
      <c r="K37" s="21"/>
      <c r="L37" s="21"/>
      <c r="M37" s="21"/>
      <c r="N37" s="21"/>
      <c r="O37" s="20"/>
      <c r="Q37" s="500"/>
      <c r="R37" s="501"/>
      <c r="S37" s="500"/>
      <c r="T37" s="504"/>
      <c r="U37" s="504"/>
      <c r="V37" s="504"/>
      <c r="W37" s="504"/>
      <c r="X37" s="504"/>
      <c r="Y37" s="501"/>
      <c r="Z37" s="507"/>
    </row>
    <row r="38" spans="1:26" x14ac:dyDescent="0.3">
      <c r="A38" s="18"/>
      <c r="B38" s="21"/>
      <c r="C38" s="21"/>
      <c r="D38" s="21"/>
      <c r="E38" s="21"/>
      <c r="F38" s="21"/>
      <c r="G38" s="21"/>
      <c r="H38" s="21"/>
      <c r="I38" s="21"/>
      <c r="J38" s="21"/>
      <c r="K38" s="21"/>
      <c r="L38" s="21"/>
      <c r="M38" s="21"/>
      <c r="N38" s="21"/>
      <c r="O38" s="20"/>
      <c r="Q38" s="496" t="s">
        <v>1400</v>
      </c>
      <c r="R38" s="497"/>
      <c r="S38" s="496" t="s">
        <v>1409</v>
      </c>
      <c r="T38" s="502"/>
      <c r="U38" s="502"/>
      <c r="V38" s="502"/>
      <c r="W38" s="502"/>
      <c r="X38" s="502"/>
      <c r="Y38" s="497"/>
      <c r="Z38" s="505" t="s">
        <v>326</v>
      </c>
    </row>
    <row r="39" spans="1:26" x14ac:dyDescent="0.3">
      <c r="A39" s="18"/>
      <c r="B39" s="21"/>
      <c r="C39" s="21"/>
      <c r="D39" s="21"/>
      <c r="E39" s="21"/>
      <c r="F39" s="21"/>
      <c r="G39" s="21"/>
      <c r="H39" s="21"/>
      <c r="I39" s="21"/>
      <c r="J39" s="21"/>
      <c r="K39" s="21"/>
      <c r="L39" s="21"/>
      <c r="M39" s="21"/>
      <c r="N39" s="21"/>
      <c r="O39" s="20"/>
      <c r="Q39" s="498"/>
      <c r="R39" s="499"/>
      <c r="S39" s="498"/>
      <c r="T39" s="503"/>
      <c r="U39" s="503"/>
      <c r="V39" s="503"/>
      <c r="W39" s="503"/>
      <c r="X39" s="503"/>
      <c r="Y39" s="499"/>
      <c r="Z39" s="506"/>
    </row>
    <row r="40" spans="1:26" ht="15" customHeight="1" x14ac:dyDescent="0.3">
      <c r="A40" s="18"/>
      <c r="B40" s="21"/>
      <c r="C40" s="21"/>
      <c r="D40" s="21"/>
      <c r="E40" s="21"/>
      <c r="F40" s="21"/>
      <c r="G40" s="21"/>
      <c r="H40" s="21"/>
      <c r="I40" s="21"/>
      <c r="J40" s="21"/>
      <c r="K40" s="21"/>
      <c r="L40" s="21"/>
      <c r="M40" s="21"/>
      <c r="N40" s="21"/>
      <c r="O40" s="20"/>
      <c r="Q40" s="500"/>
      <c r="R40" s="501"/>
      <c r="S40" s="500"/>
      <c r="T40" s="504"/>
      <c r="U40" s="504"/>
      <c r="V40" s="504"/>
      <c r="W40" s="504"/>
      <c r="X40" s="504"/>
      <c r="Y40" s="501"/>
      <c r="Z40" s="507"/>
    </row>
    <row r="41" spans="1:26" x14ac:dyDescent="0.3">
      <c r="A41" s="18"/>
      <c r="B41" s="21"/>
      <c r="C41" s="21"/>
      <c r="D41" s="21"/>
      <c r="E41" s="21"/>
      <c r="F41" s="21"/>
      <c r="G41" s="21"/>
      <c r="H41" s="21"/>
      <c r="I41" s="21"/>
      <c r="J41" s="21"/>
      <c r="K41" s="21"/>
      <c r="L41" s="21"/>
      <c r="M41" s="21"/>
      <c r="N41" s="21"/>
      <c r="O41" s="20"/>
      <c r="Q41" s="496" t="s">
        <v>1401</v>
      </c>
      <c r="R41" s="497"/>
      <c r="S41" s="496" t="s">
        <v>1408</v>
      </c>
      <c r="T41" s="502"/>
      <c r="U41" s="502"/>
      <c r="V41" s="502"/>
      <c r="W41" s="502"/>
      <c r="X41" s="502"/>
      <c r="Y41" s="497"/>
      <c r="Z41" s="505" t="s">
        <v>326</v>
      </c>
    </row>
    <row r="42" spans="1:26" x14ac:dyDescent="0.3">
      <c r="A42" s="18"/>
      <c r="B42" s="21"/>
      <c r="C42" s="21"/>
      <c r="D42" s="21"/>
      <c r="E42" s="21"/>
      <c r="F42" s="21"/>
      <c r="G42" s="21"/>
      <c r="H42" s="21"/>
      <c r="I42" s="21"/>
      <c r="J42" s="21"/>
      <c r="K42" s="21"/>
      <c r="L42" s="21"/>
      <c r="M42" s="21"/>
      <c r="N42" s="21"/>
      <c r="O42" s="20"/>
      <c r="Q42" s="498"/>
      <c r="R42" s="499"/>
      <c r="S42" s="498"/>
      <c r="T42" s="503"/>
      <c r="U42" s="503"/>
      <c r="V42" s="503"/>
      <c r="W42" s="503"/>
      <c r="X42" s="503"/>
      <c r="Y42" s="499"/>
      <c r="Z42" s="506"/>
    </row>
    <row r="43" spans="1:26" ht="15" customHeight="1" x14ac:dyDescent="0.3">
      <c r="A43" s="18"/>
      <c r="B43" s="21"/>
      <c r="C43" s="21"/>
      <c r="D43" s="21"/>
      <c r="E43" s="21"/>
      <c r="F43" s="21"/>
      <c r="G43" s="21"/>
      <c r="H43" s="21"/>
      <c r="I43" s="21"/>
      <c r="J43" s="21"/>
      <c r="K43" s="21"/>
      <c r="L43" s="21"/>
      <c r="M43" s="21"/>
      <c r="N43" s="21"/>
      <c r="O43" s="20"/>
      <c r="Q43" s="500"/>
      <c r="R43" s="501"/>
      <c r="S43" s="500"/>
      <c r="T43" s="504"/>
      <c r="U43" s="504"/>
      <c r="V43" s="504"/>
      <c r="W43" s="504"/>
      <c r="X43" s="504"/>
      <c r="Y43" s="501"/>
      <c r="Z43" s="507"/>
    </row>
    <row r="44" spans="1:26" x14ac:dyDescent="0.3">
      <c r="A44" s="18"/>
      <c r="B44" s="21"/>
      <c r="C44" s="21"/>
      <c r="D44" s="21"/>
      <c r="E44" s="21"/>
      <c r="F44" s="21"/>
      <c r="G44" s="21"/>
      <c r="H44" s="21"/>
      <c r="I44" s="21"/>
      <c r="J44" s="21"/>
      <c r="K44" s="21"/>
      <c r="L44" s="21"/>
      <c r="M44" s="21"/>
      <c r="N44" s="21"/>
      <c r="O44" s="20"/>
      <c r="Q44" s="496" t="s">
        <v>1768</v>
      </c>
      <c r="R44" s="497"/>
      <c r="S44" s="496" t="s">
        <v>3564</v>
      </c>
      <c r="T44" s="502"/>
      <c r="U44" s="502"/>
      <c r="V44" s="502"/>
      <c r="W44" s="502"/>
      <c r="X44" s="502"/>
      <c r="Y44" s="497"/>
      <c r="Z44" s="505" t="s">
        <v>326</v>
      </c>
    </row>
    <row r="45" spans="1:26" x14ac:dyDescent="0.3">
      <c r="A45" s="18"/>
      <c r="B45" s="21"/>
      <c r="C45" s="21"/>
      <c r="D45" s="21"/>
      <c r="E45" s="21"/>
      <c r="F45" s="21"/>
      <c r="G45" s="21"/>
      <c r="H45" s="21"/>
      <c r="I45" s="21"/>
      <c r="J45" s="21"/>
      <c r="K45" s="21"/>
      <c r="L45" s="21"/>
      <c r="M45" s="21"/>
      <c r="N45" s="21"/>
      <c r="O45" s="20"/>
      <c r="Q45" s="498"/>
      <c r="R45" s="499"/>
      <c r="S45" s="498"/>
      <c r="T45" s="503"/>
      <c r="U45" s="503"/>
      <c r="V45" s="503"/>
      <c r="W45" s="503"/>
      <c r="X45" s="503"/>
      <c r="Y45" s="499"/>
      <c r="Z45" s="506"/>
    </row>
    <row r="46" spans="1:26" x14ac:dyDescent="0.3">
      <c r="A46" s="18"/>
      <c r="B46" s="21"/>
      <c r="C46" s="21"/>
      <c r="D46" s="21"/>
      <c r="E46" s="21"/>
      <c r="F46" s="21"/>
      <c r="G46" s="21"/>
      <c r="H46" s="21"/>
      <c r="I46" s="21"/>
      <c r="J46" s="21"/>
      <c r="K46" s="21"/>
      <c r="L46" s="21"/>
      <c r="M46" s="21"/>
      <c r="N46" s="21"/>
      <c r="O46" s="20"/>
      <c r="Q46" s="500"/>
      <c r="R46" s="501"/>
      <c r="S46" s="500"/>
      <c r="T46" s="504"/>
      <c r="U46" s="504"/>
      <c r="V46" s="504"/>
      <c r="W46" s="504"/>
      <c r="X46" s="504"/>
      <c r="Y46" s="501"/>
      <c r="Z46" s="507"/>
    </row>
    <row r="47" spans="1:26" ht="15" customHeight="1" x14ac:dyDescent="0.3">
      <c r="A47" s="18"/>
      <c r="B47" s="21"/>
      <c r="C47" s="21"/>
      <c r="D47" s="21"/>
      <c r="E47" s="21"/>
      <c r="F47" s="21"/>
      <c r="G47" s="21"/>
      <c r="H47" s="21"/>
      <c r="I47" s="21"/>
      <c r="J47" s="21"/>
      <c r="K47" s="21"/>
      <c r="L47" s="21"/>
      <c r="M47" s="21"/>
      <c r="N47" s="21"/>
      <c r="O47" s="20"/>
      <c r="Q47" s="496" t="s">
        <v>2604</v>
      </c>
      <c r="R47" s="497"/>
      <c r="S47" s="496" t="s">
        <v>3565</v>
      </c>
      <c r="T47" s="502"/>
      <c r="U47" s="502"/>
      <c r="V47" s="502"/>
      <c r="W47" s="502"/>
      <c r="X47" s="502"/>
      <c r="Y47" s="497"/>
      <c r="Z47" s="505" t="s">
        <v>326</v>
      </c>
    </row>
    <row r="48" spans="1:26" x14ac:dyDescent="0.3">
      <c r="A48" s="18"/>
      <c r="B48" s="21"/>
      <c r="C48" s="21"/>
      <c r="D48" s="21"/>
      <c r="E48" s="21"/>
      <c r="F48" s="21"/>
      <c r="G48" s="21"/>
      <c r="H48" s="21"/>
      <c r="I48" s="21"/>
      <c r="J48" s="21"/>
      <c r="K48" s="21"/>
      <c r="L48" s="21"/>
      <c r="M48" s="21"/>
      <c r="N48" s="21"/>
      <c r="O48" s="20"/>
      <c r="Q48" s="498"/>
      <c r="R48" s="499"/>
      <c r="S48" s="498"/>
      <c r="T48" s="503"/>
      <c r="U48" s="503"/>
      <c r="V48" s="503"/>
      <c r="W48" s="503"/>
      <c r="X48" s="503"/>
      <c r="Y48" s="499"/>
      <c r="Z48" s="506"/>
    </row>
    <row r="49" spans="1:26" x14ac:dyDescent="0.3">
      <c r="A49" s="18"/>
      <c r="B49" s="21"/>
      <c r="C49" s="21"/>
      <c r="D49" s="21"/>
      <c r="E49" s="21"/>
      <c r="F49" s="21"/>
      <c r="G49" s="21"/>
      <c r="H49" s="21"/>
      <c r="I49" s="21"/>
      <c r="J49" s="21"/>
      <c r="K49" s="21"/>
      <c r="L49" s="21"/>
      <c r="M49" s="21"/>
      <c r="N49" s="21"/>
      <c r="O49" s="20"/>
      <c r="Q49" s="500"/>
      <c r="R49" s="501"/>
      <c r="S49" s="500"/>
      <c r="T49" s="504"/>
      <c r="U49" s="504"/>
      <c r="V49" s="504"/>
      <c r="W49" s="504"/>
      <c r="X49" s="504"/>
      <c r="Y49" s="501"/>
      <c r="Z49" s="507"/>
    </row>
    <row r="50" spans="1:26" x14ac:dyDescent="0.3">
      <c r="A50" s="18"/>
      <c r="B50" s="21"/>
      <c r="C50" s="21"/>
      <c r="D50" s="21"/>
      <c r="E50" s="21"/>
      <c r="F50" s="21"/>
      <c r="G50" s="21"/>
      <c r="H50" s="21"/>
      <c r="I50" s="21"/>
      <c r="J50" s="21"/>
      <c r="K50" s="21"/>
      <c r="L50" s="21"/>
      <c r="M50" s="21"/>
      <c r="N50" s="21"/>
      <c r="O50" s="20"/>
      <c r="Q50" s="496" t="s">
        <v>2294</v>
      </c>
      <c r="R50" s="497"/>
      <c r="S50" s="496" t="s">
        <v>2296</v>
      </c>
      <c r="T50" s="502"/>
      <c r="U50" s="502"/>
      <c r="V50" s="502"/>
      <c r="W50" s="502"/>
      <c r="X50" s="502"/>
      <c r="Y50" s="497"/>
      <c r="Z50" s="505" t="s">
        <v>326</v>
      </c>
    </row>
    <row r="51" spans="1:26" ht="15" customHeight="1" x14ac:dyDescent="0.3">
      <c r="A51" s="18"/>
      <c r="B51" s="21"/>
      <c r="C51" s="21"/>
      <c r="D51" s="21"/>
      <c r="E51" s="21"/>
      <c r="F51" s="21"/>
      <c r="G51" s="21"/>
      <c r="H51" s="21"/>
      <c r="I51" s="21"/>
      <c r="J51" s="21"/>
      <c r="K51" s="21"/>
      <c r="L51" s="21"/>
      <c r="M51" s="21"/>
      <c r="N51" s="21"/>
      <c r="O51" s="20"/>
      <c r="Q51" s="498"/>
      <c r="R51" s="499"/>
      <c r="S51" s="498"/>
      <c r="T51" s="503"/>
      <c r="U51" s="503"/>
      <c r="V51" s="503"/>
      <c r="W51" s="503"/>
      <c r="X51" s="503"/>
      <c r="Y51" s="499"/>
      <c r="Z51" s="506"/>
    </row>
    <row r="52" spans="1:26" x14ac:dyDescent="0.3">
      <c r="A52" s="18"/>
      <c r="B52" s="21"/>
      <c r="C52" s="21"/>
      <c r="D52" s="21"/>
      <c r="E52" s="21"/>
      <c r="F52" s="21"/>
      <c r="G52" s="21"/>
      <c r="H52" s="21"/>
      <c r="I52" s="21"/>
      <c r="J52" s="21"/>
      <c r="K52" s="21"/>
      <c r="L52" s="21"/>
      <c r="M52" s="21"/>
      <c r="N52" s="21"/>
      <c r="O52" s="20"/>
      <c r="Q52" s="500"/>
      <c r="R52" s="501"/>
      <c r="S52" s="500"/>
      <c r="T52" s="504"/>
      <c r="U52" s="504"/>
      <c r="V52" s="504"/>
      <c r="W52" s="504"/>
      <c r="X52" s="504"/>
      <c r="Y52" s="501"/>
      <c r="Z52" s="507"/>
    </row>
    <row r="53" spans="1:26" x14ac:dyDescent="0.3">
      <c r="A53" s="18"/>
      <c r="B53" s="21"/>
      <c r="C53" s="21"/>
      <c r="D53" s="21"/>
      <c r="E53" s="21"/>
      <c r="F53" s="21"/>
      <c r="G53" s="21"/>
      <c r="H53" s="21"/>
      <c r="I53" s="21"/>
      <c r="J53" s="21"/>
      <c r="K53" s="21"/>
      <c r="L53" s="21"/>
      <c r="M53" s="21"/>
      <c r="N53" s="21"/>
      <c r="O53" s="20"/>
      <c r="Q53" s="496" t="s">
        <v>2302</v>
      </c>
      <c r="R53" s="497"/>
      <c r="S53" s="496" t="s">
        <v>2303</v>
      </c>
      <c r="T53" s="502"/>
      <c r="U53" s="502"/>
      <c r="V53" s="502"/>
      <c r="W53" s="502"/>
      <c r="X53" s="502"/>
      <c r="Y53" s="497"/>
      <c r="Z53" s="505" t="s">
        <v>326</v>
      </c>
    </row>
    <row r="54" spans="1:26" x14ac:dyDescent="0.3">
      <c r="A54" s="18"/>
      <c r="B54" s="21"/>
      <c r="C54" s="21"/>
      <c r="D54" s="21"/>
      <c r="E54" s="21"/>
      <c r="F54" s="21"/>
      <c r="G54" s="21"/>
      <c r="H54" s="21"/>
      <c r="I54" s="21"/>
      <c r="J54" s="21"/>
      <c r="K54" s="21"/>
      <c r="L54" s="21"/>
      <c r="M54" s="21"/>
      <c r="N54" s="21"/>
      <c r="O54" s="20"/>
      <c r="Q54" s="498"/>
      <c r="R54" s="499"/>
      <c r="S54" s="498"/>
      <c r="T54" s="503"/>
      <c r="U54" s="503"/>
      <c r="V54" s="503"/>
      <c r="W54" s="503"/>
      <c r="X54" s="503"/>
      <c r="Y54" s="499"/>
      <c r="Z54" s="506"/>
    </row>
    <row r="55" spans="1:26" x14ac:dyDescent="0.3">
      <c r="A55" s="18"/>
      <c r="B55" s="21"/>
      <c r="C55" s="21"/>
      <c r="D55" s="21"/>
      <c r="E55" s="21"/>
      <c r="F55" s="21"/>
      <c r="G55" s="21"/>
      <c r="H55" s="21"/>
      <c r="I55" s="21"/>
      <c r="J55" s="21"/>
      <c r="K55" s="21"/>
      <c r="L55" s="21"/>
      <c r="M55" s="21"/>
      <c r="N55" s="21"/>
      <c r="O55" s="20"/>
      <c r="Q55" s="500"/>
      <c r="R55" s="501"/>
      <c r="S55" s="500"/>
      <c r="T55" s="504"/>
      <c r="U55" s="504"/>
      <c r="V55" s="504"/>
      <c r="W55" s="504"/>
      <c r="X55" s="504"/>
      <c r="Y55" s="501"/>
      <c r="Z55" s="507"/>
    </row>
    <row r="56" spans="1:26" x14ac:dyDescent="0.3">
      <c r="A56" s="18"/>
      <c r="B56" s="21"/>
      <c r="C56" s="21"/>
      <c r="D56" s="21"/>
      <c r="E56" s="21"/>
      <c r="F56" s="21"/>
      <c r="G56" s="21"/>
      <c r="H56" s="21"/>
      <c r="I56" s="21"/>
      <c r="J56" s="21"/>
      <c r="K56" s="21"/>
      <c r="L56" s="21"/>
      <c r="M56" s="21"/>
      <c r="N56" s="21"/>
      <c r="O56" s="20"/>
      <c r="Q56" s="126" t="s">
        <v>328</v>
      </c>
    </row>
    <row r="57" spans="1:26" x14ac:dyDescent="0.3">
      <c r="A57" s="18"/>
      <c r="B57" s="21"/>
      <c r="C57" s="21"/>
      <c r="D57" s="21"/>
      <c r="E57" s="21"/>
      <c r="F57" s="21"/>
      <c r="G57" s="21"/>
      <c r="H57" s="21"/>
      <c r="I57" s="21"/>
      <c r="J57" s="21"/>
      <c r="K57" s="21"/>
      <c r="L57" s="21"/>
      <c r="M57" s="21"/>
      <c r="N57" s="21"/>
      <c r="O57" s="20"/>
    </row>
    <row r="58" spans="1:26" x14ac:dyDescent="0.3">
      <c r="A58" s="18"/>
      <c r="B58" s="21"/>
      <c r="C58" s="21"/>
      <c r="D58" s="21"/>
      <c r="E58" s="21"/>
      <c r="F58" s="21"/>
      <c r="G58" s="21"/>
      <c r="H58" s="21"/>
      <c r="I58" s="21"/>
      <c r="J58" s="21"/>
      <c r="K58" s="21"/>
      <c r="L58" s="21"/>
      <c r="M58" s="21"/>
      <c r="N58" s="21"/>
      <c r="O58" s="20"/>
    </row>
    <row r="59" spans="1:26" x14ac:dyDescent="0.3">
      <c r="A59" s="18"/>
      <c r="B59" s="21"/>
      <c r="C59" s="21"/>
      <c r="D59" s="21"/>
      <c r="E59" s="21"/>
      <c r="F59" s="21"/>
      <c r="G59" s="21"/>
      <c r="H59" s="21"/>
      <c r="I59" s="21"/>
      <c r="J59" s="21"/>
      <c r="K59" s="21"/>
      <c r="L59" s="21"/>
      <c r="M59" s="21"/>
      <c r="N59" s="21"/>
      <c r="O59" s="20"/>
      <c r="Q59" s="486" t="s">
        <v>3566</v>
      </c>
      <c r="R59" s="486"/>
      <c r="S59" s="486"/>
      <c r="T59" s="486"/>
      <c r="U59" s="486"/>
      <c r="V59" s="486"/>
      <c r="W59" s="486"/>
      <c r="X59" s="486"/>
      <c r="Y59" s="486"/>
      <c r="Z59" s="486"/>
    </row>
    <row r="60" spans="1:26" x14ac:dyDescent="0.3">
      <c r="A60" s="18"/>
      <c r="B60" s="21"/>
      <c r="C60" s="21"/>
      <c r="D60" s="21"/>
      <c r="E60" s="21"/>
      <c r="F60" s="21"/>
      <c r="G60" s="21"/>
      <c r="H60" s="21"/>
      <c r="I60" s="21"/>
      <c r="J60" s="21"/>
      <c r="K60" s="21"/>
      <c r="L60" s="21"/>
      <c r="M60" s="21"/>
      <c r="N60" s="21"/>
      <c r="O60" s="20"/>
      <c r="Q60" s="487" t="s">
        <v>333</v>
      </c>
      <c r="R60" s="487"/>
      <c r="S60" s="487" t="s">
        <v>2304</v>
      </c>
      <c r="T60" s="487"/>
      <c r="U60" s="487"/>
      <c r="V60" s="487"/>
      <c r="W60" s="487"/>
      <c r="X60" s="487"/>
      <c r="Y60" s="487"/>
      <c r="Z60" s="487"/>
    </row>
    <row r="61" spans="1:26" x14ac:dyDescent="0.3">
      <c r="A61" s="18"/>
      <c r="B61" s="21"/>
      <c r="C61" s="21"/>
      <c r="D61" s="21"/>
      <c r="E61" s="21"/>
      <c r="F61" s="21"/>
      <c r="G61" s="21"/>
      <c r="H61" s="21"/>
      <c r="I61" s="21"/>
      <c r="J61" s="21"/>
      <c r="K61" s="21"/>
      <c r="L61" s="21"/>
      <c r="M61" s="21"/>
      <c r="N61" s="21"/>
      <c r="O61" s="20"/>
      <c r="Q61" s="487"/>
      <c r="R61" s="487"/>
      <c r="S61" s="487"/>
      <c r="T61" s="487"/>
      <c r="U61" s="487"/>
      <c r="V61" s="487"/>
      <c r="W61" s="487"/>
      <c r="X61" s="487"/>
      <c r="Y61" s="487"/>
      <c r="Z61" s="487"/>
    </row>
    <row r="62" spans="1:26" x14ac:dyDescent="0.3">
      <c r="A62" s="18"/>
      <c r="B62" s="21"/>
      <c r="C62" s="21"/>
      <c r="D62" s="21"/>
      <c r="E62" s="21"/>
      <c r="F62" s="21"/>
      <c r="G62" s="21"/>
      <c r="H62" s="21"/>
      <c r="I62" s="21"/>
      <c r="J62" s="21"/>
      <c r="K62" s="21"/>
      <c r="L62" s="21"/>
      <c r="M62" s="21"/>
      <c r="N62" s="21"/>
      <c r="O62" s="20"/>
      <c r="Q62" s="487"/>
      <c r="R62" s="487"/>
      <c r="S62" s="487"/>
      <c r="T62" s="487"/>
      <c r="U62" s="487"/>
      <c r="V62" s="487"/>
      <c r="W62" s="487"/>
      <c r="X62" s="487"/>
      <c r="Y62" s="487"/>
      <c r="Z62" s="487"/>
    </row>
    <row r="63" spans="1:26" x14ac:dyDescent="0.3">
      <c r="A63" s="18"/>
      <c r="B63" s="21"/>
      <c r="C63" s="21"/>
      <c r="D63" s="21"/>
      <c r="E63" s="21"/>
      <c r="F63" s="21"/>
      <c r="G63" s="21"/>
      <c r="H63" s="21"/>
      <c r="I63" s="21"/>
      <c r="J63" s="21"/>
      <c r="K63" s="21"/>
      <c r="L63" s="21"/>
      <c r="M63" s="21"/>
      <c r="N63" s="21"/>
      <c r="O63" s="20"/>
      <c r="Q63" s="483" t="s">
        <v>323</v>
      </c>
      <c r="R63" s="483"/>
      <c r="S63" s="483" t="s">
        <v>1</v>
      </c>
      <c r="T63" s="483"/>
      <c r="U63" s="483"/>
      <c r="V63" s="483"/>
      <c r="W63" s="483"/>
      <c r="X63" s="483"/>
      <c r="Y63" s="483"/>
      <c r="Z63" s="85" t="s">
        <v>324</v>
      </c>
    </row>
    <row r="64" spans="1:26" x14ac:dyDescent="0.3">
      <c r="A64" s="18"/>
      <c r="B64" s="21"/>
      <c r="C64" s="21"/>
      <c r="D64" s="21"/>
      <c r="E64" s="21"/>
      <c r="F64" s="21"/>
      <c r="G64" s="21"/>
      <c r="H64" s="21"/>
      <c r="I64" s="21"/>
      <c r="J64" s="21"/>
      <c r="K64" s="21"/>
      <c r="L64" s="21"/>
      <c r="M64" s="21"/>
      <c r="N64" s="21"/>
      <c r="O64" s="20"/>
      <c r="Q64" s="484" t="s">
        <v>2309</v>
      </c>
      <c r="R64" s="484"/>
      <c r="S64" s="484" t="s">
        <v>2306</v>
      </c>
      <c r="T64" s="484"/>
      <c r="U64" s="484"/>
      <c r="V64" s="484"/>
      <c r="W64" s="484"/>
      <c r="X64" s="484"/>
      <c r="Y64" s="484"/>
      <c r="Z64" s="505" t="s">
        <v>326</v>
      </c>
    </row>
    <row r="65" spans="1:26" x14ac:dyDescent="0.3">
      <c r="A65" s="18"/>
      <c r="B65" s="21"/>
      <c r="C65" s="21"/>
      <c r="D65" s="21"/>
      <c r="E65" s="21"/>
      <c r="F65" s="21"/>
      <c r="G65" s="21"/>
      <c r="H65" s="21"/>
      <c r="I65" s="21"/>
      <c r="J65" s="21"/>
      <c r="K65" s="21"/>
      <c r="L65" s="21"/>
      <c r="M65" s="21"/>
      <c r="N65" s="21"/>
      <c r="O65" s="20"/>
      <c r="Q65" s="484"/>
      <c r="R65" s="484"/>
      <c r="S65" s="484"/>
      <c r="T65" s="484"/>
      <c r="U65" s="484"/>
      <c r="V65" s="484"/>
      <c r="W65" s="484"/>
      <c r="X65" s="484"/>
      <c r="Y65" s="484"/>
      <c r="Z65" s="506"/>
    </row>
    <row r="66" spans="1:26" x14ac:dyDescent="0.3">
      <c r="A66" s="18"/>
      <c r="B66" s="21"/>
      <c r="C66" s="21"/>
      <c r="D66" s="21"/>
      <c r="E66" s="21"/>
      <c r="F66" s="21"/>
      <c r="G66" s="21"/>
      <c r="H66" s="21"/>
      <c r="I66" s="21"/>
      <c r="J66" s="21"/>
      <c r="K66" s="21"/>
      <c r="L66" s="21"/>
      <c r="M66" s="21"/>
      <c r="N66" s="21"/>
      <c r="O66" s="20"/>
      <c r="Q66" s="484"/>
      <c r="R66" s="484"/>
      <c r="S66" s="484"/>
      <c r="T66" s="484"/>
      <c r="U66" s="484"/>
      <c r="V66" s="484"/>
      <c r="W66" s="484"/>
      <c r="X66" s="484"/>
      <c r="Y66" s="484"/>
      <c r="Z66" s="507"/>
    </row>
    <row r="67" spans="1:26" x14ac:dyDescent="0.3">
      <c r="A67" s="18"/>
      <c r="B67" s="21"/>
      <c r="C67" s="21"/>
      <c r="D67" s="21"/>
      <c r="E67" s="21"/>
      <c r="F67" s="21"/>
      <c r="G67" s="21"/>
      <c r="H67" s="21"/>
      <c r="I67" s="21"/>
      <c r="J67" s="21"/>
      <c r="K67" s="21"/>
      <c r="L67" s="21"/>
      <c r="M67" s="21"/>
      <c r="N67" s="21"/>
      <c r="O67" s="20"/>
      <c r="Q67" s="126" t="s">
        <v>328</v>
      </c>
    </row>
    <row r="68" spans="1:26" x14ac:dyDescent="0.3">
      <c r="A68" s="18"/>
      <c r="B68" s="21"/>
      <c r="C68" s="21"/>
      <c r="D68" s="21"/>
      <c r="E68" s="21"/>
      <c r="F68" s="21"/>
      <c r="G68" s="21"/>
      <c r="H68" s="21"/>
      <c r="I68" s="21"/>
      <c r="J68" s="21"/>
      <c r="K68" s="21"/>
      <c r="L68" s="21"/>
      <c r="M68" s="21"/>
      <c r="N68" s="21"/>
      <c r="O68" s="20"/>
    </row>
    <row r="69" spans="1:26" x14ac:dyDescent="0.3">
      <c r="A69" s="18"/>
      <c r="B69" s="21"/>
      <c r="C69" s="21"/>
      <c r="D69" s="21"/>
      <c r="E69" s="21"/>
      <c r="F69" s="21"/>
      <c r="G69" s="21"/>
      <c r="H69" s="21"/>
      <c r="I69" s="21"/>
      <c r="J69" s="21"/>
      <c r="K69" s="21"/>
      <c r="L69" s="21"/>
      <c r="M69" s="21"/>
      <c r="N69" s="21"/>
      <c r="O69" s="20"/>
    </row>
    <row r="70" spans="1:26" x14ac:dyDescent="0.3">
      <c r="A70" s="18"/>
      <c r="B70" s="21"/>
      <c r="C70" s="21"/>
      <c r="D70" s="21"/>
      <c r="E70" s="21"/>
      <c r="F70" s="21"/>
      <c r="G70" s="21"/>
      <c r="H70" s="21"/>
      <c r="I70" s="21"/>
      <c r="J70" s="21"/>
      <c r="K70" s="21"/>
      <c r="L70" s="21"/>
      <c r="M70" s="21"/>
      <c r="N70" s="21"/>
      <c r="O70" s="20"/>
    </row>
    <row r="71" spans="1:26" x14ac:dyDescent="0.3">
      <c r="A71" s="18"/>
      <c r="B71" s="21"/>
      <c r="C71" s="21"/>
      <c r="D71" s="21"/>
      <c r="E71" s="21"/>
      <c r="F71" s="21"/>
      <c r="G71" s="21"/>
      <c r="H71" s="21"/>
      <c r="I71" s="21"/>
      <c r="J71" s="21"/>
      <c r="K71" s="21"/>
      <c r="L71" s="21"/>
      <c r="M71" s="21"/>
      <c r="N71" s="21"/>
      <c r="O71" s="20"/>
    </row>
    <row r="72" spans="1:26" x14ac:dyDescent="0.3">
      <c r="A72" s="18"/>
      <c r="B72" s="21"/>
      <c r="C72" s="21"/>
      <c r="D72" s="21"/>
      <c r="E72" s="21"/>
      <c r="F72" s="21"/>
      <c r="G72" s="21"/>
      <c r="H72" s="21"/>
      <c r="I72" s="21"/>
      <c r="J72" s="21"/>
      <c r="K72" s="21"/>
      <c r="L72" s="21"/>
      <c r="M72" s="21"/>
      <c r="N72" s="21"/>
      <c r="O72" s="20"/>
    </row>
    <row r="73" spans="1:26" x14ac:dyDescent="0.3">
      <c r="A73" s="18"/>
      <c r="B73" s="21"/>
      <c r="C73" s="21"/>
      <c r="D73" s="21"/>
      <c r="E73" s="21"/>
      <c r="F73" s="21"/>
      <c r="G73" s="21"/>
      <c r="H73" s="21"/>
      <c r="I73" s="21"/>
      <c r="J73" s="21"/>
      <c r="K73" s="21"/>
      <c r="L73" s="21"/>
      <c r="M73" s="21"/>
      <c r="N73" s="21"/>
      <c r="O73" s="20"/>
    </row>
    <row r="74" spans="1:26" x14ac:dyDescent="0.3">
      <c r="A74" s="18"/>
      <c r="B74" s="21"/>
      <c r="C74" s="21"/>
      <c r="D74" s="21"/>
      <c r="E74" s="21"/>
      <c r="F74" s="21"/>
      <c r="G74" s="21"/>
      <c r="H74" s="21"/>
      <c r="I74" s="21"/>
      <c r="J74" s="21"/>
      <c r="K74" s="21"/>
      <c r="L74" s="21"/>
      <c r="M74" s="21"/>
      <c r="N74" s="21"/>
      <c r="O74" s="20"/>
    </row>
    <row r="75" spans="1:26" x14ac:dyDescent="0.3">
      <c r="A75" s="18"/>
      <c r="B75" s="21"/>
      <c r="C75" s="21"/>
      <c r="D75" s="21"/>
      <c r="E75" s="21"/>
      <c r="F75" s="21"/>
      <c r="G75" s="21"/>
      <c r="H75" s="21"/>
      <c r="I75" s="21"/>
      <c r="J75" s="21"/>
      <c r="K75" s="21"/>
      <c r="L75" s="21"/>
      <c r="M75" s="21"/>
      <c r="N75" s="21"/>
      <c r="O75" s="20"/>
    </row>
    <row r="76" spans="1:26" x14ac:dyDescent="0.3">
      <c r="A76" s="18"/>
      <c r="B76" s="21"/>
      <c r="C76" s="21"/>
      <c r="D76" s="21"/>
      <c r="E76" s="21"/>
      <c r="F76" s="21"/>
      <c r="G76" s="21"/>
      <c r="H76" s="21"/>
      <c r="I76" s="21"/>
      <c r="J76" s="21"/>
      <c r="K76" s="21"/>
      <c r="L76" s="21"/>
      <c r="M76" s="21"/>
      <c r="N76" s="21"/>
      <c r="O76" s="20"/>
    </row>
    <row r="77" spans="1:26" x14ac:dyDescent="0.3">
      <c r="A77" s="18"/>
      <c r="B77" s="21"/>
      <c r="C77" s="21"/>
      <c r="D77" s="21"/>
      <c r="E77" s="21"/>
      <c r="F77" s="21"/>
      <c r="G77" s="21"/>
      <c r="H77" s="21"/>
      <c r="I77" s="21"/>
      <c r="J77" s="21"/>
      <c r="K77" s="21"/>
      <c r="L77" s="21"/>
      <c r="M77" s="21"/>
      <c r="N77" s="21"/>
      <c r="O77" s="20"/>
    </row>
    <row r="78" spans="1:26" x14ac:dyDescent="0.3">
      <c r="A78" s="18"/>
      <c r="B78" s="21"/>
      <c r="C78" s="21"/>
      <c r="D78" s="21"/>
      <c r="E78" s="21"/>
      <c r="F78" s="21"/>
      <c r="G78" s="21"/>
      <c r="H78" s="21"/>
      <c r="I78" s="21"/>
      <c r="J78" s="21"/>
      <c r="K78" s="21"/>
      <c r="L78" s="21"/>
      <c r="M78" s="21"/>
      <c r="N78" s="21"/>
      <c r="O78" s="20"/>
    </row>
    <row r="79" spans="1:26" x14ac:dyDescent="0.3">
      <c r="A79" s="18"/>
      <c r="B79" s="21"/>
      <c r="C79" s="21"/>
      <c r="D79" s="21"/>
      <c r="E79" s="21"/>
      <c r="F79" s="21"/>
      <c r="G79" s="21"/>
      <c r="H79" s="21"/>
      <c r="I79" s="21"/>
      <c r="J79" s="21"/>
      <c r="K79" s="21"/>
      <c r="L79" s="21"/>
      <c r="M79" s="21"/>
      <c r="N79" s="21"/>
      <c r="O79" s="20"/>
    </row>
    <row r="80" spans="1:26" x14ac:dyDescent="0.3">
      <c r="A80" s="18"/>
      <c r="B80" s="21"/>
      <c r="C80" s="21"/>
      <c r="D80" s="21"/>
      <c r="E80" s="21"/>
      <c r="F80" s="21"/>
      <c r="G80" s="21"/>
      <c r="H80" s="21"/>
      <c r="I80" s="21"/>
      <c r="J80" s="21"/>
      <c r="K80" s="21"/>
      <c r="L80" s="21"/>
      <c r="M80" s="21"/>
      <c r="N80" s="21"/>
      <c r="O80" s="20"/>
    </row>
    <row r="81" spans="1:15" x14ac:dyDescent="0.3">
      <c r="A81" s="18"/>
      <c r="B81" s="21"/>
      <c r="C81" s="21"/>
      <c r="D81" s="21"/>
      <c r="E81" s="21"/>
      <c r="F81" s="21"/>
      <c r="G81" s="21"/>
      <c r="H81" s="21"/>
      <c r="I81" s="21"/>
      <c r="J81" s="21"/>
      <c r="K81" s="21"/>
      <c r="L81" s="21"/>
      <c r="M81" s="21"/>
      <c r="N81" s="21"/>
      <c r="O81" s="20"/>
    </row>
    <row r="82" spans="1:15" x14ac:dyDescent="0.3">
      <c r="A82" s="18"/>
      <c r="B82" s="21"/>
      <c r="C82" s="21"/>
      <c r="D82" s="21"/>
      <c r="E82" s="21"/>
      <c r="F82" s="21"/>
      <c r="G82" s="21"/>
      <c r="H82" s="21"/>
      <c r="I82" s="21"/>
      <c r="J82" s="21"/>
      <c r="K82" s="21"/>
      <c r="L82" s="21"/>
      <c r="M82" s="21"/>
      <c r="N82" s="21"/>
      <c r="O82" s="20"/>
    </row>
    <row r="83" spans="1:15" x14ac:dyDescent="0.3">
      <c r="A83" s="18"/>
      <c r="B83" s="21"/>
      <c r="C83" s="21"/>
      <c r="D83" s="21"/>
      <c r="E83" s="21"/>
      <c r="F83" s="21"/>
      <c r="G83" s="21"/>
      <c r="H83" s="21"/>
      <c r="I83" s="21"/>
      <c r="J83" s="21"/>
      <c r="K83" s="21"/>
      <c r="L83" s="21"/>
      <c r="M83" s="21"/>
      <c r="N83" s="21"/>
      <c r="O83" s="20"/>
    </row>
    <row r="84" spans="1:15" x14ac:dyDescent="0.3">
      <c r="A84" s="18"/>
      <c r="B84" s="21"/>
      <c r="C84" s="21"/>
      <c r="D84" s="21"/>
      <c r="E84" s="21"/>
      <c r="F84" s="21"/>
      <c r="G84" s="21"/>
      <c r="H84" s="21"/>
      <c r="I84" s="21"/>
      <c r="J84" s="21"/>
      <c r="K84" s="21"/>
      <c r="L84" s="21"/>
      <c r="M84" s="21"/>
      <c r="N84" s="21"/>
      <c r="O84" s="20"/>
    </row>
    <row r="85" spans="1:15" x14ac:dyDescent="0.3">
      <c r="A85" s="18"/>
      <c r="B85" s="21"/>
      <c r="C85" s="179" t="s">
        <v>3566</v>
      </c>
      <c r="D85" s="21"/>
      <c r="E85" s="21"/>
      <c r="F85" s="21"/>
      <c r="G85" s="21"/>
      <c r="H85" s="21"/>
      <c r="I85" s="21"/>
      <c r="J85" s="21"/>
      <c r="K85" s="21"/>
      <c r="L85" s="21"/>
      <c r="M85" s="21"/>
      <c r="N85" s="21"/>
      <c r="O85" s="20"/>
    </row>
    <row r="86" spans="1:15" x14ac:dyDescent="0.3">
      <c r="A86" s="18"/>
      <c r="B86" s="21"/>
      <c r="C86" s="189" t="s">
        <v>3567</v>
      </c>
      <c r="D86" s="21"/>
      <c r="E86" s="21"/>
      <c r="F86" s="21"/>
      <c r="G86" s="21"/>
      <c r="H86" s="21"/>
      <c r="I86" s="21"/>
      <c r="J86" s="21"/>
      <c r="K86" s="21"/>
      <c r="L86" s="21"/>
      <c r="M86" s="21"/>
      <c r="N86" s="21"/>
      <c r="O86" s="20"/>
    </row>
    <row r="87" spans="1:15" x14ac:dyDescent="0.3">
      <c r="A87" s="18"/>
      <c r="B87" s="21"/>
      <c r="C87" s="21"/>
      <c r="D87" s="21"/>
      <c r="E87" s="21"/>
      <c r="F87" s="21"/>
      <c r="G87" s="21"/>
      <c r="H87" s="21"/>
      <c r="I87" s="21"/>
      <c r="J87" s="21"/>
      <c r="K87" s="21"/>
      <c r="L87" s="21"/>
      <c r="M87" s="21"/>
      <c r="N87" s="21"/>
      <c r="O87" s="20"/>
    </row>
    <row r="88" spans="1:15" x14ac:dyDescent="0.3">
      <c r="A88" s="18"/>
      <c r="B88" s="21"/>
      <c r="C88" s="21"/>
      <c r="D88" s="21"/>
      <c r="E88" s="21"/>
      <c r="F88" s="21"/>
      <c r="G88" s="21"/>
      <c r="H88" s="21"/>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ht="15" thickBot="1" x14ac:dyDescent="0.35">
      <c r="A90" s="22"/>
      <c r="B90" s="23"/>
      <c r="C90" s="23"/>
      <c r="D90" s="23"/>
      <c r="E90" s="23"/>
      <c r="F90" s="23"/>
      <c r="G90" s="23"/>
      <c r="H90" s="23"/>
      <c r="I90" s="23"/>
      <c r="J90" s="23"/>
      <c r="K90" s="23"/>
      <c r="L90" s="23"/>
      <c r="M90" s="23"/>
      <c r="N90" s="23"/>
      <c r="O90" s="24"/>
    </row>
  </sheetData>
  <mergeCells count="61">
    <mergeCell ref="Q3:Z3"/>
    <mergeCell ref="Q4:R6"/>
    <mergeCell ref="S4:Z6"/>
    <mergeCell ref="Q7:R7"/>
    <mergeCell ref="S7:Y7"/>
    <mergeCell ref="Q44:R46"/>
    <mergeCell ref="S44:Y46"/>
    <mergeCell ref="Z44:Z46"/>
    <mergeCell ref="Q47:R49"/>
    <mergeCell ref="Q8:R10"/>
    <mergeCell ref="S8:Y10"/>
    <mergeCell ref="Z8:Z10"/>
    <mergeCell ref="Q11:R13"/>
    <mergeCell ref="S11:Y13"/>
    <mergeCell ref="Z11:Z13"/>
    <mergeCell ref="Q32:R34"/>
    <mergeCell ref="S32:Y34"/>
    <mergeCell ref="Z32:Z34"/>
    <mergeCell ref="Q29:R31"/>
    <mergeCell ref="S29:Y31"/>
    <mergeCell ref="Z29:Z31"/>
    <mergeCell ref="Q35:R37"/>
    <mergeCell ref="S35:Y37"/>
    <mergeCell ref="Q41:R43"/>
    <mergeCell ref="S41:Y43"/>
    <mergeCell ref="Z41:Z43"/>
    <mergeCell ref="Q38:R40"/>
    <mergeCell ref="S38:Y40"/>
    <mergeCell ref="Z38:Z40"/>
    <mergeCell ref="Z35:Z37"/>
    <mergeCell ref="Q14:R16"/>
    <mergeCell ref="S14:Y16"/>
    <mergeCell ref="Z14:Z16"/>
    <mergeCell ref="Q26:R28"/>
    <mergeCell ref="S26:Y28"/>
    <mergeCell ref="Z26:Z28"/>
    <mergeCell ref="S20:Y22"/>
    <mergeCell ref="Q17:R19"/>
    <mergeCell ref="S17:Y19"/>
    <mergeCell ref="Z17:Z19"/>
    <mergeCell ref="Q20:R22"/>
    <mergeCell ref="Z20:Z22"/>
    <mergeCell ref="Q23:R25"/>
    <mergeCell ref="S23:Y25"/>
    <mergeCell ref="Z23:Z25"/>
    <mergeCell ref="S47:Y49"/>
    <mergeCell ref="Z47:Z49"/>
    <mergeCell ref="Q64:R66"/>
    <mergeCell ref="S64:Y66"/>
    <mergeCell ref="Z64:Z66"/>
    <mergeCell ref="Q63:R63"/>
    <mergeCell ref="S63:Y63"/>
    <mergeCell ref="Q53:R55"/>
    <mergeCell ref="S53:Y55"/>
    <mergeCell ref="Z53:Z55"/>
    <mergeCell ref="Q59:Z59"/>
    <mergeCell ref="Q60:R62"/>
    <mergeCell ref="S60:Z62"/>
    <mergeCell ref="Q50:R52"/>
    <mergeCell ref="S50:Y52"/>
    <mergeCell ref="Z50:Z52"/>
  </mergeCells>
  <pageMargins left="0.7" right="0.7" top="0.75" bottom="0.75" header="0.3" footer="0.3"/>
  <pageSetup orientation="portrait" verticalDpi="0" r:id="rId1"/>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7"/>
  <dimension ref="A1:Z66"/>
  <sheetViews>
    <sheetView workbookViewId="0">
      <pane ySplit="1" topLeftCell="A2" activePane="bottomLeft" state="frozen"/>
      <selection activeCell="C33" sqref="C33"/>
      <selection pane="bottomLeft" activeCell="A2" sqref="A2"/>
    </sheetView>
  </sheetViews>
  <sheetFormatPr defaultRowHeight="14.4" x14ac:dyDescent="0.3"/>
  <cols>
    <col min="2" max="2" width="21.21875" customWidth="1"/>
    <col min="3" max="3" width="23.21875" customWidth="1"/>
    <col min="4" max="6" width="11.21875" customWidth="1"/>
    <col min="7" max="7" width="32.77734375" bestFit="1" customWidth="1"/>
    <col min="10" max="11" width="11.77734375" customWidth="1"/>
    <col min="17" max="18" width="9.77734375" customWidth="1"/>
    <col min="19" max="25" width="13.21875" customWidth="1"/>
  </cols>
  <sheetData>
    <row r="1" spans="1:26" ht="34.5" customHeight="1" thickBot="1" x14ac:dyDescent="0.35">
      <c r="A1" s="292" t="s">
        <v>1580</v>
      </c>
      <c r="B1" s="473" t="e" vm="1">
        <v>#VALUE!</v>
      </c>
      <c r="C1" s="8" t="s">
        <v>1329</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3568</v>
      </c>
      <c r="R3" s="486"/>
      <c r="S3" s="486"/>
      <c r="T3" s="486"/>
      <c r="U3" s="486"/>
      <c r="V3" s="486"/>
      <c r="W3" s="486"/>
      <c r="X3" s="486"/>
      <c r="Y3" s="486"/>
      <c r="Z3" s="486"/>
    </row>
    <row r="4" spans="1:26" x14ac:dyDescent="0.3">
      <c r="A4" s="18"/>
      <c r="B4" s="483" t="s">
        <v>1339</v>
      </c>
      <c r="C4" s="483"/>
      <c r="D4" s="483"/>
      <c r="E4" s="21"/>
      <c r="F4" s="21"/>
      <c r="G4" s="179" t="s">
        <v>3568</v>
      </c>
      <c r="H4" s="21"/>
      <c r="I4" s="21"/>
      <c r="J4" s="21"/>
      <c r="K4" s="159"/>
      <c r="L4" s="21"/>
      <c r="M4" s="21"/>
      <c r="N4" s="21"/>
      <c r="O4" s="20"/>
      <c r="Q4" s="487" t="s">
        <v>333</v>
      </c>
      <c r="R4" s="487"/>
      <c r="S4" s="487" t="s">
        <v>3569</v>
      </c>
      <c r="T4" s="487"/>
      <c r="U4" s="487"/>
      <c r="V4" s="487"/>
      <c r="W4" s="487"/>
      <c r="X4" s="487"/>
      <c r="Y4" s="487"/>
      <c r="Z4" s="487"/>
    </row>
    <row r="5" spans="1:26" x14ac:dyDescent="0.3">
      <c r="A5" s="18"/>
      <c r="B5" s="3" t="s">
        <v>246</v>
      </c>
      <c r="C5" s="3" t="s">
        <v>1340</v>
      </c>
      <c r="D5" s="3" t="s">
        <v>1341</v>
      </c>
      <c r="E5" s="21"/>
      <c r="F5" s="21"/>
      <c r="G5" s="189" t="s">
        <v>3570</v>
      </c>
      <c r="H5" s="21"/>
      <c r="I5" s="21"/>
      <c r="J5" s="21"/>
      <c r="K5" s="159"/>
      <c r="L5" s="21"/>
      <c r="M5" s="21"/>
      <c r="N5" s="21"/>
      <c r="O5" s="20"/>
      <c r="Q5" s="487"/>
      <c r="R5" s="487"/>
      <c r="S5" s="487"/>
      <c r="T5" s="487"/>
      <c r="U5" s="487"/>
      <c r="V5" s="487"/>
      <c r="W5" s="487"/>
      <c r="X5" s="487"/>
      <c r="Y5" s="487"/>
      <c r="Z5" s="487"/>
    </row>
    <row r="6" spans="1:26" x14ac:dyDescent="0.3">
      <c r="A6" s="18"/>
      <c r="B6" s="30" t="s">
        <v>1342</v>
      </c>
      <c r="C6" s="36">
        <v>30</v>
      </c>
      <c r="D6" s="36">
        <v>120</v>
      </c>
      <c r="E6" s="21"/>
      <c r="F6" s="21"/>
      <c r="G6" s="21"/>
      <c r="H6" s="21"/>
      <c r="I6" s="21"/>
      <c r="J6" s="21"/>
      <c r="K6" s="21"/>
      <c r="L6" s="21"/>
      <c r="M6" s="21"/>
      <c r="N6" s="21"/>
      <c r="O6" s="20"/>
      <c r="Q6" s="487"/>
      <c r="R6" s="487"/>
      <c r="S6" s="487"/>
      <c r="T6" s="487"/>
      <c r="U6" s="487"/>
      <c r="V6" s="487"/>
      <c r="W6" s="487"/>
      <c r="X6" s="487"/>
      <c r="Y6" s="487"/>
      <c r="Z6" s="487"/>
    </row>
    <row r="7" spans="1:26" x14ac:dyDescent="0.3">
      <c r="A7" s="18"/>
      <c r="B7" s="30" t="s">
        <v>1343</v>
      </c>
      <c r="C7" s="36">
        <v>1</v>
      </c>
      <c r="D7" s="36">
        <v>10</v>
      </c>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30" t="s">
        <v>1344</v>
      </c>
      <c r="C8" s="36">
        <v>1</v>
      </c>
      <c r="D8" s="36">
        <v>30</v>
      </c>
      <c r="E8" s="21"/>
      <c r="F8" s="21"/>
      <c r="G8" s="21"/>
      <c r="H8" s="21"/>
      <c r="I8" s="21"/>
      <c r="J8" s="21"/>
      <c r="K8" s="21"/>
      <c r="L8" s="21"/>
      <c r="M8" s="21"/>
      <c r="N8" s="21"/>
      <c r="O8" s="20"/>
      <c r="Q8" s="484" t="s">
        <v>1330</v>
      </c>
      <c r="R8" s="484"/>
      <c r="S8" s="484" t="s">
        <v>1335</v>
      </c>
      <c r="T8" s="484"/>
      <c r="U8" s="484"/>
      <c r="V8" s="484"/>
      <c r="W8" s="484"/>
      <c r="X8" s="484"/>
      <c r="Y8" s="484"/>
      <c r="Z8" s="505" t="s">
        <v>326</v>
      </c>
    </row>
    <row r="9" spans="1:26" x14ac:dyDescent="0.3">
      <c r="A9" s="18"/>
      <c r="B9" s="21"/>
      <c r="C9" s="21"/>
      <c r="D9" s="21"/>
      <c r="E9" s="21"/>
      <c r="F9" s="21"/>
      <c r="G9" s="21"/>
      <c r="H9" s="21"/>
      <c r="I9" s="21"/>
      <c r="J9" s="21"/>
      <c r="K9" s="21"/>
      <c r="L9" s="21"/>
      <c r="M9" s="21"/>
      <c r="N9" s="21"/>
      <c r="O9" s="20"/>
      <c r="Q9" s="484"/>
      <c r="R9" s="484"/>
      <c r="S9" s="484"/>
      <c r="T9" s="484"/>
      <c r="U9" s="484"/>
      <c r="V9" s="484"/>
      <c r="W9" s="484"/>
      <c r="X9" s="484"/>
      <c r="Y9" s="484"/>
      <c r="Z9" s="506"/>
    </row>
    <row r="10" spans="1:26" x14ac:dyDescent="0.3">
      <c r="A10" s="18"/>
      <c r="B10" s="21"/>
      <c r="C10" s="21"/>
      <c r="D10" s="21"/>
      <c r="E10" s="21"/>
      <c r="F10" s="21"/>
      <c r="G10" s="21"/>
      <c r="H10" s="21"/>
      <c r="I10" s="21"/>
      <c r="J10" s="21"/>
      <c r="K10" s="21"/>
      <c r="L10" s="21"/>
      <c r="M10" s="21"/>
      <c r="N10" s="21"/>
      <c r="O10" s="20"/>
      <c r="Q10" s="484"/>
      <c r="R10" s="484"/>
      <c r="S10" s="484"/>
      <c r="T10" s="484"/>
      <c r="U10" s="484"/>
      <c r="V10" s="484"/>
      <c r="W10" s="484"/>
      <c r="X10" s="484"/>
      <c r="Y10" s="484"/>
      <c r="Z10" s="507"/>
    </row>
    <row r="11" spans="1:26" ht="15" customHeight="1" x14ac:dyDescent="0.3">
      <c r="A11" s="18"/>
      <c r="B11" s="21"/>
      <c r="C11" s="21"/>
      <c r="D11" s="21"/>
      <c r="E11" s="21"/>
      <c r="F11" s="21"/>
      <c r="G11" s="21"/>
      <c r="H11" s="21"/>
      <c r="I11" s="21"/>
      <c r="J11" s="21"/>
      <c r="K11" s="21"/>
      <c r="L11" s="21"/>
      <c r="M11" s="21"/>
      <c r="N11" s="21"/>
      <c r="O11" s="20"/>
      <c r="Q11" s="484" t="s">
        <v>1331</v>
      </c>
      <c r="R11" s="484"/>
      <c r="S11" s="484" t="s">
        <v>1345</v>
      </c>
      <c r="T11" s="484"/>
      <c r="U11" s="484"/>
      <c r="V11" s="484"/>
      <c r="W11" s="484"/>
      <c r="X11" s="484"/>
      <c r="Y11" s="484"/>
      <c r="Z11" s="505" t="s">
        <v>326</v>
      </c>
    </row>
    <row r="12" spans="1:26" x14ac:dyDescent="0.3">
      <c r="A12" s="18"/>
      <c r="B12" s="21"/>
      <c r="C12" s="21"/>
      <c r="D12" s="21"/>
      <c r="E12" s="21"/>
      <c r="F12" s="21"/>
      <c r="G12" s="21"/>
      <c r="H12" s="21"/>
      <c r="I12" s="21"/>
      <c r="J12" s="21"/>
      <c r="K12" s="21"/>
      <c r="L12" s="21"/>
      <c r="M12" s="21"/>
      <c r="N12" s="21"/>
      <c r="O12" s="20"/>
      <c r="Q12" s="484"/>
      <c r="R12" s="484"/>
      <c r="S12" s="484"/>
      <c r="T12" s="484"/>
      <c r="U12" s="484"/>
      <c r="V12" s="484"/>
      <c r="W12" s="484"/>
      <c r="X12" s="484"/>
      <c r="Y12" s="484"/>
      <c r="Z12" s="506"/>
    </row>
    <row r="13" spans="1:26" x14ac:dyDescent="0.3">
      <c r="A13" s="18"/>
      <c r="B13" s="21"/>
      <c r="C13" s="21"/>
      <c r="D13" s="21"/>
      <c r="E13" s="21"/>
      <c r="F13" s="21"/>
      <c r="G13" s="21"/>
      <c r="H13" s="21"/>
      <c r="I13" s="21"/>
      <c r="J13" s="21"/>
      <c r="K13" s="21"/>
      <c r="L13" s="21"/>
      <c r="M13" s="21"/>
      <c r="N13" s="21"/>
      <c r="O13" s="20"/>
      <c r="Q13" s="484"/>
      <c r="R13" s="484"/>
      <c r="S13" s="484"/>
      <c r="T13" s="484"/>
      <c r="U13" s="484"/>
      <c r="V13" s="484"/>
      <c r="W13" s="484"/>
      <c r="X13" s="484"/>
      <c r="Y13" s="484"/>
      <c r="Z13" s="507"/>
    </row>
    <row r="14" spans="1:26" x14ac:dyDescent="0.3">
      <c r="A14" s="18"/>
      <c r="B14" s="21"/>
      <c r="C14" s="21"/>
      <c r="D14" s="21"/>
      <c r="E14" s="21"/>
      <c r="F14" s="21"/>
      <c r="G14" s="21"/>
      <c r="H14" s="21"/>
      <c r="I14" s="21"/>
      <c r="J14" s="21"/>
      <c r="K14" s="21"/>
      <c r="L14" s="21"/>
      <c r="M14" s="21"/>
      <c r="N14" s="21"/>
      <c r="O14" s="20"/>
      <c r="Q14" s="496" t="s">
        <v>1332</v>
      </c>
      <c r="R14" s="497"/>
      <c r="S14" s="496" t="s">
        <v>1337</v>
      </c>
      <c r="T14" s="502"/>
      <c r="U14" s="502"/>
      <c r="V14" s="502"/>
      <c r="W14" s="502"/>
      <c r="X14" s="502"/>
      <c r="Y14" s="497"/>
      <c r="Z14" s="505" t="s">
        <v>326</v>
      </c>
    </row>
    <row r="15" spans="1:26" x14ac:dyDescent="0.3">
      <c r="A15" s="18"/>
      <c r="B15" s="21"/>
      <c r="C15" s="21"/>
      <c r="D15" s="2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21"/>
      <c r="C16" s="21"/>
      <c r="D16" s="21"/>
      <c r="E16" s="21"/>
      <c r="F16" s="21"/>
      <c r="G16" s="21"/>
      <c r="H16" s="21"/>
      <c r="I16" s="21"/>
      <c r="J16" s="21"/>
      <c r="K16" s="21"/>
      <c r="L16" s="21"/>
      <c r="M16" s="21"/>
      <c r="N16" s="21"/>
      <c r="O16" s="20"/>
      <c r="Q16" s="500"/>
      <c r="R16" s="501"/>
      <c r="S16" s="500"/>
      <c r="T16" s="504"/>
      <c r="U16" s="504"/>
      <c r="V16" s="504"/>
      <c r="W16" s="504"/>
      <c r="X16" s="504"/>
      <c r="Y16" s="501"/>
      <c r="Z16" s="507"/>
    </row>
    <row r="17" spans="1:26" x14ac:dyDescent="0.3">
      <c r="A17" s="18"/>
      <c r="B17" s="21"/>
      <c r="C17" s="21"/>
      <c r="D17" s="21"/>
      <c r="E17" s="21"/>
      <c r="F17" s="21"/>
      <c r="G17" s="21"/>
      <c r="H17" s="21"/>
      <c r="I17" s="21"/>
      <c r="J17" s="21"/>
      <c r="K17" s="21"/>
      <c r="L17" s="21"/>
      <c r="M17" s="21"/>
      <c r="N17" s="21"/>
      <c r="O17" s="20"/>
      <c r="Q17" s="496" t="s">
        <v>1338</v>
      </c>
      <c r="R17" s="497"/>
      <c r="S17" s="496" t="s">
        <v>3869</v>
      </c>
      <c r="T17" s="502"/>
      <c r="U17" s="502"/>
      <c r="V17" s="502"/>
      <c r="W17" s="502"/>
      <c r="X17" s="502"/>
      <c r="Y17" s="497"/>
      <c r="Z17" s="505" t="s">
        <v>326</v>
      </c>
    </row>
    <row r="18" spans="1:26" x14ac:dyDescent="0.3">
      <c r="A18" s="18"/>
      <c r="B18" s="21"/>
      <c r="C18" s="21"/>
      <c r="D18" s="21"/>
      <c r="E18" s="21"/>
      <c r="F18" s="21"/>
      <c r="G18" s="21"/>
      <c r="H18" s="21"/>
      <c r="I18" s="21"/>
      <c r="J18" s="21"/>
      <c r="K18" s="21"/>
      <c r="L18" s="21"/>
      <c r="M18" s="21"/>
      <c r="N18" s="21"/>
      <c r="O18" s="20"/>
      <c r="Q18" s="498"/>
      <c r="R18" s="499"/>
      <c r="S18" s="498"/>
      <c r="T18" s="503"/>
      <c r="U18" s="503"/>
      <c r="V18" s="503"/>
      <c r="W18" s="503"/>
      <c r="X18" s="503"/>
      <c r="Y18" s="499"/>
      <c r="Z18" s="506"/>
    </row>
    <row r="19" spans="1:26" x14ac:dyDescent="0.3">
      <c r="A19" s="18"/>
      <c r="B19" s="21"/>
      <c r="C19" s="21"/>
      <c r="D19" s="21"/>
      <c r="E19" s="21"/>
      <c r="F19" s="21"/>
      <c r="G19" s="21"/>
      <c r="H19" s="21"/>
      <c r="I19" s="21"/>
      <c r="J19" s="21"/>
      <c r="K19" s="21"/>
      <c r="L19" s="21"/>
      <c r="M19" s="21"/>
      <c r="N19" s="21"/>
      <c r="O19" s="20"/>
      <c r="Q19" s="500"/>
      <c r="R19" s="501"/>
      <c r="S19" s="500"/>
      <c r="T19" s="504"/>
      <c r="U19" s="504"/>
      <c r="V19" s="504"/>
      <c r="W19" s="504"/>
      <c r="X19" s="504"/>
      <c r="Y19" s="501"/>
      <c r="Z19" s="507"/>
    </row>
    <row r="20" spans="1:26" x14ac:dyDescent="0.3">
      <c r="A20" s="18"/>
      <c r="B20" s="21"/>
      <c r="C20" s="21"/>
      <c r="D20" s="21"/>
      <c r="E20" s="21"/>
      <c r="F20" s="21"/>
      <c r="G20" s="21"/>
      <c r="H20" s="21"/>
      <c r="I20" s="21"/>
      <c r="J20" s="21"/>
      <c r="K20" s="21"/>
      <c r="L20" s="21"/>
      <c r="M20" s="21"/>
      <c r="N20" s="21"/>
      <c r="O20" s="20"/>
      <c r="Q20" s="126" t="s">
        <v>328</v>
      </c>
    </row>
    <row r="21" spans="1:26" x14ac:dyDescent="0.3">
      <c r="A21" s="18"/>
      <c r="B21" s="21"/>
      <c r="C21" s="21"/>
      <c r="D21" s="21"/>
      <c r="E21" s="21"/>
      <c r="F21" s="21"/>
      <c r="G21" s="21"/>
      <c r="H21" s="21"/>
      <c r="I21" s="21"/>
      <c r="J21" s="21"/>
      <c r="K21" s="21"/>
      <c r="L21" s="21"/>
      <c r="M21" s="21"/>
      <c r="N21" s="21"/>
      <c r="O21" s="20"/>
    </row>
    <row r="22" spans="1:26" x14ac:dyDescent="0.3">
      <c r="A22" s="18"/>
      <c r="B22" s="21"/>
      <c r="C22" s="21"/>
      <c r="D22" s="21"/>
      <c r="E22" s="21"/>
      <c r="F22" s="21"/>
      <c r="G22" s="21"/>
      <c r="H22" s="21"/>
      <c r="I22" s="21"/>
      <c r="J22" s="21"/>
      <c r="K22" s="21"/>
      <c r="L22" s="21"/>
      <c r="M22" s="21"/>
      <c r="N22" s="21"/>
      <c r="O22" s="20"/>
    </row>
    <row r="23" spans="1:26" x14ac:dyDescent="0.3">
      <c r="A23" s="18"/>
      <c r="B23" s="21"/>
      <c r="C23" s="21"/>
      <c r="D23" s="21"/>
      <c r="E23" s="21"/>
      <c r="F23" s="21"/>
      <c r="G23" s="21"/>
      <c r="H23" s="21"/>
      <c r="I23" s="21"/>
      <c r="J23" s="21"/>
      <c r="K23" s="21"/>
      <c r="L23" s="21"/>
      <c r="M23" s="21"/>
      <c r="N23" s="21"/>
      <c r="O23" s="20"/>
      <c r="Q23" s="486" t="s">
        <v>3571</v>
      </c>
      <c r="R23" s="486"/>
      <c r="S23" s="486"/>
      <c r="T23" s="486"/>
      <c r="U23" s="486"/>
      <c r="V23" s="486"/>
      <c r="W23" s="486"/>
      <c r="X23" s="486"/>
      <c r="Y23" s="486"/>
      <c r="Z23" s="486"/>
    </row>
    <row r="24" spans="1:26" x14ac:dyDescent="0.3">
      <c r="A24" s="18"/>
      <c r="B24" s="21"/>
      <c r="C24" s="21"/>
      <c r="D24" s="21"/>
      <c r="E24" s="21"/>
      <c r="F24" s="21"/>
      <c r="G24" s="21"/>
      <c r="H24" s="21"/>
      <c r="I24" s="21"/>
      <c r="J24" s="21"/>
      <c r="K24" s="21"/>
      <c r="L24" s="21"/>
      <c r="M24" s="21"/>
      <c r="N24" s="21"/>
      <c r="O24" s="20"/>
      <c r="Q24" s="487" t="s">
        <v>333</v>
      </c>
      <c r="R24" s="487"/>
      <c r="S24" s="487" t="s">
        <v>1334</v>
      </c>
      <c r="T24" s="487"/>
      <c r="U24" s="487"/>
      <c r="V24" s="487"/>
      <c r="W24" s="487"/>
      <c r="X24" s="487"/>
      <c r="Y24" s="487"/>
      <c r="Z24" s="487"/>
    </row>
    <row r="25" spans="1:26" x14ac:dyDescent="0.3">
      <c r="A25" s="18"/>
      <c r="B25" s="21"/>
      <c r="C25" s="21"/>
      <c r="D25" s="21"/>
      <c r="E25" s="21"/>
      <c r="F25" s="21"/>
      <c r="G25" s="21"/>
      <c r="H25" s="21"/>
      <c r="I25" s="21"/>
      <c r="J25" s="21"/>
      <c r="K25" s="21"/>
      <c r="L25" s="21"/>
      <c r="M25" s="21"/>
      <c r="N25" s="21"/>
      <c r="O25" s="20"/>
      <c r="Q25" s="487"/>
      <c r="R25" s="487"/>
      <c r="S25" s="487"/>
      <c r="T25" s="487"/>
      <c r="U25" s="487"/>
      <c r="V25" s="487"/>
      <c r="W25" s="487"/>
      <c r="X25" s="487"/>
      <c r="Y25" s="487"/>
      <c r="Z25" s="487"/>
    </row>
    <row r="26" spans="1:26" x14ac:dyDescent="0.3">
      <c r="A26" s="18"/>
      <c r="B26" s="21"/>
      <c r="C26" s="21"/>
      <c r="D26" s="21"/>
      <c r="E26" s="21"/>
      <c r="F26" s="21"/>
      <c r="G26" s="21"/>
      <c r="H26" s="21"/>
      <c r="I26" s="21"/>
      <c r="J26" s="21"/>
      <c r="K26" s="21"/>
      <c r="L26" s="21"/>
      <c r="M26" s="21"/>
      <c r="N26" s="21"/>
      <c r="O26" s="20"/>
      <c r="Q26" s="487"/>
      <c r="R26" s="487"/>
      <c r="S26" s="487"/>
      <c r="T26" s="487"/>
      <c r="U26" s="487"/>
      <c r="V26" s="487"/>
      <c r="W26" s="487"/>
      <c r="X26" s="487"/>
      <c r="Y26" s="487"/>
      <c r="Z26" s="487"/>
    </row>
    <row r="27" spans="1:26" ht="15" customHeight="1" x14ac:dyDescent="0.3">
      <c r="A27" s="18"/>
      <c r="B27" s="21"/>
      <c r="C27" s="21"/>
      <c r="D27" s="21"/>
      <c r="E27" s="21"/>
      <c r="F27" s="21"/>
      <c r="G27" s="21"/>
      <c r="H27" s="21"/>
      <c r="I27" s="21"/>
      <c r="J27" s="21"/>
      <c r="K27" s="21"/>
      <c r="L27" s="21"/>
      <c r="M27" s="21"/>
      <c r="N27" s="21"/>
      <c r="O27" s="20"/>
      <c r="Q27" s="483" t="s">
        <v>323</v>
      </c>
      <c r="R27" s="483"/>
      <c r="S27" s="483" t="s">
        <v>1</v>
      </c>
      <c r="T27" s="483"/>
      <c r="U27" s="483"/>
      <c r="V27" s="483"/>
      <c r="W27" s="483"/>
      <c r="X27" s="483"/>
      <c r="Y27" s="483"/>
      <c r="Z27" s="85" t="s">
        <v>324</v>
      </c>
    </row>
    <row r="28" spans="1:26" x14ac:dyDescent="0.3">
      <c r="A28" s="18"/>
      <c r="B28" s="21"/>
      <c r="C28" s="21"/>
      <c r="D28" s="21"/>
      <c r="E28" s="21"/>
      <c r="F28" s="21"/>
      <c r="G28" s="21"/>
      <c r="H28" s="21"/>
      <c r="I28" s="21"/>
      <c r="J28" s="21"/>
      <c r="K28" s="21"/>
      <c r="L28" s="21"/>
      <c r="M28" s="21"/>
      <c r="N28" s="21"/>
      <c r="O28" s="20"/>
      <c r="Q28" s="487" t="s">
        <v>1333</v>
      </c>
      <c r="R28" s="487"/>
      <c r="S28" s="487" t="s">
        <v>1336</v>
      </c>
      <c r="T28" s="487"/>
      <c r="U28" s="487"/>
      <c r="V28" s="487"/>
      <c r="W28" s="487"/>
      <c r="X28" s="487"/>
      <c r="Y28" s="487"/>
      <c r="Z28" s="509" t="s">
        <v>325</v>
      </c>
    </row>
    <row r="29" spans="1:26" x14ac:dyDescent="0.3">
      <c r="A29" s="18"/>
      <c r="B29" s="21"/>
      <c r="C29" s="21"/>
      <c r="D29" s="21"/>
      <c r="E29" s="21"/>
      <c r="F29" s="21"/>
      <c r="G29" s="21"/>
      <c r="H29" s="21"/>
      <c r="I29" s="21"/>
      <c r="J29" s="21"/>
      <c r="K29" s="21"/>
      <c r="L29" s="21"/>
      <c r="M29" s="21"/>
      <c r="N29" s="21"/>
      <c r="O29" s="20"/>
      <c r="Q29" s="487"/>
      <c r="R29" s="487"/>
      <c r="S29" s="487"/>
      <c r="T29" s="487"/>
      <c r="U29" s="487"/>
      <c r="V29" s="487"/>
      <c r="W29" s="487"/>
      <c r="X29" s="487"/>
      <c r="Y29" s="487"/>
      <c r="Z29" s="509"/>
    </row>
    <row r="30" spans="1:26" x14ac:dyDescent="0.3">
      <c r="A30" s="18"/>
      <c r="B30" s="21"/>
      <c r="C30" s="21"/>
      <c r="D30" s="21"/>
      <c r="E30" s="21"/>
      <c r="F30" s="21"/>
      <c r="G30" s="21"/>
      <c r="H30" s="21"/>
      <c r="I30" s="21"/>
      <c r="J30" s="21"/>
      <c r="K30" s="21"/>
      <c r="L30" s="21"/>
      <c r="M30" s="21"/>
      <c r="N30" s="21"/>
      <c r="O30" s="20"/>
      <c r="Q30" s="487"/>
      <c r="R30" s="487"/>
      <c r="S30" s="487"/>
      <c r="T30" s="487"/>
      <c r="U30" s="487"/>
      <c r="V30" s="487"/>
      <c r="W30" s="487"/>
      <c r="X30" s="487"/>
      <c r="Y30" s="487"/>
      <c r="Z30" s="509"/>
    </row>
    <row r="31" spans="1:26" ht="15" customHeight="1" x14ac:dyDescent="0.3">
      <c r="A31" s="18"/>
      <c r="B31" s="21"/>
      <c r="C31" s="21"/>
      <c r="D31" s="21"/>
      <c r="E31" s="21"/>
      <c r="F31" s="21"/>
      <c r="G31" s="21"/>
      <c r="H31" s="21"/>
      <c r="I31" s="21"/>
      <c r="J31" s="21"/>
      <c r="K31" s="21"/>
      <c r="L31" s="21"/>
      <c r="M31" s="21"/>
      <c r="N31" s="21"/>
      <c r="O31" s="20"/>
      <c r="Q31" s="496" t="s">
        <v>1330</v>
      </c>
      <c r="R31" s="497"/>
      <c r="S31" s="484" t="s">
        <v>1335</v>
      </c>
      <c r="T31" s="484"/>
      <c r="U31" s="484"/>
      <c r="V31" s="484"/>
      <c r="W31" s="484"/>
      <c r="X31" s="484"/>
      <c r="Y31" s="484"/>
      <c r="Z31" s="505" t="s">
        <v>326</v>
      </c>
    </row>
    <row r="32" spans="1:26" x14ac:dyDescent="0.3">
      <c r="A32" s="18"/>
      <c r="B32" s="21"/>
      <c r="C32" s="21"/>
      <c r="D32" s="21"/>
      <c r="E32" s="21"/>
      <c r="F32" s="21"/>
      <c r="G32" s="21"/>
      <c r="H32" s="21"/>
      <c r="I32" s="21"/>
      <c r="J32" s="21"/>
      <c r="K32" s="21"/>
      <c r="L32" s="21"/>
      <c r="M32" s="21"/>
      <c r="N32" s="21"/>
      <c r="O32" s="20"/>
      <c r="Q32" s="498"/>
      <c r="R32" s="499"/>
      <c r="S32" s="484"/>
      <c r="T32" s="484"/>
      <c r="U32" s="484"/>
      <c r="V32" s="484"/>
      <c r="W32" s="484"/>
      <c r="X32" s="484"/>
      <c r="Y32" s="484"/>
      <c r="Z32" s="506"/>
    </row>
    <row r="33" spans="1:26" x14ac:dyDescent="0.3">
      <c r="A33" s="18"/>
      <c r="B33" s="21"/>
      <c r="C33" s="21"/>
      <c r="D33" s="21"/>
      <c r="E33" s="21"/>
      <c r="F33" s="21"/>
      <c r="G33" s="21"/>
      <c r="H33" s="21"/>
      <c r="I33" s="21"/>
      <c r="J33" s="21"/>
      <c r="K33" s="21"/>
      <c r="L33" s="21"/>
      <c r="M33" s="21"/>
      <c r="N33" s="21"/>
      <c r="O33" s="20"/>
      <c r="Q33" s="500"/>
      <c r="R33" s="501"/>
      <c r="S33" s="484"/>
      <c r="T33" s="484"/>
      <c r="U33" s="484"/>
      <c r="V33" s="484"/>
      <c r="W33" s="484"/>
      <c r="X33" s="484"/>
      <c r="Y33" s="484"/>
      <c r="Z33" s="507"/>
    </row>
    <row r="34" spans="1:26" ht="15" customHeight="1" x14ac:dyDescent="0.3">
      <c r="A34" s="18"/>
      <c r="B34" s="21"/>
      <c r="C34" s="21"/>
      <c r="D34" s="21"/>
      <c r="E34" s="21"/>
      <c r="F34" s="21"/>
      <c r="G34" s="21"/>
      <c r="H34" s="21"/>
      <c r="I34" s="21"/>
      <c r="J34" s="21"/>
      <c r="K34" s="21"/>
      <c r="L34" s="21"/>
      <c r="M34" s="21"/>
      <c r="N34" s="21"/>
      <c r="O34" s="20"/>
      <c r="Q34" s="496" t="s">
        <v>1331</v>
      </c>
      <c r="R34" s="497"/>
      <c r="S34" s="484" t="s">
        <v>1345</v>
      </c>
      <c r="T34" s="484"/>
      <c r="U34" s="484"/>
      <c r="V34" s="484"/>
      <c r="W34" s="484"/>
      <c r="X34" s="484"/>
      <c r="Y34" s="484"/>
      <c r="Z34" s="505" t="s">
        <v>326</v>
      </c>
    </row>
    <row r="35" spans="1:26" x14ac:dyDescent="0.3">
      <c r="A35" s="18"/>
      <c r="B35" s="21"/>
      <c r="C35" s="21"/>
      <c r="D35" s="21"/>
      <c r="E35" s="21"/>
      <c r="F35" s="21"/>
      <c r="G35" s="21"/>
      <c r="H35" s="21"/>
      <c r="I35" s="21"/>
      <c r="J35" s="21"/>
      <c r="K35" s="21"/>
      <c r="L35" s="21"/>
      <c r="M35" s="21"/>
      <c r="N35" s="21"/>
      <c r="O35" s="20"/>
      <c r="Q35" s="498"/>
      <c r="R35" s="499"/>
      <c r="S35" s="484"/>
      <c r="T35" s="484"/>
      <c r="U35" s="484"/>
      <c r="V35" s="484"/>
      <c r="W35" s="484"/>
      <c r="X35" s="484"/>
      <c r="Y35" s="484"/>
      <c r="Z35" s="506"/>
    </row>
    <row r="36" spans="1:26" x14ac:dyDescent="0.3">
      <c r="A36" s="18"/>
      <c r="B36" s="21"/>
      <c r="C36" s="21"/>
      <c r="D36" s="21"/>
      <c r="E36" s="21"/>
      <c r="F36" s="21"/>
      <c r="G36" s="21"/>
      <c r="H36" s="21"/>
      <c r="I36" s="21"/>
      <c r="J36" s="21"/>
      <c r="K36" s="21"/>
      <c r="L36" s="21"/>
      <c r="M36" s="21"/>
      <c r="N36" s="21"/>
      <c r="O36" s="20"/>
      <c r="Q36" s="500"/>
      <c r="R36" s="501"/>
      <c r="S36" s="484"/>
      <c r="T36" s="484"/>
      <c r="U36" s="484"/>
      <c r="V36" s="484"/>
      <c r="W36" s="484"/>
      <c r="X36" s="484"/>
      <c r="Y36" s="484"/>
      <c r="Z36" s="507"/>
    </row>
    <row r="37" spans="1:26" ht="15" customHeight="1" x14ac:dyDescent="0.3">
      <c r="A37" s="18"/>
      <c r="B37" s="483" t="s">
        <v>1339</v>
      </c>
      <c r="C37" s="483"/>
      <c r="D37" s="483"/>
      <c r="E37" s="21"/>
      <c r="F37" s="21"/>
      <c r="G37" s="179" t="s">
        <v>3568</v>
      </c>
      <c r="H37" s="21"/>
      <c r="I37" s="21"/>
      <c r="J37" s="21"/>
      <c r="K37" s="21"/>
      <c r="L37" s="21"/>
      <c r="M37" s="21"/>
      <c r="N37" s="21"/>
      <c r="O37" s="20"/>
      <c r="Q37" s="496" t="s">
        <v>1332</v>
      </c>
      <c r="R37" s="497"/>
      <c r="S37" s="496" t="s">
        <v>1337</v>
      </c>
      <c r="T37" s="502"/>
      <c r="U37" s="502"/>
      <c r="V37" s="502"/>
      <c r="W37" s="502"/>
      <c r="X37" s="502"/>
      <c r="Y37" s="497"/>
      <c r="Z37" s="505" t="s">
        <v>326</v>
      </c>
    </row>
    <row r="38" spans="1:26" x14ac:dyDescent="0.3">
      <c r="A38" s="18"/>
      <c r="B38" s="3" t="s">
        <v>246</v>
      </c>
      <c r="C38" s="3" t="s">
        <v>1340</v>
      </c>
      <c r="D38" s="3" t="s">
        <v>1341</v>
      </c>
      <c r="E38" s="21"/>
      <c r="F38" s="21"/>
      <c r="G38" s="189" t="s">
        <v>3572</v>
      </c>
      <c r="H38" s="21"/>
      <c r="I38" s="21"/>
      <c r="J38" s="21"/>
      <c r="K38" s="21"/>
      <c r="L38" s="21"/>
      <c r="M38" s="21"/>
      <c r="N38" s="21"/>
      <c r="O38" s="20"/>
      <c r="Q38" s="498"/>
      <c r="R38" s="499"/>
      <c r="S38" s="498"/>
      <c r="T38" s="503"/>
      <c r="U38" s="503"/>
      <c r="V38" s="503"/>
      <c r="W38" s="503"/>
      <c r="X38" s="503"/>
      <c r="Y38" s="499"/>
      <c r="Z38" s="506"/>
    </row>
    <row r="39" spans="1:26" x14ac:dyDescent="0.3">
      <c r="A39" s="18"/>
      <c r="B39" s="30" t="s">
        <v>1343</v>
      </c>
      <c r="C39" s="36">
        <v>2</v>
      </c>
      <c r="D39" s="36">
        <v>24</v>
      </c>
      <c r="E39" s="21"/>
      <c r="F39" s="21"/>
      <c r="G39" s="21"/>
      <c r="H39" s="21"/>
      <c r="I39" s="21"/>
      <c r="J39" s="21"/>
      <c r="K39" s="21"/>
      <c r="L39" s="21"/>
      <c r="M39" s="21"/>
      <c r="N39" s="21"/>
      <c r="O39" s="20"/>
      <c r="Q39" s="500"/>
      <c r="R39" s="501"/>
      <c r="S39" s="500"/>
      <c r="T39" s="504"/>
      <c r="U39" s="504"/>
      <c r="V39" s="504"/>
      <c r="W39" s="504"/>
      <c r="X39" s="504"/>
      <c r="Y39" s="501"/>
      <c r="Z39" s="507"/>
    </row>
    <row r="40" spans="1:26" ht="15" customHeight="1" x14ac:dyDescent="0.3">
      <c r="A40" s="18"/>
      <c r="B40" s="30" t="s">
        <v>1344</v>
      </c>
      <c r="C40" s="36">
        <v>1</v>
      </c>
      <c r="D40" s="36">
        <v>1</v>
      </c>
      <c r="E40" s="21"/>
      <c r="F40" s="21"/>
      <c r="G40" s="21"/>
      <c r="H40" s="21"/>
      <c r="I40" s="21"/>
      <c r="J40" s="21"/>
      <c r="K40" s="21"/>
      <c r="L40" s="21"/>
      <c r="M40" s="21"/>
      <c r="N40" s="21"/>
      <c r="O40" s="20"/>
      <c r="Q40" s="496" t="s">
        <v>1338</v>
      </c>
      <c r="R40" s="497"/>
      <c r="S40" s="496" t="s">
        <v>3869</v>
      </c>
      <c r="T40" s="502"/>
      <c r="U40" s="502"/>
      <c r="V40" s="502"/>
      <c r="W40" s="502"/>
      <c r="X40" s="502"/>
      <c r="Y40" s="497"/>
      <c r="Z40" s="505" t="s">
        <v>326</v>
      </c>
    </row>
    <row r="41" spans="1:26" x14ac:dyDescent="0.3">
      <c r="A41" s="18"/>
      <c r="B41" s="21"/>
      <c r="C41" s="21"/>
      <c r="D41" s="21"/>
      <c r="E41" s="21"/>
      <c r="F41" s="21"/>
      <c r="G41" s="21"/>
      <c r="H41" s="21"/>
      <c r="I41" s="21"/>
      <c r="J41" s="21"/>
      <c r="K41" s="21"/>
      <c r="L41" s="21"/>
      <c r="M41" s="21"/>
      <c r="N41" s="21"/>
      <c r="O41" s="20"/>
      <c r="Q41" s="498"/>
      <c r="R41" s="499"/>
      <c r="S41" s="498"/>
      <c r="T41" s="503"/>
      <c r="U41" s="503"/>
      <c r="V41" s="503"/>
      <c r="W41" s="503"/>
      <c r="X41" s="503"/>
      <c r="Y41" s="499"/>
      <c r="Z41" s="506"/>
    </row>
    <row r="42" spans="1:26" x14ac:dyDescent="0.3">
      <c r="A42" s="18"/>
      <c r="B42" s="21"/>
      <c r="C42" s="21"/>
      <c r="D42" s="21"/>
      <c r="E42" s="21"/>
      <c r="F42" s="21"/>
      <c r="G42" s="21"/>
      <c r="H42" s="21"/>
      <c r="I42" s="21"/>
      <c r="J42" s="21"/>
      <c r="K42" s="21"/>
      <c r="L42" s="21"/>
      <c r="M42" s="21"/>
      <c r="N42" s="21"/>
      <c r="O42" s="20"/>
      <c r="Q42" s="500"/>
      <c r="R42" s="501"/>
      <c r="S42" s="500"/>
      <c r="T42" s="504"/>
      <c r="U42" s="504"/>
      <c r="V42" s="504"/>
      <c r="W42" s="504"/>
      <c r="X42" s="504"/>
      <c r="Y42" s="501"/>
      <c r="Z42" s="507"/>
    </row>
    <row r="43" spans="1:26" ht="15" customHeight="1" x14ac:dyDescent="0.3">
      <c r="A43" s="18"/>
      <c r="B43" s="21"/>
      <c r="C43" s="21"/>
      <c r="D43" s="21"/>
      <c r="E43" s="21"/>
      <c r="F43" s="21"/>
      <c r="G43" s="21"/>
      <c r="H43" s="21"/>
      <c r="I43" s="21"/>
      <c r="J43" s="21"/>
      <c r="K43" s="21"/>
      <c r="L43" s="21"/>
      <c r="M43" s="21"/>
      <c r="N43" s="21"/>
      <c r="O43" s="20"/>
      <c r="Q43" s="126" t="s">
        <v>328</v>
      </c>
    </row>
    <row r="44" spans="1:26" x14ac:dyDescent="0.3">
      <c r="A44" s="18"/>
      <c r="B44" s="21"/>
      <c r="C44" s="21"/>
      <c r="D44" s="21"/>
      <c r="E44" s="21"/>
      <c r="F44" s="21"/>
      <c r="G44" s="21"/>
      <c r="H44" s="21"/>
      <c r="I44" s="21"/>
      <c r="J44" s="21"/>
      <c r="K44" s="21"/>
      <c r="L44" s="21"/>
      <c r="M44" s="21"/>
      <c r="N44" s="21"/>
      <c r="O44" s="20"/>
    </row>
    <row r="45" spans="1:26" x14ac:dyDescent="0.3">
      <c r="A45" s="18"/>
      <c r="B45" s="21"/>
      <c r="C45" s="21"/>
      <c r="D45" s="21"/>
      <c r="E45" s="21"/>
      <c r="F45" s="21"/>
      <c r="G45" s="21"/>
      <c r="H45" s="21"/>
      <c r="I45" s="21"/>
      <c r="J45" s="21"/>
      <c r="K45" s="21"/>
      <c r="L45" s="21"/>
      <c r="M45" s="21"/>
      <c r="N45" s="21"/>
      <c r="O45" s="20"/>
    </row>
    <row r="46" spans="1:26" x14ac:dyDescent="0.3">
      <c r="A46" s="18"/>
      <c r="B46" s="21"/>
      <c r="C46" s="21"/>
      <c r="D46" s="21"/>
      <c r="E46" s="21"/>
      <c r="F46" s="21"/>
      <c r="G46" s="21"/>
      <c r="H46" s="21"/>
      <c r="I46" s="21"/>
      <c r="J46" s="21"/>
      <c r="K46" s="21"/>
      <c r="L46" s="21"/>
      <c r="M46" s="21"/>
      <c r="N46" s="21"/>
      <c r="O46" s="20"/>
    </row>
    <row r="47" spans="1:26" ht="15" customHeight="1" x14ac:dyDescent="0.3">
      <c r="A47" s="18"/>
      <c r="B47" s="21"/>
      <c r="C47" s="21"/>
      <c r="D47" s="21"/>
      <c r="E47" s="21"/>
      <c r="F47" s="21"/>
      <c r="G47" s="21"/>
      <c r="H47" s="21"/>
      <c r="I47" s="21"/>
      <c r="J47" s="21"/>
      <c r="K47" s="21"/>
      <c r="L47" s="21"/>
      <c r="M47" s="21"/>
      <c r="N47" s="21"/>
      <c r="O47" s="20"/>
    </row>
    <row r="48" spans="1:26" x14ac:dyDescent="0.3">
      <c r="A48" s="18"/>
      <c r="B48" s="21"/>
      <c r="C48" s="21"/>
      <c r="D48" s="21"/>
      <c r="E48" s="21"/>
      <c r="F48" s="21"/>
      <c r="G48" s="21"/>
      <c r="H48" s="21"/>
      <c r="I48" s="21"/>
      <c r="J48" s="21"/>
      <c r="K48" s="21"/>
      <c r="L48" s="21"/>
      <c r="M48" s="21"/>
      <c r="N48" s="21"/>
      <c r="O48" s="20"/>
    </row>
    <row r="49" spans="1:15" x14ac:dyDescent="0.3">
      <c r="A49" s="18"/>
      <c r="B49" s="21"/>
      <c r="C49" s="21"/>
      <c r="D49" s="21"/>
      <c r="E49" s="21"/>
      <c r="F49" s="21"/>
      <c r="G49" s="21"/>
      <c r="H49" s="21"/>
      <c r="I49" s="21"/>
      <c r="J49" s="21"/>
      <c r="K49" s="21"/>
      <c r="L49" s="21"/>
      <c r="M49" s="21"/>
      <c r="N49" s="21"/>
      <c r="O49" s="20"/>
    </row>
    <row r="50" spans="1:15" x14ac:dyDescent="0.3">
      <c r="A50" s="18"/>
      <c r="B50" s="21"/>
      <c r="C50" s="21"/>
      <c r="D50" s="21"/>
      <c r="E50" s="21"/>
      <c r="F50" s="21"/>
      <c r="G50" s="21"/>
      <c r="H50" s="21"/>
      <c r="I50" s="21"/>
      <c r="J50" s="21"/>
      <c r="K50" s="21"/>
      <c r="L50" s="21"/>
      <c r="M50" s="21"/>
      <c r="N50" s="21"/>
      <c r="O50" s="20"/>
    </row>
    <row r="51" spans="1:15" ht="15" customHeight="1" x14ac:dyDescent="0.3">
      <c r="A51" s="18"/>
      <c r="B51" s="21"/>
      <c r="C51" s="21"/>
      <c r="D51" s="21"/>
      <c r="E51" s="21"/>
      <c r="F51" s="21"/>
      <c r="G51" s="21"/>
      <c r="H51" s="21"/>
      <c r="I51" s="21"/>
      <c r="J51" s="21"/>
      <c r="K51" s="21"/>
      <c r="L51" s="21"/>
      <c r="M51" s="21"/>
      <c r="N51" s="21"/>
      <c r="O51" s="20"/>
    </row>
    <row r="52" spans="1:15" x14ac:dyDescent="0.3">
      <c r="A52" s="18"/>
      <c r="B52" s="21"/>
      <c r="C52" s="21"/>
      <c r="D52" s="21"/>
      <c r="E52" s="21"/>
      <c r="F52" s="21"/>
      <c r="G52" s="179" t="s">
        <v>3571</v>
      </c>
      <c r="H52" s="21"/>
      <c r="I52" s="21"/>
      <c r="J52" s="21"/>
      <c r="K52" s="21"/>
      <c r="L52" s="21"/>
      <c r="M52" s="21"/>
      <c r="N52" s="21"/>
      <c r="O52" s="20"/>
    </row>
    <row r="53" spans="1:15" x14ac:dyDescent="0.3">
      <c r="A53" s="18"/>
      <c r="B53" s="21"/>
      <c r="C53" s="21"/>
      <c r="D53" s="21"/>
      <c r="E53" s="21"/>
      <c r="F53" s="21"/>
      <c r="G53" s="189" t="s">
        <v>3573</v>
      </c>
      <c r="H53" s="21"/>
      <c r="I53" s="21"/>
      <c r="J53" s="21"/>
      <c r="K53" s="21"/>
      <c r="L53" s="21"/>
      <c r="M53" s="21"/>
      <c r="N53" s="21"/>
      <c r="O53" s="20"/>
    </row>
    <row r="54" spans="1:15" ht="15" customHeight="1" x14ac:dyDescent="0.3">
      <c r="A54" s="18"/>
      <c r="B54" s="21"/>
      <c r="C54" s="21"/>
      <c r="D54" s="21"/>
      <c r="E54" s="21"/>
      <c r="F54" s="21"/>
      <c r="G54" s="21"/>
      <c r="H54" s="21"/>
      <c r="I54" s="21"/>
      <c r="J54" s="21"/>
      <c r="K54" s="21"/>
      <c r="L54" s="21"/>
      <c r="M54" s="21"/>
      <c r="N54" s="21"/>
      <c r="O54" s="20"/>
    </row>
    <row r="55" spans="1:15" x14ac:dyDescent="0.3">
      <c r="A55" s="18"/>
      <c r="B55" s="21"/>
      <c r="C55" s="21"/>
      <c r="D55" s="21"/>
      <c r="E55" s="21"/>
      <c r="F55" s="21"/>
      <c r="G55" s="21"/>
      <c r="H55" s="21"/>
      <c r="I55" s="21"/>
      <c r="J55" s="21"/>
      <c r="K55" s="21"/>
      <c r="L55" s="21"/>
      <c r="M55" s="21"/>
      <c r="N55" s="21"/>
      <c r="O55" s="20"/>
    </row>
    <row r="56" spans="1:15" x14ac:dyDescent="0.3">
      <c r="A56" s="18"/>
      <c r="B56" s="21"/>
      <c r="C56" s="21"/>
      <c r="D56" s="21"/>
      <c r="E56" s="21"/>
      <c r="F56" s="21"/>
      <c r="G56" s="21"/>
      <c r="H56" s="21"/>
      <c r="I56" s="21"/>
      <c r="J56" s="21"/>
      <c r="K56" s="21"/>
      <c r="L56" s="21"/>
      <c r="M56" s="21"/>
      <c r="N56" s="21"/>
      <c r="O56" s="20"/>
    </row>
    <row r="57" spans="1:15" ht="15" customHeight="1" x14ac:dyDescent="0.3">
      <c r="A57" s="18"/>
      <c r="B57" s="21"/>
      <c r="C57" s="21"/>
      <c r="D57" s="21"/>
      <c r="E57" s="21"/>
      <c r="F57" s="21"/>
      <c r="G57" s="21"/>
      <c r="H57" s="21"/>
      <c r="I57" s="21"/>
      <c r="J57" s="21"/>
      <c r="K57" s="21"/>
      <c r="L57" s="21"/>
      <c r="M57" s="21"/>
      <c r="N57" s="21"/>
      <c r="O57" s="20"/>
    </row>
    <row r="58" spans="1:15" x14ac:dyDescent="0.3">
      <c r="A58" s="18"/>
      <c r="B58" s="21"/>
      <c r="C58" s="21"/>
      <c r="D58" s="21"/>
      <c r="E58" s="21"/>
      <c r="F58" s="21"/>
      <c r="G58" s="21"/>
      <c r="H58" s="21"/>
      <c r="I58" s="21"/>
      <c r="J58" s="21"/>
      <c r="K58" s="21"/>
      <c r="L58" s="21"/>
      <c r="M58" s="21"/>
      <c r="N58" s="21"/>
      <c r="O58" s="20"/>
    </row>
    <row r="59" spans="1:15" x14ac:dyDescent="0.3">
      <c r="A59" s="18"/>
      <c r="B59" s="21"/>
      <c r="C59" s="21"/>
      <c r="D59" s="21"/>
      <c r="E59" s="21"/>
      <c r="F59" s="21"/>
      <c r="G59" s="21"/>
      <c r="H59" s="21"/>
      <c r="I59" s="21"/>
      <c r="J59" s="21"/>
      <c r="K59" s="21"/>
      <c r="L59" s="21"/>
      <c r="M59" s="21"/>
      <c r="N59" s="21"/>
      <c r="O59" s="20"/>
    </row>
    <row r="60" spans="1:15" x14ac:dyDescent="0.3">
      <c r="A60" s="18"/>
      <c r="B60" s="21"/>
      <c r="C60" s="21"/>
      <c r="D60" s="21"/>
      <c r="E60" s="21"/>
      <c r="F60" s="21"/>
      <c r="G60" s="21"/>
      <c r="H60" s="21"/>
      <c r="I60" s="21"/>
      <c r="J60" s="21"/>
      <c r="K60" s="21"/>
      <c r="L60" s="21"/>
      <c r="M60" s="21"/>
      <c r="N60" s="21"/>
      <c r="O60" s="20"/>
    </row>
    <row r="61" spans="1:15" x14ac:dyDescent="0.3">
      <c r="A61" s="18"/>
      <c r="B61" s="21"/>
      <c r="C61" s="21"/>
      <c r="D61" s="21"/>
      <c r="E61" s="21"/>
      <c r="F61" s="21"/>
      <c r="G61" s="21"/>
      <c r="H61" s="21"/>
      <c r="I61" s="21"/>
      <c r="J61" s="21"/>
      <c r="K61" s="21"/>
      <c r="L61" s="21"/>
      <c r="M61" s="21"/>
      <c r="N61" s="21"/>
      <c r="O61" s="20"/>
    </row>
    <row r="62" spans="1:15" x14ac:dyDescent="0.3">
      <c r="A62" s="18"/>
      <c r="B62" s="21"/>
      <c r="C62" s="21"/>
      <c r="D62" s="21"/>
      <c r="E62" s="21"/>
      <c r="F62" s="21"/>
      <c r="G62" s="21"/>
      <c r="H62" s="21"/>
      <c r="I62" s="21"/>
      <c r="J62" s="21"/>
      <c r="K62" s="21"/>
      <c r="L62" s="21"/>
      <c r="M62" s="21"/>
      <c r="N62" s="21"/>
      <c r="O62" s="20"/>
    </row>
    <row r="63" spans="1:15" x14ac:dyDescent="0.3">
      <c r="A63" s="18"/>
      <c r="B63" s="21"/>
      <c r="C63" s="21"/>
      <c r="D63" s="21"/>
      <c r="E63" s="21"/>
      <c r="F63" s="21"/>
      <c r="G63" s="21"/>
      <c r="H63" s="21"/>
      <c r="I63" s="21"/>
      <c r="J63" s="21"/>
      <c r="K63" s="21"/>
      <c r="L63" s="21"/>
      <c r="M63" s="21"/>
      <c r="N63" s="21"/>
      <c r="O63" s="20"/>
    </row>
    <row r="64" spans="1:15" x14ac:dyDescent="0.3">
      <c r="A64" s="18"/>
      <c r="B64" s="21"/>
      <c r="C64" s="21"/>
      <c r="D64" s="21"/>
      <c r="E64" s="21"/>
      <c r="F64" s="21"/>
      <c r="G64" s="21"/>
      <c r="H64" s="21"/>
      <c r="I64" s="21"/>
      <c r="J64" s="21"/>
      <c r="K64" s="21"/>
      <c r="L64" s="21"/>
      <c r="M64" s="21"/>
      <c r="N64" s="21"/>
      <c r="O64" s="20"/>
    </row>
    <row r="65" spans="1:15" x14ac:dyDescent="0.3">
      <c r="A65" s="18"/>
      <c r="B65" s="21"/>
      <c r="C65" s="21"/>
      <c r="D65" s="21"/>
      <c r="E65" s="21"/>
      <c r="F65" s="21"/>
      <c r="G65" s="21"/>
      <c r="H65" s="21"/>
      <c r="I65" s="21"/>
      <c r="J65" s="21"/>
      <c r="K65" s="21"/>
      <c r="L65" s="21"/>
      <c r="M65" s="21"/>
      <c r="N65" s="21"/>
      <c r="O65" s="20"/>
    </row>
    <row r="66" spans="1:15" ht="15" thickBot="1" x14ac:dyDescent="0.35">
      <c r="A66" s="22"/>
      <c r="B66" s="23"/>
      <c r="C66" s="23"/>
      <c r="D66" s="23"/>
      <c r="E66" s="23"/>
      <c r="F66" s="23"/>
      <c r="G66" s="23"/>
      <c r="H66" s="23"/>
      <c r="I66" s="23"/>
      <c r="J66" s="23"/>
      <c r="K66" s="23"/>
      <c r="L66" s="23"/>
      <c r="M66" s="23"/>
      <c r="N66" s="23"/>
      <c r="O66" s="24"/>
    </row>
  </sheetData>
  <mergeCells count="39">
    <mergeCell ref="B4:D4"/>
    <mergeCell ref="B37:D37"/>
    <mergeCell ref="Q8:R10"/>
    <mergeCell ref="S8:Y10"/>
    <mergeCell ref="Z8:Z10"/>
    <mergeCell ref="Q37:R39"/>
    <mergeCell ref="S37:Y39"/>
    <mergeCell ref="Z37:Z39"/>
    <mergeCell ref="Q11:R13"/>
    <mergeCell ref="S11:Y13"/>
    <mergeCell ref="Z11:Z13"/>
    <mergeCell ref="Q14:R16"/>
    <mergeCell ref="S14:Y16"/>
    <mergeCell ref="Z14:Z16"/>
    <mergeCell ref="Q28:R30"/>
    <mergeCell ref="S28:Y30"/>
    <mergeCell ref="Z28:Z30"/>
    <mergeCell ref="Q17:R19"/>
    <mergeCell ref="Q3:Z3"/>
    <mergeCell ref="Q4:R6"/>
    <mergeCell ref="S4:Z6"/>
    <mergeCell ref="Q7:R7"/>
    <mergeCell ref="S7:Y7"/>
    <mergeCell ref="S17:Y19"/>
    <mergeCell ref="Z17:Z19"/>
    <mergeCell ref="Q23:Z23"/>
    <mergeCell ref="Q24:R26"/>
    <mergeCell ref="S24:Z26"/>
    <mergeCell ref="Q27:R27"/>
    <mergeCell ref="S27:Y27"/>
    <mergeCell ref="Q40:R42"/>
    <mergeCell ref="S40:Y42"/>
    <mergeCell ref="Z40:Z42"/>
    <mergeCell ref="Q31:R33"/>
    <mergeCell ref="S31:Y33"/>
    <mergeCell ref="Z31:Z33"/>
    <mergeCell ref="Q34:R36"/>
    <mergeCell ref="S34:Y36"/>
    <mergeCell ref="Z34:Z36"/>
  </mergeCells>
  <pageMargins left="0.7" right="0.7" top="0.75" bottom="0.75" header="0.3" footer="0.3"/>
  <pageSetup orientation="portrait" verticalDpi="0" r:id="rId1"/>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AG117"/>
  <sheetViews>
    <sheetView workbookViewId="0">
      <pane ySplit="1" topLeftCell="A2" activePane="bottomLeft" state="frozen"/>
      <selection activeCell="C33" sqref="C33"/>
      <selection pane="bottomLeft"/>
    </sheetView>
  </sheetViews>
  <sheetFormatPr defaultColWidth="9.21875" defaultRowHeight="14.4" x14ac:dyDescent="0.3"/>
  <cols>
    <col min="2" max="2" width="28.21875" customWidth="1"/>
    <col min="3" max="3" width="23" customWidth="1"/>
    <col min="4" max="4" width="6" bestFit="1" customWidth="1"/>
    <col min="5" max="5" width="9" bestFit="1" customWidth="1"/>
    <col min="6" max="6" width="11.21875" bestFit="1" customWidth="1"/>
    <col min="7" max="7" width="12.77734375" bestFit="1" customWidth="1"/>
    <col min="8" max="8" width="6.77734375" bestFit="1" customWidth="1"/>
    <col min="9" max="9" width="13.21875" bestFit="1" customWidth="1"/>
    <col min="10" max="11" width="9.21875" customWidth="1"/>
    <col min="12" max="12" width="17.77734375" customWidth="1"/>
    <col min="13" max="13" width="14.5546875" customWidth="1"/>
    <col min="15" max="20" width="17.77734375" customWidth="1"/>
    <col min="26" max="32" width="14.77734375" customWidth="1"/>
  </cols>
  <sheetData>
    <row r="1" spans="1:33" ht="34.5" customHeight="1" thickBot="1" x14ac:dyDescent="0.35">
      <c r="A1" s="292" t="s">
        <v>1580</v>
      </c>
      <c r="B1" s="473" t="e" vm="1">
        <v>#VALUE!</v>
      </c>
      <c r="C1" s="8" t="s">
        <v>995</v>
      </c>
      <c r="D1" s="27"/>
      <c r="E1" s="191"/>
      <c r="F1" s="191"/>
      <c r="G1" s="191"/>
      <c r="H1" s="191"/>
      <c r="I1" s="191"/>
      <c r="J1" s="191"/>
      <c r="K1" s="191"/>
      <c r="L1" s="16"/>
      <c r="M1" s="16"/>
      <c r="N1" s="16"/>
      <c r="O1" s="16"/>
      <c r="P1" s="16"/>
      <c r="Q1" s="16"/>
      <c r="R1" s="16"/>
      <c r="S1" s="16"/>
      <c r="T1" s="16"/>
      <c r="U1" s="16"/>
      <c r="V1" s="19"/>
    </row>
    <row r="2" spans="1:33" ht="15" customHeight="1" x14ac:dyDescent="0.3">
      <c r="A2" s="18"/>
      <c r="B2" s="25"/>
      <c r="C2" s="25"/>
      <c r="D2" s="21"/>
      <c r="E2" s="21"/>
      <c r="F2" s="21"/>
      <c r="G2" s="21"/>
      <c r="H2" s="21"/>
      <c r="I2" s="21"/>
      <c r="J2" s="21"/>
      <c r="K2" s="21"/>
      <c r="L2" s="21"/>
      <c r="M2" s="21"/>
      <c r="N2" s="21"/>
      <c r="O2" s="21"/>
      <c r="P2" s="21"/>
      <c r="Q2" s="21"/>
      <c r="R2" s="21"/>
      <c r="S2" s="21"/>
      <c r="T2" s="21"/>
      <c r="U2" s="21"/>
      <c r="V2" s="20"/>
    </row>
    <row r="3" spans="1:33" ht="15" customHeight="1" x14ac:dyDescent="0.3">
      <c r="A3" s="490" t="s">
        <v>94</v>
      </c>
      <c r="B3" s="491"/>
      <c r="C3" s="491"/>
      <c r="D3" s="491"/>
      <c r="E3" s="491"/>
      <c r="F3" s="491"/>
      <c r="G3" s="491"/>
      <c r="H3" s="491"/>
      <c r="I3" s="491"/>
      <c r="J3" s="491"/>
      <c r="K3" s="491"/>
      <c r="L3" s="491"/>
      <c r="M3" s="491"/>
      <c r="N3" s="491"/>
      <c r="O3" s="491"/>
      <c r="P3" s="491"/>
      <c r="Q3" s="491"/>
      <c r="R3" s="491"/>
      <c r="S3" s="491"/>
      <c r="T3" s="491"/>
      <c r="U3" s="21"/>
      <c r="V3" s="20"/>
      <c r="X3" s="486" t="s">
        <v>3574</v>
      </c>
      <c r="Y3" s="486"/>
      <c r="Z3" s="486"/>
      <c r="AA3" s="486"/>
      <c r="AB3" s="486"/>
      <c r="AC3" s="486"/>
      <c r="AD3" s="486"/>
      <c r="AE3" s="486"/>
      <c r="AF3" s="486"/>
      <c r="AG3" s="486"/>
    </row>
    <row r="4" spans="1:33" ht="15" customHeight="1" x14ac:dyDescent="0.3">
      <c r="A4" s="18"/>
      <c r="B4" s="21"/>
      <c r="C4" s="21"/>
      <c r="D4" s="26"/>
      <c r="E4" s="26"/>
      <c r="F4" s="26"/>
      <c r="G4" s="26"/>
      <c r="H4" s="26"/>
      <c r="I4" s="26"/>
      <c r="J4" s="26"/>
      <c r="K4" s="26"/>
      <c r="L4" s="21"/>
      <c r="M4" s="21"/>
      <c r="N4" s="21"/>
      <c r="O4" s="21"/>
      <c r="P4" s="21"/>
      <c r="Q4" s="21"/>
      <c r="R4" s="21"/>
      <c r="S4" s="21"/>
      <c r="T4" s="21"/>
      <c r="U4" s="21"/>
      <c r="V4" s="20"/>
      <c r="X4" s="487" t="s">
        <v>333</v>
      </c>
      <c r="Y4" s="487"/>
      <c r="Z4" s="487" t="s">
        <v>999</v>
      </c>
      <c r="AA4" s="487"/>
      <c r="AB4" s="487"/>
      <c r="AC4" s="487"/>
      <c r="AD4" s="487"/>
      <c r="AE4" s="487"/>
      <c r="AF4" s="487"/>
      <c r="AG4" s="487"/>
    </row>
    <row r="5" spans="1:33" ht="15" customHeight="1" x14ac:dyDescent="0.3">
      <c r="A5" s="18"/>
      <c r="B5" s="21"/>
      <c r="C5" s="21"/>
      <c r="D5" s="26"/>
      <c r="E5" s="26"/>
      <c r="F5" s="26"/>
      <c r="G5" s="26"/>
      <c r="H5" s="26"/>
      <c r="I5" s="26"/>
      <c r="J5" s="26"/>
      <c r="K5" s="26"/>
      <c r="L5" s="21"/>
      <c r="M5" s="21"/>
      <c r="N5" s="21"/>
      <c r="O5" s="21"/>
      <c r="P5" s="21"/>
      <c r="Q5" s="21"/>
      <c r="R5" s="21"/>
      <c r="S5" s="21"/>
      <c r="T5" s="21"/>
      <c r="U5" s="21"/>
      <c r="V5" s="20"/>
      <c r="X5" s="487"/>
      <c r="Y5" s="487"/>
      <c r="Z5" s="487"/>
      <c r="AA5" s="487"/>
      <c r="AB5" s="487"/>
      <c r="AC5" s="487"/>
      <c r="AD5" s="487"/>
      <c r="AE5" s="487"/>
      <c r="AF5" s="487"/>
      <c r="AG5" s="487"/>
    </row>
    <row r="6" spans="1:33" ht="15" customHeight="1" x14ac:dyDescent="0.3">
      <c r="A6" s="18"/>
      <c r="B6" s="492" t="s">
        <v>65</v>
      </c>
      <c r="C6" s="529"/>
      <c r="D6" s="529"/>
      <c r="E6" s="529"/>
      <c r="F6" s="529"/>
      <c r="G6" s="529"/>
      <c r="H6" s="529"/>
      <c r="I6" s="493"/>
      <c r="J6" s="26"/>
      <c r="K6" s="26"/>
      <c r="L6" s="190" t="s">
        <v>996</v>
      </c>
      <c r="M6" s="21"/>
      <c r="N6" s="21"/>
      <c r="O6" s="21"/>
      <c r="P6" s="21"/>
      <c r="Q6" s="21"/>
      <c r="R6" s="21"/>
      <c r="S6" s="21"/>
      <c r="T6" s="21"/>
      <c r="U6" s="21"/>
      <c r="V6" s="20"/>
      <c r="X6" s="487"/>
      <c r="Y6" s="487"/>
      <c r="Z6" s="487"/>
      <c r="AA6" s="487"/>
      <c r="AB6" s="487"/>
      <c r="AC6" s="487"/>
      <c r="AD6" s="487"/>
      <c r="AE6" s="487"/>
      <c r="AF6" s="487"/>
      <c r="AG6" s="487"/>
    </row>
    <row r="7" spans="1:33" x14ac:dyDescent="0.3">
      <c r="A7" s="18"/>
      <c r="B7" s="59" t="s">
        <v>2</v>
      </c>
      <c r="C7" s="60" t="s">
        <v>101</v>
      </c>
      <c r="D7" s="60" t="s">
        <v>111</v>
      </c>
      <c r="E7" s="60" t="s">
        <v>62</v>
      </c>
      <c r="F7" s="60" t="s">
        <v>103</v>
      </c>
      <c r="G7" s="60" t="s">
        <v>104</v>
      </c>
      <c r="H7" s="60" t="s">
        <v>105</v>
      </c>
      <c r="I7" s="60" t="s">
        <v>102</v>
      </c>
      <c r="J7" s="21"/>
      <c r="K7" s="21"/>
      <c r="L7" s="79" t="s">
        <v>997</v>
      </c>
      <c r="M7" s="21"/>
      <c r="N7" s="21"/>
      <c r="O7" s="21"/>
      <c r="P7" s="21"/>
      <c r="Q7" s="21"/>
      <c r="R7" s="21"/>
      <c r="S7" s="21"/>
      <c r="T7" s="21"/>
      <c r="U7" s="21"/>
      <c r="V7" s="20"/>
      <c r="X7" s="483" t="s">
        <v>323</v>
      </c>
      <c r="Y7" s="483"/>
      <c r="Z7" s="483" t="s">
        <v>1</v>
      </c>
      <c r="AA7" s="483"/>
      <c r="AB7" s="483"/>
      <c r="AC7" s="483"/>
      <c r="AD7" s="483"/>
      <c r="AE7" s="483"/>
      <c r="AF7" s="483"/>
      <c r="AG7" s="85" t="s">
        <v>324</v>
      </c>
    </row>
    <row r="8" spans="1:33" x14ac:dyDescent="0.3">
      <c r="A8" s="18"/>
      <c r="B8" s="42" t="s">
        <v>112</v>
      </c>
      <c r="C8" s="42" t="s">
        <v>113</v>
      </c>
      <c r="D8" s="42" t="str">
        <f t="shared" ref="D8:D20" si="0">IF(E8&gt;0,"B","S")</f>
        <v>B</v>
      </c>
      <c r="E8" s="44">
        <v>100</v>
      </c>
      <c r="F8" s="61">
        <v>4.3</v>
      </c>
      <c r="G8" s="61">
        <v>4.3099999999999996</v>
      </c>
      <c r="H8" s="65">
        <f t="shared" ref="H8:H20" si="1">(G8-F8)*E8*IF(ISERROR(FIND(" ",B8)),1,100)</f>
        <v>99.999999999997868</v>
      </c>
      <c r="I8" s="44">
        <v>-3215</v>
      </c>
      <c r="J8" s="21"/>
      <c r="K8" s="21"/>
      <c r="L8" s="21"/>
      <c r="M8" s="21"/>
      <c r="N8" s="21"/>
      <c r="O8" s="21"/>
      <c r="P8" s="21"/>
      <c r="Q8" s="21"/>
      <c r="R8" s="21"/>
      <c r="S8" s="21"/>
      <c r="T8" s="21"/>
      <c r="U8" s="21"/>
      <c r="V8" s="20"/>
      <c r="X8" s="487" t="s">
        <v>443</v>
      </c>
      <c r="Y8" s="487"/>
      <c r="Z8" s="487" t="s">
        <v>3575</v>
      </c>
      <c r="AA8" s="487"/>
      <c r="AB8" s="487"/>
      <c r="AC8" s="487"/>
      <c r="AD8" s="487"/>
      <c r="AE8" s="487"/>
      <c r="AF8" s="487"/>
      <c r="AG8" s="509" t="s">
        <v>325</v>
      </c>
    </row>
    <row r="9" spans="1:33" x14ac:dyDescent="0.3">
      <c r="A9" s="18"/>
      <c r="B9" s="42" t="s">
        <v>108</v>
      </c>
      <c r="C9" s="42" t="s">
        <v>110</v>
      </c>
      <c r="D9" s="42" t="str">
        <f t="shared" si="0"/>
        <v>B</v>
      </c>
      <c r="E9" s="44">
        <v>50</v>
      </c>
      <c r="F9" s="61">
        <v>2.65</v>
      </c>
      <c r="G9" s="61">
        <v>2.6</v>
      </c>
      <c r="H9" s="65">
        <f t="shared" si="1"/>
        <v>-249.99999999999912</v>
      </c>
      <c r="I9" s="44">
        <v>2879</v>
      </c>
      <c r="J9" s="21"/>
      <c r="K9" s="21"/>
      <c r="L9" s="190" t="s">
        <v>3574</v>
      </c>
      <c r="M9" s="21"/>
      <c r="N9" s="21"/>
      <c r="O9" s="21"/>
      <c r="P9" s="21"/>
      <c r="Q9" s="21"/>
      <c r="R9" s="21"/>
      <c r="S9" s="21"/>
      <c r="T9" s="21"/>
      <c r="U9" s="21"/>
      <c r="V9" s="20"/>
      <c r="X9" s="487"/>
      <c r="Y9" s="487"/>
      <c r="Z9" s="487"/>
      <c r="AA9" s="487"/>
      <c r="AB9" s="487"/>
      <c r="AC9" s="487"/>
      <c r="AD9" s="487"/>
      <c r="AE9" s="487"/>
      <c r="AF9" s="487"/>
      <c r="AG9" s="509"/>
    </row>
    <row r="10" spans="1:33" x14ac:dyDescent="0.3">
      <c r="A10" s="18"/>
      <c r="B10" s="42" t="s">
        <v>107</v>
      </c>
      <c r="C10" s="42" t="s">
        <v>109</v>
      </c>
      <c r="D10" s="42" t="str">
        <f t="shared" si="0"/>
        <v>S</v>
      </c>
      <c r="E10" s="44">
        <v>-3000</v>
      </c>
      <c r="F10" s="61">
        <v>159.49</v>
      </c>
      <c r="G10" s="61">
        <v>159.37</v>
      </c>
      <c r="H10" s="65">
        <f t="shared" si="1"/>
        <v>360.00000000001364</v>
      </c>
      <c r="I10" s="44">
        <v>-3000</v>
      </c>
      <c r="J10" s="21"/>
      <c r="K10" s="21"/>
      <c r="L10" s="30" t="str" cm="1">
        <f t="array" ref="L10">_xll.U.CACHE(_xll.U.VSORT(_xll.U.VAGGREGATE(B7:I20,"Symbol","Quantity",,,TRUE),"Symbol"),L7)</f>
        <v>PositionChanges | 2026-02-19 10:52:32.651</v>
      </c>
      <c r="M10" s="21"/>
      <c r="N10" s="21"/>
      <c r="O10" s="21"/>
      <c r="P10" s="21"/>
      <c r="Q10" s="21"/>
      <c r="R10" s="21"/>
      <c r="S10" s="21"/>
      <c r="T10" s="21"/>
      <c r="U10" s="21"/>
      <c r="V10" s="20"/>
      <c r="X10" s="487"/>
      <c r="Y10" s="487"/>
      <c r="Z10" s="487"/>
      <c r="AA10" s="487"/>
      <c r="AB10" s="487"/>
      <c r="AC10" s="487"/>
      <c r="AD10" s="487"/>
      <c r="AE10" s="487"/>
      <c r="AF10" s="487"/>
      <c r="AG10" s="509"/>
    </row>
    <row r="11" spans="1:33" x14ac:dyDescent="0.3">
      <c r="A11" s="18"/>
      <c r="B11" s="42" t="s">
        <v>107</v>
      </c>
      <c r="C11" s="42" t="s">
        <v>109</v>
      </c>
      <c r="D11" s="42" t="str">
        <f t="shared" si="0"/>
        <v>S</v>
      </c>
      <c r="E11" s="44">
        <v>-100</v>
      </c>
      <c r="F11" s="61">
        <v>159.5</v>
      </c>
      <c r="G11" s="61">
        <v>159.37</v>
      </c>
      <c r="H11" s="65">
        <f t="shared" si="1"/>
        <v>12.999999999999545</v>
      </c>
      <c r="I11" s="44">
        <v>-3000</v>
      </c>
      <c r="J11" s="21"/>
      <c r="K11" s="21"/>
      <c r="L11" s="21"/>
      <c r="M11" s="21"/>
      <c r="N11" s="21"/>
      <c r="O11" s="21"/>
      <c r="P11" s="21"/>
      <c r="Q11" s="21"/>
      <c r="R11" s="21"/>
      <c r="S11" s="21"/>
      <c r="T11" s="21"/>
      <c r="U11" s="21"/>
      <c r="V11" s="20"/>
      <c r="X11" s="484" t="s">
        <v>1000</v>
      </c>
      <c r="Y11" s="484"/>
      <c r="Z11" s="484" t="s">
        <v>3771</v>
      </c>
      <c r="AA11" s="484"/>
      <c r="AB11" s="484"/>
      <c r="AC11" s="484"/>
      <c r="AD11" s="484"/>
      <c r="AE11" s="484"/>
      <c r="AF11" s="484"/>
      <c r="AG11" s="485" t="s">
        <v>326</v>
      </c>
    </row>
    <row r="12" spans="1:33" x14ac:dyDescent="0.3">
      <c r="A12" s="18"/>
      <c r="B12" s="42" t="s">
        <v>106</v>
      </c>
      <c r="C12" s="42" t="s">
        <v>113</v>
      </c>
      <c r="D12" s="42" t="str">
        <f t="shared" si="0"/>
        <v>B</v>
      </c>
      <c r="E12" s="44">
        <v>1500</v>
      </c>
      <c r="F12" s="61">
        <v>142.02000000000001</v>
      </c>
      <c r="G12" s="61">
        <v>141.97</v>
      </c>
      <c r="H12" s="65">
        <f t="shared" si="1"/>
        <v>-75.000000000017053</v>
      </c>
      <c r="I12" s="44">
        <v>1500</v>
      </c>
      <c r="J12" s="21"/>
      <c r="K12" s="21"/>
      <c r="L12" s="85" t="str">
        <f t="array" ref="L12:M17">_xll.U.PAD(L10)</f>
        <v>Symbol</v>
      </c>
      <c r="M12" s="85" t="str">
        <v>Quantity</v>
      </c>
      <c r="N12" s="21"/>
      <c r="O12" s="21"/>
      <c r="P12" s="21"/>
      <c r="Q12" s="21"/>
      <c r="R12" s="21"/>
      <c r="S12" s="21"/>
      <c r="T12" s="21"/>
      <c r="U12" s="21"/>
      <c r="V12" s="20"/>
      <c r="X12" s="484"/>
      <c r="Y12" s="484"/>
      <c r="Z12" s="484"/>
      <c r="AA12" s="484"/>
      <c r="AB12" s="484"/>
      <c r="AC12" s="484"/>
      <c r="AD12" s="484"/>
      <c r="AE12" s="484"/>
      <c r="AF12" s="484"/>
      <c r="AG12" s="485"/>
    </row>
    <row r="13" spans="1:33" x14ac:dyDescent="0.3">
      <c r="A13" s="18"/>
      <c r="B13" s="42" t="s">
        <v>106</v>
      </c>
      <c r="C13" s="42" t="s">
        <v>113</v>
      </c>
      <c r="D13" s="42" t="str">
        <f t="shared" si="0"/>
        <v>B</v>
      </c>
      <c r="E13" s="44">
        <v>100</v>
      </c>
      <c r="F13" s="61">
        <v>142.02000000000001</v>
      </c>
      <c r="G13" s="61">
        <v>141.97</v>
      </c>
      <c r="H13" s="65">
        <f t="shared" si="1"/>
        <v>-5.0000000000011369</v>
      </c>
      <c r="I13" s="44">
        <v>100</v>
      </c>
      <c r="J13" s="21"/>
      <c r="K13" s="21"/>
      <c r="L13" s="30" t="str">
        <v>AAPL</v>
      </c>
      <c r="M13" s="30">
        <v>3200</v>
      </c>
      <c r="N13" s="21"/>
      <c r="O13" s="21"/>
      <c r="P13" s="21"/>
      <c r="Q13" s="21"/>
      <c r="R13" s="21"/>
      <c r="S13" s="21"/>
      <c r="T13" s="21"/>
      <c r="U13" s="21"/>
      <c r="V13" s="20"/>
      <c r="X13" s="484"/>
      <c r="Y13" s="484"/>
      <c r="Z13" s="484"/>
      <c r="AA13" s="484"/>
      <c r="AB13" s="484"/>
      <c r="AC13" s="484"/>
      <c r="AD13" s="484"/>
      <c r="AE13" s="484"/>
      <c r="AF13" s="484"/>
      <c r="AG13" s="485"/>
    </row>
    <row r="14" spans="1:33" ht="15" customHeight="1" x14ac:dyDescent="0.3">
      <c r="A14" s="18"/>
      <c r="B14" s="42" t="s">
        <v>106</v>
      </c>
      <c r="C14" s="42" t="s">
        <v>113</v>
      </c>
      <c r="D14" s="42" t="str">
        <f t="shared" si="0"/>
        <v>B</v>
      </c>
      <c r="E14" s="44">
        <v>300</v>
      </c>
      <c r="F14" s="61">
        <v>142.02000000000001</v>
      </c>
      <c r="G14" s="61">
        <v>141.97</v>
      </c>
      <c r="H14" s="65">
        <f t="shared" si="1"/>
        <v>-15.000000000003411</v>
      </c>
      <c r="I14" s="44">
        <v>300</v>
      </c>
      <c r="J14" s="21"/>
      <c r="K14" s="21"/>
      <c r="L14" s="30" t="str">
        <v>AAPL Jun17 140P</v>
      </c>
      <c r="M14" s="30">
        <v>100</v>
      </c>
      <c r="N14" s="21"/>
      <c r="O14" s="21"/>
      <c r="P14" s="21"/>
      <c r="Q14" s="21"/>
      <c r="R14" s="21"/>
      <c r="S14" s="21"/>
      <c r="T14" s="21"/>
      <c r="U14" s="21"/>
      <c r="V14" s="20"/>
      <c r="X14" s="484" t="s">
        <v>542</v>
      </c>
      <c r="Y14" s="484"/>
      <c r="Z14" s="484" t="s">
        <v>3843</v>
      </c>
      <c r="AA14" s="484"/>
      <c r="AB14" s="484"/>
      <c r="AC14" s="484"/>
      <c r="AD14" s="484"/>
      <c r="AE14" s="484"/>
      <c r="AF14" s="484"/>
      <c r="AG14" s="485" t="s">
        <v>326</v>
      </c>
    </row>
    <row r="15" spans="1:33" x14ac:dyDescent="0.3">
      <c r="A15" s="18"/>
      <c r="B15" s="42" t="s">
        <v>107</v>
      </c>
      <c r="C15" s="42" t="s">
        <v>109</v>
      </c>
      <c r="D15" s="42" t="str">
        <f t="shared" si="0"/>
        <v>B</v>
      </c>
      <c r="E15" s="44">
        <v>100</v>
      </c>
      <c r="F15" s="61">
        <v>159.4</v>
      </c>
      <c r="G15" s="61">
        <v>159.37</v>
      </c>
      <c r="H15" s="65">
        <f t="shared" si="1"/>
        <v>-3.0000000000001137</v>
      </c>
      <c r="I15" s="44">
        <v>100</v>
      </c>
      <c r="J15" s="21"/>
      <c r="K15" s="21"/>
      <c r="L15" s="30" t="str">
        <v>IBM</v>
      </c>
      <c r="M15" s="30">
        <v>-2900</v>
      </c>
      <c r="N15" s="21"/>
      <c r="O15" s="21"/>
      <c r="P15" s="21"/>
      <c r="Q15" s="21"/>
      <c r="R15" s="21"/>
      <c r="S15" s="21"/>
      <c r="T15" s="21"/>
      <c r="U15" s="21"/>
      <c r="V15" s="20"/>
      <c r="X15" s="484"/>
      <c r="Y15" s="484"/>
      <c r="Z15" s="484"/>
      <c r="AA15" s="484"/>
      <c r="AB15" s="484"/>
      <c r="AC15" s="484"/>
      <c r="AD15" s="484"/>
      <c r="AE15" s="484"/>
      <c r="AF15" s="484"/>
      <c r="AG15" s="485"/>
    </row>
    <row r="16" spans="1:33" x14ac:dyDescent="0.3">
      <c r="A16" s="18"/>
      <c r="B16" s="42" t="s">
        <v>106</v>
      </c>
      <c r="C16" s="42" t="s">
        <v>113</v>
      </c>
      <c r="D16" s="42" t="str">
        <f t="shared" si="0"/>
        <v>B</v>
      </c>
      <c r="E16" s="44">
        <v>600</v>
      </c>
      <c r="F16" s="61">
        <v>142.02000000000001</v>
      </c>
      <c r="G16" s="61">
        <v>141.97</v>
      </c>
      <c r="H16" s="65">
        <f t="shared" si="1"/>
        <v>-30.000000000006821</v>
      </c>
      <c r="I16" s="44">
        <v>600</v>
      </c>
      <c r="J16" s="21"/>
      <c r="K16" s="21"/>
      <c r="L16" s="30" t="str">
        <v>IBM Jun17 160C</v>
      </c>
      <c r="M16" s="30">
        <v>0</v>
      </c>
      <c r="N16" s="21"/>
      <c r="O16" s="21"/>
      <c r="P16" s="21"/>
      <c r="Q16" s="21"/>
      <c r="R16" s="21"/>
      <c r="S16" s="21"/>
      <c r="T16" s="21"/>
      <c r="U16" s="21"/>
      <c r="V16" s="20"/>
      <c r="X16" s="484"/>
      <c r="Y16" s="484"/>
      <c r="Z16" s="484"/>
      <c r="AA16" s="484"/>
      <c r="AB16" s="484"/>
      <c r="AC16" s="484"/>
      <c r="AD16" s="484"/>
      <c r="AE16" s="484"/>
      <c r="AF16" s="484"/>
      <c r="AG16" s="485"/>
    </row>
    <row r="17" spans="1:33" ht="15" customHeight="1" x14ac:dyDescent="0.3">
      <c r="A17" s="18"/>
      <c r="B17" s="42" t="s">
        <v>107</v>
      </c>
      <c r="C17" s="42" t="s">
        <v>109</v>
      </c>
      <c r="D17" s="42" t="str">
        <f t="shared" si="0"/>
        <v>B</v>
      </c>
      <c r="E17" s="44">
        <v>100</v>
      </c>
      <c r="F17" s="61">
        <v>159.4</v>
      </c>
      <c r="G17" s="61">
        <v>159.37</v>
      </c>
      <c r="H17" s="65">
        <f t="shared" si="1"/>
        <v>-3.0000000000001137</v>
      </c>
      <c r="I17" s="44">
        <v>100</v>
      </c>
      <c r="J17" s="21"/>
      <c r="K17" s="21"/>
      <c r="L17" s="30" t="str">
        <v/>
      </c>
      <c r="M17" s="30" t="str">
        <v/>
      </c>
      <c r="N17" s="21"/>
      <c r="O17" s="21"/>
      <c r="P17" s="21"/>
      <c r="Q17" s="21"/>
      <c r="R17" s="21"/>
      <c r="S17" s="21"/>
      <c r="T17" s="21"/>
      <c r="U17" s="21"/>
      <c r="V17" s="20"/>
      <c r="X17" s="484" t="s">
        <v>2767</v>
      </c>
      <c r="Y17" s="484"/>
      <c r="Z17" s="484" t="s">
        <v>2768</v>
      </c>
      <c r="AA17" s="484"/>
      <c r="AB17" s="484"/>
      <c r="AC17" s="484"/>
      <c r="AD17" s="484"/>
      <c r="AE17" s="484"/>
      <c r="AF17" s="484"/>
      <c r="AG17" s="485" t="s">
        <v>326</v>
      </c>
    </row>
    <row r="18" spans="1:33" x14ac:dyDescent="0.3">
      <c r="A18" s="18"/>
      <c r="B18" s="42" t="s">
        <v>108</v>
      </c>
      <c r="C18" s="42" t="s">
        <v>110</v>
      </c>
      <c r="D18" s="42" t="str">
        <f t="shared" si="0"/>
        <v>S</v>
      </c>
      <c r="E18" s="44">
        <v>-10</v>
      </c>
      <c r="F18" s="61">
        <v>2.62</v>
      </c>
      <c r="G18" s="61">
        <v>2.6</v>
      </c>
      <c r="H18" s="65">
        <f t="shared" si="1"/>
        <v>20.000000000000018</v>
      </c>
      <c r="I18" s="44">
        <v>-575.79999999999995</v>
      </c>
      <c r="J18" s="21"/>
      <c r="K18" s="21"/>
      <c r="L18" s="21"/>
      <c r="M18" s="21"/>
      <c r="N18" s="21"/>
      <c r="O18" s="21"/>
      <c r="P18" s="21"/>
      <c r="Q18" s="21"/>
      <c r="R18" s="21"/>
      <c r="S18" s="21"/>
      <c r="T18" s="21"/>
      <c r="U18" s="21"/>
      <c r="V18" s="20"/>
      <c r="X18" s="484"/>
      <c r="Y18" s="484"/>
      <c r="Z18" s="484"/>
      <c r="AA18" s="484"/>
      <c r="AB18" s="484"/>
      <c r="AC18" s="484"/>
      <c r="AD18" s="484"/>
      <c r="AE18" s="484"/>
      <c r="AF18" s="484"/>
      <c r="AG18" s="485"/>
    </row>
    <row r="19" spans="1:33" x14ac:dyDescent="0.3">
      <c r="A19" s="18"/>
      <c r="B19" s="42" t="s">
        <v>106</v>
      </c>
      <c r="C19" s="42" t="s">
        <v>113</v>
      </c>
      <c r="D19" s="42" t="str">
        <f t="shared" si="0"/>
        <v>B</v>
      </c>
      <c r="E19" s="44">
        <v>700</v>
      </c>
      <c r="F19" s="61">
        <v>141.97999999999999</v>
      </c>
      <c r="G19" s="61">
        <v>141.97</v>
      </c>
      <c r="H19" s="65">
        <f t="shared" si="1"/>
        <v>-6.9999999999936335</v>
      </c>
      <c r="I19" s="44">
        <v>600</v>
      </c>
      <c r="J19" s="21"/>
      <c r="K19" s="21"/>
      <c r="L19" s="85" t="s">
        <v>2</v>
      </c>
      <c r="M19" s="85" t="s">
        <v>998</v>
      </c>
      <c r="N19" s="21"/>
      <c r="O19" s="21"/>
      <c r="P19" s="21"/>
      <c r="Q19" s="21"/>
      <c r="R19" s="21"/>
      <c r="S19" s="21"/>
      <c r="T19" s="21"/>
      <c r="U19" s="21"/>
      <c r="V19" s="20"/>
      <c r="X19" s="484"/>
      <c r="Y19" s="484"/>
      <c r="Z19" s="484"/>
      <c r="AA19" s="484"/>
      <c r="AB19" s="484"/>
      <c r="AC19" s="484"/>
      <c r="AD19" s="484"/>
      <c r="AE19" s="484"/>
      <c r="AF19" s="484"/>
      <c r="AG19" s="485"/>
    </row>
    <row r="20" spans="1:33" ht="15" customHeight="1" x14ac:dyDescent="0.3">
      <c r="A20" s="18"/>
      <c r="B20" s="42" t="s">
        <v>108</v>
      </c>
      <c r="C20" s="42" t="s">
        <v>110</v>
      </c>
      <c r="D20" s="42" t="str">
        <f t="shared" si="0"/>
        <v>S</v>
      </c>
      <c r="E20" s="44">
        <v>-40</v>
      </c>
      <c r="F20" s="61">
        <v>2.61</v>
      </c>
      <c r="G20" s="61">
        <v>2.6</v>
      </c>
      <c r="H20" s="65">
        <f t="shared" si="1"/>
        <v>39.999999999999147</v>
      </c>
      <c r="I20" s="44">
        <v>-2303.1999999999998</v>
      </c>
      <c r="J20" s="21"/>
      <c r="K20" s="21"/>
      <c r="L20" s="79" t="s">
        <v>107</v>
      </c>
      <c r="M20" s="30" cm="1">
        <f t="array" ref="M20">_xll.U.VLOOKUP(L20,L10,1,2)</f>
        <v>-2900</v>
      </c>
      <c r="N20" s="21"/>
      <c r="O20" s="21"/>
      <c r="P20" s="21"/>
      <c r="Q20" s="21"/>
      <c r="R20" s="21"/>
      <c r="S20" s="21"/>
      <c r="T20" s="21"/>
      <c r="U20" s="21"/>
      <c r="V20" s="20"/>
      <c r="X20" s="496" t="s">
        <v>2299</v>
      </c>
      <c r="Y20" s="497"/>
      <c r="Z20" s="496" t="s">
        <v>3090</v>
      </c>
      <c r="AA20" s="502"/>
      <c r="AB20" s="502"/>
      <c r="AC20" s="502"/>
      <c r="AD20" s="502"/>
      <c r="AE20" s="502"/>
      <c r="AF20" s="497"/>
      <c r="AG20" s="505" t="s">
        <v>326</v>
      </c>
    </row>
    <row r="21" spans="1:33" x14ac:dyDescent="0.3">
      <c r="A21" s="18"/>
      <c r="B21" s="21"/>
      <c r="C21" s="21"/>
      <c r="D21" s="21"/>
      <c r="E21" s="21"/>
      <c r="F21" s="21"/>
      <c r="G21" s="21"/>
      <c r="H21" s="21"/>
      <c r="I21" s="21"/>
      <c r="J21" s="21"/>
      <c r="K21" s="21"/>
      <c r="L21" s="21"/>
      <c r="M21" s="21"/>
      <c r="N21" s="21"/>
      <c r="O21" s="21"/>
      <c r="P21" s="21"/>
      <c r="Q21" s="21"/>
      <c r="R21" s="21"/>
      <c r="S21" s="21"/>
      <c r="T21" s="21"/>
      <c r="U21" s="21"/>
      <c r="V21" s="20"/>
      <c r="X21" s="498"/>
      <c r="Y21" s="499"/>
      <c r="Z21" s="498"/>
      <c r="AA21" s="503"/>
      <c r="AB21" s="503"/>
      <c r="AC21" s="503"/>
      <c r="AD21" s="503"/>
      <c r="AE21" s="503"/>
      <c r="AF21" s="499"/>
      <c r="AG21" s="506"/>
    </row>
    <row r="22" spans="1:33" x14ac:dyDescent="0.3">
      <c r="A22" s="18"/>
      <c r="B22" s="21"/>
      <c r="C22" s="21"/>
      <c r="D22" s="21"/>
      <c r="E22" s="21"/>
      <c r="F22" s="21"/>
      <c r="G22" s="21"/>
      <c r="H22" s="21"/>
      <c r="I22" s="21"/>
      <c r="J22" s="21"/>
      <c r="K22" s="21"/>
      <c r="L22" s="21"/>
      <c r="M22" s="21"/>
      <c r="N22" s="21"/>
      <c r="O22" s="21"/>
      <c r="P22" s="21"/>
      <c r="Q22" s="21"/>
      <c r="R22" s="21"/>
      <c r="S22" s="21"/>
      <c r="T22" s="21"/>
      <c r="U22" s="21"/>
      <c r="V22" s="20"/>
      <c r="X22" s="500"/>
      <c r="Y22" s="501"/>
      <c r="Z22" s="500"/>
      <c r="AA22" s="504"/>
      <c r="AB22" s="504"/>
      <c r="AC22" s="504"/>
      <c r="AD22" s="504"/>
      <c r="AE22" s="504"/>
      <c r="AF22" s="501"/>
      <c r="AG22" s="507"/>
    </row>
    <row r="23" spans="1:33" x14ac:dyDescent="0.3">
      <c r="A23" s="18"/>
      <c r="B23" s="21"/>
      <c r="C23" s="21"/>
      <c r="D23" s="21"/>
      <c r="E23" s="21"/>
      <c r="F23" s="21"/>
      <c r="G23" s="21"/>
      <c r="H23" s="21"/>
      <c r="I23" s="21"/>
      <c r="J23" s="21"/>
      <c r="K23" s="21"/>
      <c r="L23" s="21"/>
      <c r="M23" s="21"/>
      <c r="N23" s="21"/>
      <c r="O23" s="21"/>
      <c r="P23" s="21"/>
      <c r="Q23" s="21"/>
      <c r="R23" s="21"/>
      <c r="S23" s="21"/>
      <c r="T23" s="21"/>
      <c r="U23" s="21"/>
      <c r="V23" s="20"/>
      <c r="X23" s="126" t="s">
        <v>328</v>
      </c>
    </row>
    <row r="24" spans="1:33" x14ac:dyDescent="0.3">
      <c r="A24" s="18"/>
      <c r="B24" s="21"/>
      <c r="C24" s="21"/>
      <c r="D24" s="21"/>
      <c r="E24" s="21"/>
      <c r="F24" s="21"/>
      <c r="G24" s="21"/>
      <c r="H24" s="21"/>
      <c r="I24" s="21"/>
      <c r="J24" s="21"/>
      <c r="K24" s="21"/>
      <c r="L24" s="21"/>
      <c r="M24" s="21"/>
      <c r="N24" s="21"/>
      <c r="O24" s="21"/>
      <c r="P24" s="21"/>
      <c r="Q24" s="21"/>
      <c r="R24" s="21"/>
      <c r="S24" s="21"/>
      <c r="T24" s="21"/>
      <c r="U24" s="21"/>
      <c r="V24" s="20"/>
    </row>
    <row r="25" spans="1:33" x14ac:dyDescent="0.3">
      <c r="A25" s="18"/>
      <c r="B25" s="21"/>
      <c r="C25" s="21"/>
      <c r="D25" s="21"/>
      <c r="E25" s="21"/>
      <c r="F25" s="21"/>
      <c r="G25" s="21"/>
      <c r="H25" s="21"/>
      <c r="I25" s="21"/>
      <c r="J25" s="21"/>
      <c r="K25" s="21"/>
      <c r="L25" s="21"/>
      <c r="M25" s="21"/>
      <c r="N25" s="21"/>
      <c r="O25" s="21"/>
      <c r="P25" s="21"/>
      <c r="Q25" s="21"/>
      <c r="R25" s="21"/>
      <c r="S25" s="21"/>
      <c r="T25" s="21"/>
      <c r="U25" s="21"/>
      <c r="V25" s="20"/>
    </row>
    <row r="26" spans="1:33" x14ac:dyDescent="0.3">
      <c r="A26" s="18"/>
      <c r="B26" s="21"/>
      <c r="C26" s="21"/>
      <c r="D26" s="21"/>
      <c r="E26" s="21"/>
      <c r="F26" s="21"/>
      <c r="G26" s="21"/>
      <c r="H26" s="21"/>
      <c r="I26" s="21"/>
      <c r="J26" s="21"/>
      <c r="K26" s="21"/>
      <c r="L26" s="7" t="s">
        <v>11</v>
      </c>
      <c r="M26" s="42" t="s">
        <v>5</v>
      </c>
      <c r="N26" s="21"/>
      <c r="O26" s="21"/>
      <c r="P26" s="21"/>
      <c r="Q26" s="21"/>
      <c r="R26" s="21"/>
      <c r="S26" s="21"/>
      <c r="T26" s="21"/>
      <c r="U26" s="21"/>
      <c r="V26" s="20"/>
    </row>
    <row r="27" spans="1:33" x14ac:dyDescent="0.3">
      <c r="A27" s="18"/>
      <c r="B27" s="21"/>
      <c r="C27" s="21"/>
      <c r="D27" s="21"/>
      <c r="E27" s="21"/>
      <c r="F27" s="21"/>
      <c r="G27" s="21"/>
      <c r="H27" s="21"/>
      <c r="I27" s="21"/>
      <c r="J27" s="21"/>
      <c r="K27" s="21"/>
      <c r="L27" s="7" t="s">
        <v>12</v>
      </c>
      <c r="M27" s="42" t="s">
        <v>6</v>
      </c>
      <c r="N27" s="21"/>
      <c r="O27" s="21"/>
      <c r="P27" s="21"/>
      <c r="Q27" s="21"/>
      <c r="R27" s="21"/>
      <c r="S27" s="21"/>
      <c r="T27" s="21"/>
      <c r="U27" s="21"/>
      <c r="V27" s="20"/>
    </row>
    <row r="28" spans="1:33" x14ac:dyDescent="0.3">
      <c r="A28" s="18"/>
      <c r="B28" s="21"/>
      <c r="C28" s="21"/>
      <c r="D28" s="21"/>
      <c r="E28" s="21"/>
      <c r="F28" s="21"/>
      <c r="G28" s="21"/>
      <c r="H28" s="21"/>
      <c r="I28" s="21"/>
      <c r="J28" s="21"/>
      <c r="K28" s="21"/>
      <c r="L28" s="7" t="s">
        <v>123</v>
      </c>
      <c r="M28" s="30" t="str" cm="1">
        <f t="array" ref="M28">_xll.U.CACHE(_xll.U.VLOOKUP("ABC",_xll.U.SUBSCRIBE(M26,M27),1,2),"ABC_Pos")</f>
        <v>ABC_Pos | 2026-05-03 21:26:14.512</v>
      </c>
      <c r="N28" s="21"/>
      <c r="O28" s="21"/>
      <c r="P28" s="21"/>
      <c r="Q28" s="21"/>
      <c r="R28" s="21"/>
      <c r="S28" s="21"/>
      <c r="T28" s="21"/>
      <c r="U28" s="21"/>
      <c r="V28" s="20"/>
    </row>
    <row r="29" spans="1:33" x14ac:dyDescent="0.3">
      <c r="A29" s="18"/>
      <c r="B29" s="21"/>
      <c r="C29" s="21"/>
      <c r="D29" s="21"/>
      <c r="E29" s="21"/>
      <c r="F29" s="21"/>
      <c r="G29" s="21"/>
      <c r="H29" s="21"/>
      <c r="I29" s="21"/>
      <c r="J29" s="21"/>
      <c r="K29" s="21"/>
      <c r="L29" s="7" t="s">
        <v>1001</v>
      </c>
      <c r="M29" s="30" cm="1">
        <f t="array" ref="M29">_xll.U.GET(M28)</f>
        <v>2500</v>
      </c>
      <c r="N29" s="21"/>
      <c r="O29" s="21"/>
      <c r="P29" s="21"/>
      <c r="Q29" s="21"/>
      <c r="R29" s="21"/>
      <c r="S29" s="21"/>
      <c r="T29" s="21"/>
      <c r="U29" s="21"/>
      <c r="V29" s="20"/>
    </row>
    <row r="30" spans="1:33" x14ac:dyDescent="0.3">
      <c r="A30" s="18"/>
      <c r="B30" s="21"/>
      <c r="C30" s="21"/>
      <c r="D30" s="21"/>
      <c r="E30" s="21"/>
      <c r="F30" s="21"/>
      <c r="G30" s="21"/>
      <c r="H30" s="21"/>
      <c r="I30" s="21"/>
      <c r="J30" s="21"/>
      <c r="K30" s="21"/>
      <c r="L30" s="21"/>
      <c r="M30" s="21"/>
      <c r="N30" s="21"/>
      <c r="O30" s="21"/>
      <c r="P30" s="21"/>
      <c r="Q30" s="21"/>
      <c r="R30" s="21"/>
      <c r="S30" s="21"/>
      <c r="T30" s="21"/>
      <c r="U30" s="21"/>
      <c r="V30" s="20"/>
    </row>
    <row r="31" spans="1:33" x14ac:dyDescent="0.3">
      <c r="A31" s="18"/>
      <c r="B31" s="21"/>
      <c r="C31" s="21"/>
      <c r="D31" s="21"/>
      <c r="E31" s="21"/>
      <c r="F31" s="21"/>
      <c r="G31" s="21"/>
      <c r="H31" s="21"/>
      <c r="I31" s="21"/>
      <c r="J31" s="21"/>
      <c r="K31" s="21"/>
      <c r="L31" s="21"/>
      <c r="M31" s="21"/>
      <c r="N31" s="21"/>
      <c r="O31" s="21"/>
      <c r="P31" s="21"/>
      <c r="Q31" s="21"/>
      <c r="R31" s="21"/>
      <c r="S31" s="21"/>
      <c r="T31" s="21"/>
      <c r="U31" s="21"/>
      <c r="V31" s="20"/>
    </row>
    <row r="32" spans="1:33" x14ac:dyDescent="0.3">
      <c r="A32" s="18"/>
      <c r="B32" s="21"/>
      <c r="C32" s="21"/>
      <c r="D32" s="21"/>
      <c r="E32" s="21"/>
      <c r="F32" s="21"/>
      <c r="G32" s="21"/>
      <c r="H32" s="21"/>
      <c r="I32" s="21"/>
      <c r="J32" s="21"/>
      <c r="K32" s="21"/>
      <c r="L32" s="21"/>
      <c r="M32" s="21"/>
      <c r="N32" s="21"/>
      <c r="O32" s="21"/>
      <c r="P32" s="21"/>
      <c r="Q32" s="21"/>
      <c r="R32" s="21"/>
      <c r="S32" s="21"/>
      <c r="T32" s="21"/>
      <c r="U32" s="21"/>
      <c r="V32" s="20"/>
    </row>
    <row r="33" spans="1:22" x14ac:dyDescent="0.3">
      <c r="A33" s="18"/>
      <c r="B33" s="21"/>
      <c r="C33" s="21"/>
      <c r="D33" s="21"/>
      <c r="E33" s="21"/>
      <c r="F33" s="21"/>
      <c r="G33" s="21"/>
      <c r="H33" s="21"/>
      <c r="I33" s="21"/>
      <c r="J33" s="21"/>
      <c r="K33" s="21"/>
      <c r="L33" s="21"/>
      <c r="M33" s="21"/>
      <c r="N33" s="21"/>
      <c r="O33" s="21"/>
      <c r="P33" s="21"/>
      <c r="Q33" s="21"/>
      <c r="R33" s="21"/>
      <c r="S33" s="21"/>
      <c r="T33" s="21"/>
      <c r="U33" s="21"/>
      <c r="V33" s="20"/>
    </row>
    <row r="34" spans="1:22" x14ac:dyDescent="0.3">
      <c r="A34" s="18"/>
      <c r="B34" s="21"/>
      <c r="C34" s="21"/>
      <c r="D34" s="21"/>
      <c r="E34" s="21"/>
      <c r="F34" s="21"/>
      <c r="G34" s="21"/>
      <c r="H34" s="21"/>
      <c r="I34" s="21"/>
      <c r="J34" s="21"/>
      <c r="K34" s="21"/>
      <c r="L34" s="5" t="s">
        <v>11</v>
      </c>
      <c r="M34" s="42" t="s">
        <v>5</v>
      </c>
      <c r="N34" s="21"/>
      <c r="O34" s="21"/>
      <c r="P34" s="21"/>
      <c r="Q34" s="21"/>
      <c r="R34" s="21"/>
      <c r="S34" s="21"/>
      <c r="T34" s="21"/>
      <c r="U34" s="21"/>
      <c r="V34" s="20"/>
    </row>
    <row r="35" spans="1:22" x14ac:dyDescent="0.3">
      <c r="A35" s="18"/>
      <c r="B35" s="21"/>
      <c r="C35" s="21"/>
      <c r="D35" s="21"/>
      <c r="E35" s="21"/>
      <c r="F35" s="21"/>
      <c r="G35" s="21"/>
      <c r="H35" s="21"/>
      <c r="I35" s="21"/>
      <c r="J35" s="21"/>
      <c r="K35" s="21"/>
      <c r="L35" s="5" t="s">
        <v>12</v>
      </c>
      <c r="M35" s="42" t="s">
        <v>13</v>
      </c>
      <c r="N35" s="21"/>
      <c r="O35" s="21"/>
      <c r="P35" s="21"/>
      <c r="Q35" s="21"/>
      <c r="R35" s="21"/>
      <c r="S35" s="21"/>
      <c r="T35" s="21"/>
      <c r="U35" s="21"/>
      <c r="V35" s="20"/>
    </row>
    <row r="36" spans="1:22" x14ac:dyDescent="0.3">
      <c r="A36" s="18"/>
      <c r="B36" s="21"/>
      <c r="C36" s="21"/>
      <c r="D36" s="21"/>
      <c r="E36" s="21"/>
      <c r="F36" s="21"/>
      <c r="G36" s="21"/>
      <c r="H36" s="21"/>
      <c r="I36" s="21"/>
      <c r="J36" s="21"/>
      <c r="K36" s="21"/>
      <c r="L36" s="7" t="s">
        <v>123</v>
      </c>
      <c r="M36" s="30" t="str" cm="1">
        <f t="array" ref="M36">_xll.U.CACHE(_xll.U.SUBSCRIBE(M34,M35),"ABC_Price",2)</f>
        <v>ABC_Price | 2026-05-03 21:26:15.202</v>
      </c>
      <c r="N36" s="21"/>
      <c r="O36" s="21"/>
      <c r="P36" s="21"/>
      <c r="Q36" s="21"/>
      <c r="R36" s="21"/>
      <c r="S36" s="21"/>
      <c r="T36" s="21"/>
      <c r="U36" s="21"/>
      <c r="V36" s="20"/>
    </row>
    <row r="37" spans="1:22" x14ac:dyDescent="0.3">
      <c r="A37" s="18"/>
      <c r="B37" s="21"/>
      <c r="C37" s="21"/>
      <c r="D37" s="21"/>
      <c r="E37" s="21"/>
      <c r="F37" s="21"/>
      <c r="G37" s="21"/>
      <c r="H37" s="21"/>
      <c r="I37" s="21"/>
      <c r="J37" s="21"/>
      <c r="K37" s="21"/>
      <c r="L37" s="21"/>
      <c r="M37" s="21"/>
      <c r="N37" s="21"/>
      <c r="O37" s="21"/>
      <c r="P37" s="21"/>
      <c r="Q37" s="21"/>
      <c r="R37" s="21"/>
      <c r="S37" s="21"/>
      <c r="T37" s="21"/>
      <c r="U37" s="21"/>
      <c r="V37" s="20"/>
    </row>
    <row r="38" spans="1:22" x14ac:dyDescent="0.3">
      <c r="A38" s="18"/>
      <c r="B38" s="21"/>
      <c r="C38" s="21"/>
      <c r="D38" s="21"/>
      <c r="E38" s="21"/>
      <c r="F38" s="21"/>
      <c r="G38" s="21"/>
      <c r="H38" s="21"/>
      <c r="I38" s="21"/>
      <c r="J38" s="21"/>
      <c r="K38" s="21"/>
      <c r="L38" s="7" t="s">
        <v>2</v>
      </c>
      <c r="M38" s="7" t="s">
        <v>63</v>
      </c>
      <c r="N38" s="21"/>
      <c r="O38" s="21"/>
      <c r="P38" s="21"/>
      <c r="Q38" s="21"/>
      <c r="R38" s="21"/>
      <c r="S38" s="21"/>
      <c r="T38" s="21"/>
      <c r="U38" s="21"/>
      <c r="V38" s="20"/>
    </row>
    <row r="39" spans="1:22" x14ac:dyDescent="0.3">
      <c r="A39" s="18"/>
      <c r="B39" s="21"/>
      <c r="C39" s="21"/>
      <c r="D39" s="21"/>
      <c r="E39" s="21"/>
      <c r="F39" s="21"/>
      <c r="G39" s="21"/>
      <c r="H39" s="21"/>
      <c r="I39" s="21"/>
      <c r="J39" s="21"/>
      <c r="K39" s="21"/>
      <c r="L39" s="42" t="s">
        <v>4</v>
      </c>
      <c r="M39" s="30" cm="1">
        <f t="array" ref="M39">_xll.U.VLOOKUP(L39,M36,1,2)</f>
        <v>67.89</v>
      </c>
      <c r="N39" s="21"/>
      <c r="O39" s="21"/>
      <c r="P39" s="21"/>
      <c r="Q39" s="21"/>
      <c r="R39" s="21"/>
      <c r="S39" s="21"/>
      <c r="T39" s="21"/>
      <c r="U39" s="21"/>
      <c r="V39" s="20"/>
    </row>
    <row r="40" spans="1:22" x14ac:dyDescent="0.3">
      <c r="A40" s="18"/>
      <c r="B40" s="21"/>
      <c r="C40" s="21"/>
      <c r="D40" s="21"/>
      <c r="E40" s="21"/>
      <c r="F40" s="21"/>
      <c r="G40" s="21"/>
      <c r="H40" s="21"/>
      <c r="I40" s="21"/>
      <c r="J40" s="21"/>
      <c r="K40" s="21"/>
      <c r="L40" s="21"/>
      <c r="M40" s="21"/>
      <c r="N40" s="21"/>
      <c r="O40" s="21"/>
      <c r="P40" s="21"/>
      <c r="Q40" s="21"/>
      <c r="R40" s="21"/>
      <c r="S40" s="21"/>
      <c r="T40" s="21"/>
      <c r="U40" s="21"/>
      <c r="V40" s="20"/>
    </row>
    <row r="41" spans="1:22" x14ac:dyDescent="0.3">
      <c r="A41" s="18"/>
      <c r="B41" s="21"/>
      <c r="C41" s="21"/>
      <c r="D41" s="21"/>
      <c r="E41" s="21"/>
      <c r="F41" s="21"/>
      <c r="G41" s="21"/>
      <c r="H41" s="21"/>
      <c r="I41" s="21"/>
      <c r="J41" s="21"/>
      <c r="K41" s="21"/>
      <c r="L41" s="21"/>
      <c r="M41" s="21"/>
      <c r="N41" s="21"/>
      <c r="O41" s="21"/>
      <c r="P41" s="21"/>
      <c r="Q41" s="21"/>
      <c r="R41" s="21"/>
      <c r="S41" s="21"/>
      <c r="T41" s="21"/>
      <c r="U41" s="21"/>
      <c r="V41" s="20"/>
    </row>
    <row r="42" spans="1:22" x14ac:dyDescent="0.3">
      <c r="A42" s="18"/>
      <c r="B42" s="21"/>
      <c r="C42" s="21"/>
      <c r="D42" s="21"/>
      <c r="E42" s="21"/>
      <c r="F42" s="21"/>
      <c r="G42" s="21"/>
      <c r="H42" s="21"/>
      <c r="I42" s="21"/>
      <c r="J42" s="21"/>
      <c r="K42" s="21"/>
      <c r="L42" s="21"/>
      <c r="M42" s="21"/>
      <c r="N42" s="21"/>
      <c r="O42" s="21"/>
      <c r="P42" s="21"/>
      <c r="Q42" s="21"/>
      <c r="R42" s="21"/>
      <c r="S42" s="21"/>
      <c r="T42" s="21"/>
      <c r="U42" s="21"/>
      <c r="V42" s="20"/>
    </row>
    <row r="43" spans="1:22" x14ac:dyDescent="0.3">
      <c r="A43" s="18"/>
      <c r="B43" s="21"/>
      <c r="C43" s="21"/>
      <c r="D43" s="21"/>
      <c r="E43" s="21"/>
      <c r="F43" s="21"/>
      <c r="G43" s="21"/>
      <c r="H43" s="21"/>
      <c r="I43" s="21"/>
      <c r="J43" s="21"/>
      <c r="K43" s="21"/>
      <c r="L43" s="21"/>
      <c r="M43" s="21"/>
      <c r="N43" s="21"/>
      <c r="O43" s="21"/>
      <c r="P43" s="21"/>
      <c r="Q43" s="21"/>
      <c r="R43" s="21"/>
      <c r="S43" s="21"/>
      <c r="T43" s="21"/>
      <c r="U43" s="21"/>
      <c r="V43" s="20"/>
    </row>
    <row r="44" spans="1:22" x14ac:dyDescent="0.3">
      <c r="A44" s="18"/>
      <c r="B44" s="21"/>
      <c r="C44" s="21"/>
      <c r="D44" s="21"/>
      <c r="E44" s="21"/>
      <c r="F44" s="21"/>
      <c r="G44" s="21"/>
      <c r="H44" s="21"/>
      <c r="I44" s="21"/>
      <c r="J44" s="21"/>
      <c r="K44" s="21"/>
      <c r="L44" s="42" t="s">
        <v>4</v>
      </c>
      <c r="M44" s="30" t="e">
        <f>VLOOKUP(L44,M36,2,FALSE)</f>
        <v>#N/A</v>
      </c>
      <c r="N44" s="21"/>
      <c r="O44" s="21"/>
      <c r="P44" s="21"/>
      <c r="Q44" s="21"/>
      <c r="R44" s="21"/>
      <c r="S44" s="21"/>
      <c r="T44" s="21"/>
      <c r="U44" s="21"/>
      <c r="V44" s="20"/>
    </row>
    <row r="45" spans="1:22" x14ac:dyDescent="0.3">
      <c r="A45" s="18"/>
      <c r="B45" s="21"/>
      <c r="C45" s="21"/>
      <c r="D45" s="21"/>
      <c r="E45" s="21"/>
      <c r="F45" s="21"/>
      <c r="G45" s="21"/>
      <c r="H45" s="21"/>
      <c r="I45" s="21"/>
      <c r="J45" s="21"/>
      <c r="K45" s="21"/>
      <c r="L45" s="42" t="s">
        <v>4</v>
      </c>
      <c r="M45" s="30">
        <f>VLOOKUP(L45,_xll.U.GET(M36),2,FALSE)</f>
        <v>67.89</v>
      </c>
      <c r="N45" s="21"/>
      <c r="O45" s="21"/>
      <c r="P45" s="21"/>
      <c r="Q45" s="21"/>
      <c r="R45" s="21"/>
      <c r="S45" s="21"/>
      <c r="T45" s="21"/>
      <c r="U45" s="21"/>
      <c r="V45" s="20"/>
    </row>
    <row r="46" spans="1:22" x14ac:dyDescent="0.3">
      <c r="A46" s="18"/>
      <c r="B46" s="21"/>
      <c r="C46" s="21"/>
      <c r="D46" s="21"/>
      <c r="E46" s="21"/>
      <c r="F46" s="21"/>
      <c r="G46" s="21"/>
      <c r="H46" s="21"/>
      <c r="I46" s="21"/>
      <c r="J46" s="21"/>
      <c r="K46" s="21"/>
      <c r="L46" s="21"/>
      <c r="M46" s="21"/>
      <c r="N46" s="21"/>
      <c r="O46" s="21"/>
      <c r="P46" s="21"/>
      <c r="Q46" s="21"/>
      <c r="R46" s="21"/>
      <c r="S46" s="21"/>
      <c r="T46" s="21"/>
      <c r="U46" s="21"/>
      <c r="V46" s="20"/>
    </row>
    <row r="47" spans="1:22" x14ac:dyDescent="0.3">
      <c r="A47" s="18"/>
      <c r="B47" s="21"/>
      <c r="C47" s="21"/>
      <c r="D47" s="21"/>
      <c r="E47" s="21"/>
      <c r="F47" s="21"/>
      <c r="G47" s="21"/>
      <c r="H47" s="21"/>
      <c r="I47" s="21"/>
      <c r="J47" s="21"/>
      <c r="K47" s="21"/>
      <c r="L47" s="21"/>
      <c r="M47" s="21"/>
      <c r="N47" s="21"/>
      <c r="O47" s="21"/>
      <c r="P47" s="21"/>
      <c r="Q47" s="21"/>
      <c r="R47" s="21"/>
      <c r="S47" s="21"/>
      <c r="T47" s="21"/>
      <c r="U47" s="21"/>
      <c r="V47" s="20"/>
    </row>
    <row r="48" spans="1:22" x14ac:dyDescent="0.3">
      <c r="A48" s="18"/>
      <c r="B48" s="21"/>
      <c r="C48" s="21"/>
      <c r="D48" s="21"/>
      <c r="E48" s="21"/>
      <c r="F48" s="21"/>
      <c r="G48" s="21"/>
      <c r="H48" s="21"/>
      <c r="I48" s="21"/>
      <c r="J48" s="21"/>
      <c r="K48" s="21"/>
      <c r="L48" s="21"/>
      <c r="M48" s="21"/>
      <c r="N48" s="21"/>
      <c r="O48" s="21"/>
      <c r="P48" s="21"/>
      <c r="Q48" s="21"/>
      <c r="R48" s="21"/>
      <c r="S48" s="21"/>
      <c r="T48" s="21"/>
      <c r="U48" s="21"/>
      <c r="V48" s="20"/>
    </row>
    <row r="49" spans="1:22" x14ac:dyDescent="0.3">
      <c r="A49" s="18"/>
      <c r="B49" s="21"/>
      <c r="C49" s="21"/>
      <c r="D49" s="21"/>
      <c r="E49" s="21"/>
      <c r="F49" s="21"/>
      <c r="G49" s="21"/>
      <c r="H49" s="21"/>
      <c r="I49" s="21"/>
      <c r="J49" s="21"/>
      <c r="K49" s="21"/>
      <c r="L49" s="21"/>
      <c r="M49" s="21"/>
      <c r="N49" s="21"/>
      <c r="O49" s="21"/>
      <c r="P49" s="21"/>
      <c r="Q49" s="21"/>
      <c r="R49" s="21"/>
      <c r="S49" s="21"/>
      <c r="T49" s="21"/>
      <c r="U49" s="21"/>
      <c r="V49" s="20"/>
    </row>
    <row r="50" spans="1:22" x14ac:dyDescent="0.3">
      <c r="A50" s="18"/>
      <c r="B50" s="21"/>
      <c r="C50" s="21"/>
      <c r="D50" s="21"/>
      <c r="E50" s="21"/>
      <c r="F50" s="21"/>
      <c r="G50" s="21"/>
      <c r="H50" s="21"/>
      <c r="I50" s="21"/>
      <c r="J50" s="21"/>
      <c r="K50" s="21"/>
      <c r="L50" s="21"/>
      <c r="M50" s="21"/>
      <c r="N50" s="21"/>
      <c r="O50" s="21"/>
      <c r="P50" s="21"/>
      <c r="Q50" s="21"/>
      <c r="R50" s="21"/>
      <c r="S50" s="21"/>
      <c r="T50" s="21"/>
      <c r="U50" s="21"/>
      <c r="V50" s="20"/>
    </row>
    <row r="51" spans="1:22" x14ac:dyDescent="0.3">
      <c r="A51" s="18"/>
      <c r="B51" s="21"/>
      <c r="C51" s="21"/>
      <c r="D51" s="21"/>
      <c r="E51" s="21"/>
      <c r="F51" s="21"/>
      <c r="G51" s="21"/>
      <c r="H51" s="21"/>
      <c r="I51" s="21"/>
      <c r="J51" s="21"/>
      <c r="K51" s="21"/>
      <c r="L51" s="21"/>
      <c r="M51" s="21"/>
      <c r="N51" s="21"/>
      <c r="O51" s="21"/>
      <c r="P51" s="21"/>
      <c r="Q51" s="21"/>
      <c r="R51" s="21"/>
      <c r="S51" s="21"/>
      <c r="T51" s="21"/>
      <c r="U51" s="21"/>
      <c r="V51" s="20"/>
    </row>
    <row r="52" spans="1:22" x14ac:dyDescent="0.3">
      <c r="A52" s="18"/>
      <c r="B52" s="21"/>
      <c r="C52" s="21"/>
      <c r="D52" s="21"/>
      <c r="E52" s="21"/>
      <c r="F52" s="21"/>
      <c r="G52" s="21"/>
      <c r="H52" s="21"/>
      <c r="I52" s="21"/>
      <c r="J52" s="21"/>
      <c r="K52" s="21"/>
      <c r="L52" s="21"/>
      <c r="M52" s="21"/>
      <c r="N52" s="21"/>
      <c r="O52" s="21"/>
      <c r="P52" s="21"/>
      <c r="Q52" s="21"/>
      <c r="R52" s="21"/>
      <c r="S52" s="21"/>
      <c r="T52" s="21"/>
      <c r="U52" s="21"/>
      <c r="V52" s="20"/>
    </row>
    <row r="53" spans="1:22" x14ac:dyDescent="0.3">
      <c r="A53" s="18"/>
      <c r="B53" s="21"/>
      <c r="C53" s="21"/>
      <c r="D53" s="21"/>
      <c r="E53" s="21"/>
      <c r="F53" s="21"/>
      <c r="G53" s="21"/>
      <c r="H53" s="21"/>
      <c r="I53" s="21"/>
      <c r="J53" s="21"/>
      <c r="K53" s="21"/>
      <c r="L53" s="21"/>
      <c r="M53" s="21"/>
      <c r="N53" s="21"/>
      <c r="O53" s="21"/>
      <c r="P53" s="21"/>
      <c r="Q53" s="21"/>
      <c r="R53" s="21"/>
      <c r="S53" s="21"/>
      <c r="T53" s="21"/>
      <c r="U53" s="21"/>
      <c r="V53" s="20"/>
    </row>
    <row r="54" spans="1:22" x14ac:dyDescent="0.3">
      <c r="A54" s="18"/>
      <c r="B54" s="21"/>
      <c r="C54" s="21"/>
      <c r="D54" s="21"/>
      <c r="E54" s="21"/>
      <c r="F54" s="21"/>
      <c r="G54" s="21"/>
      <c r="H54" s="21"/>
      <c r="I54" s="21"/>
      <c r="J54" s="21"/>
      <c r="K54" s="21"/>
      <c r="L54" s="21"/>
      <c r="M54" s="21"/>
      <c r="N54" s="21"/>
      <c r="O54" s="21"/>
      <c r="P54" s="21"/>
      <c r="Q54" s="21"/>
      <c r="R54" s="21"/>
      <c r="S54" s="21"/>
      <c r="T54" s="21"/>
      <c r="U54" s="21"/>
      <c r="V54" s="20"/>
    </row>
    <row r="55" spans="1:22" x14ac:dyDescent="0.3">
      <c r="A55" s="18"/>
      <c r="B55" s="21"/>
      <c r="C55" s="21"/>
      <c r="D55" s="21"/>
      <c r="E55" s="21"/>
      <c r="F55" s="21"/>
      <c r="G55" s="21"/>
      <c r="H55" s="21"/>
      <c r="I55" s="21"/>
      <c r="J55" s="21"/>
      <c r="K55" s="21"/>
      <c r="L55" s="5" t="s">
        <v>996</v>
      </c>
      <c r="M55" s="42" t="s">
        <v>997</v>
      </c>
      <c r="N55" s="21"/>
      <c r="O55" s="21"/>
      <c r="P55" s="21"/>
      <c r="Q55" s="21"/>
      <c r="R55" s="21"/>
      <c r="S55" s="21"/>
      <c r="T55" s="21"/>
      <c r="U55" s="21"/>
      <c r="V55" s="20"/>
    </row>
    <row r="56" spans="1:22" x14ac:dyDescent="0.3">
      <c r="A56" s="18"/>
      <c r="B56" s="21"/>
      <c r="C56" s="21"/>
      <c r="D56" s="21"/>
      <c r="E56" s="21"/>
      <c r="F56" s="21"/>
      <c r="G56" s="21"/>
      <c r="H56" s="21"/>
      <c r="I56" s="21"/>
      <c r="J56" s="21"/>
      <c r="K56" s="21"/>
      <c r="L56" s="7" t="s">
        <v>123</v>
      </c>
      <c r="M56" s="30" t="str" cm="1">
        <f t="array" ref="M56">_xll.U.SUBSCRIBE(M55)</f>
        <v>POSITIONCHANGES</v>
      </c>
      <c r="N56" s="21"/>
      <c r="O56" s="21"/>
      <c r="P56" s="21"/>
      <c r="Q56" s="21"/>
      <c r="R56" s="21"/>
      <c r="S56" s="21"/>
      <c r="T56" s="21"/>
      <c r="U56" s="21"/>
      <c r="V56" s="20"/>
    </row>
    <row r="57" spans="1:22" x14ac:dyDescent="0.3">
      <c r="A57" s="18"/>
      <c r="B57" s="21"/>
      <c r="C57" s="21"/>
      <c r="D57" s="21"/>
      <c r="E57" s="21"/>
      <c r="F57" s="21"/>
      <c r="G57" s="21"/>
      <c r="H57" s="21"/>
      <c r="I57" s="21"/>
      <c r="J57" s="21"/>
      <c r="K57" s="21"/>
      <c r="L57" s="21"/>
      <c r="M57" s="21"/>
      <c r="N57" s="21"/>
      <c r="O57" s="21"/>
      <c r="P57" s="21"/>
      <c r="Q57" s="21"/>
      <c r="R57" s="21"/>
      <c r="S57" s="21"/>
      <c r="T57" s="21"/>
      <c r="U57" s="21"/>
      <c r="V57" s="20"/>
    </row>
    <row r="58" spans="1:22" x14ac:dyDescent="0.3">
      <c r="A58" s="18"/>
      <c r="B58" s="21"/>
      <c r="C58" s="21"/>
      <c r="D58" s="21"/>
      <c r="E58" s="21"/>
      <c r="F58" s="21"/>
      <c r="G58" s="21"/>
      <c r="H58" s="21"/>
      <c r="I58" s="21"/>
      <c r="J58" s="21"/>
      <c r="K58" s="21"/>
      <c r="L58" s="21"/>
      <c r="M58" s="21"/>
      <c r="N58" s="21"/>
      <c r="O58" s="21"/>
      <c r="P58" s="21"/>
      <c r="Q58" s="21"/>
      <c r="R58" s="21"/>
      <c r="S58" s="21"/>
      <c r="T58" s="21"/>
      <c r="U58" s="21"/>
      <c r="V58" s="20"/>
    </row>
    <row r="59" spans="1:22" x14ac:dyDescent="0.3">
      <c r="A59" s="18"/>
      <c r="B59" s="21"/>
      <c r="C59" s="21"/>
      <c r="D59" s="21"/>
      <c r="E59" s="21"/>
      <c r="F59" s="21"/>
      <c r="G59" s="21"/>
      <c r="H59" s="21"/>
      <c r="I59" s="21"/>
      <c r="J59" s="21"/>
      <c r="K59" s="21"/>
      <c r="L59" s="21"/>
      <c r="M59" s="21"/>
      <c r="N59" s="21"/>
      <c r="O59" s="21"/>
      <c r="P59" s="21"/>
      <c r="Q59" s="21"/>
      <c r="R59" s="21"/>
      <c r="S59" s="21"/>
      <c r="T59" s="21"/>
      <c r="U59" s="21"/>
      <c r="V59" s="20"/>
    </row>
    <row r="60" spans="1:22" x14ac:dyDescent="0.3">
      <c r="A60" s="18"/>
      <c r="B60" s="21"/>
      <c r="C60" s="21"/>
      <c r="D60" s="21"/>
      <c r="E60" s="21"/>
      <c r="F60" s="21"/>
      <c r="G60" s="21"/>
      <c r="H60" s="21"/>
      <c r="I60" s="21"/>
      <c r="J60" s="21"/>
      <c r="K60" s="21"/>
      <c r="L60" s="5" t="s">
        <v>996</v>
      </c>
      <c r="M60" s="42" t="s">
        <v>3772</v>
      </c>
      <c r="N60" s="21"/>
      <c r="O60" s="21"/>
      <c r="P60" s="21"/>
      <c r="Q60" s="21"/>
      <c r="R60" s="21"/>
      <c r="S60" s="21"/>
      <c r="T60" s="21"/>
      <c r="U60" s="21"/>
      <c r="V60" s="20"/>
    </row>
    <row r="61" spans="1:22" x14ac:dyDescent="0.3">
      <c r="A61" s="18"/>
      <c r="B61" s="21"/>
      <c r="C61" s="21"/>
      <c r="D61" s="21"/>
      <c r="E61" s="21"/>
      <c r="F61" s="21"/>
      <c r="G61" s="21"/>
      <c r="H61" s="21"/>
      <c r="I61" s="21"/>
      <c r="J61" s="21"/>
      <c r="K61" s="21"/>
      <c r="L61" s="7" t="s">
        <v>123</v>
      </c>
      <c r="M61" s="152" t="s">
        <v>3773</v>
      </c>
      <c r="N61" s="21"/>
      <c r="O61" s="21"/>
      <c r="P61" s="21"/>
      <c r="Q61" s="21"/>
      <c r="R61" s="21"/>
      <c r="S61" s="21"/>
      <c r="T61" s="21"/>
      <c r="U61" s="21"/>
      <c r="V61" s="20"/>
    </row>
    <row r="62" spans="1:22" x14ac:dyDescent="0.3">
      <c r="A62" s="18"/>
      <c r="B62" s="21"/>
      <c r="C62" s="21"/>
      <c r="D62" s="21"/>
      <c r="E62" s="21"/>
      <c r="F62" s="21"/>
      <c r="G62" s="21"/>
      <c r="H62" s="21"/>
      <c r="I62" s="21"/>
      <c r="J62" s="21"/>
      <c r="K62" s="21"/>
      <c r="L62" s="21"/>
      <c r="M62" s="21"/>
      <c r="N62" s="21"/>
      <c r="O62" s="21"/>
      <c r="P62" s="21"/>
      <c r="Q62" s="21"/>
      <c r="R62" s="21"/>
      <c r="S62" s="21"/>
      <c r="T62" s="21"/>
      <c r="U62" s="21"/>
      <c r="V62" s="20"/>
    </row>
    <row r="63" spans="1:22" x14ac:dyDescent="0.3">
      <c r="A63" s="18"/>
      <c r="B63" s="21"/>
      <c r="C63" s="21"/>
      <c r="D63" s="21"/>
      <c r="E63" s="21"/>
      <c r="F63" s="21"/>
      <c r="G63" s="21"/>
      <c r="H63" s="21"/>
      <c r="I63" s="21"/>
      <c r="J63" s="21"/>
      <c r="K63" s="21"/>
      <c r="L63" s="21"/>
      <c r="M63" s="21"/>
      <c r="N63" s="21"/>
      <c r="O63" s="21"/>
      <c r="P63" s="21"/>
      <c r="Q63" s="21"/>
      <c r="R63" s="21"/>
      <c r="S63" s="21"/>
      <c r="T63" s="21"/>
      <c r="U63" s="21"/>
      <c r="V63" s="20"/>
    </row>
    <row r="64" spans="1:22" x14ac:dyDescent="0.3">
      <c r="A64" s="18"/>
      <c r="B64" s="21"/>
      <c r="C64" s="21"/>
      <c r="D64" s="21"/>
      <c r="E64" s="21"/>
      <c r="F64" s="21"/>
      <c r="G64" s="21"/>
      <c r="H64" s="21"/>
      <c r="I64" s="21"/>
      <c r="J64" s="21"/>
      <c r="K64" s="21"/>
      <c r="L64" s="21"/>
      <c r="M64" s="21"/>
      <c r="N64" s="21"/>
      <c r="O64" s="21"/>
      <c r="P64" s="21"/>
      <c r="Q64" s="21"/>
      <c r="R64" s="21"/>
      <c r="S64" s="21"/>
      <c r="T64" s="21"/>
      <c r="U64" s="21"/>
      <c r="V64" s="20"/>
    </row>
    <row r="65" spans="1:22" x14ac:dyDescent="0.3">
      <c r="A65" s="490" t="s">
        <v>1002</v>
      </c>
      <c r="B65" s="491"/>
      <c r="C65" s="491"/>
      <c r="D65" s="491"/>
      <c r="E65" s="491"/>
      <c r="F65" s="491"/>
      <c r="G65" s="491"/>
      <c r="H65" s="491"/>
      <c r="I65" s="491"/>
      <c r="J65" s="491"/>
      <c r="K65" s="491"/>
      <c r="L65" s="491"/>
      <c r="M65" s="491"/>
      <c r="N65" s="491"/>
      <c r="O65" s="491"/>
      <c r="P65" s="491"/>
      <c r="Q65" s="491"/>
      <c r="R65" s="491"/>
      <c r="S65" s="491"/>
      <c r="T65" s="491"/>
      <c r="U65" s="21"/>
      <c r="V65" s="20"/>
    </row>
    <row r="66" spans="1:22" x14ac:dyDescent="0.3">
      <c r="A66" s="18"/>
      <c r="B66" s="21"/>
      <c r="C66" s="21"/>
      <c r="D66" s="21"/>
      <c r="E66" s="21"/>
      <c r="F66" s="21"/>
      <c r="G66" s="21"/>
      <c r="H66" s="21"/>
      <c r="I66" s="21"/>
      <c r="J66" s="21"/>
      <c r="K66" s="21"/>
      <c r="L66" s="21"/>
      <c r="M66" s="21"/>
      <c r="N66" s="21"/>
      <c r="O66" s="21"/>
      <c r="P66" s="21"/>
      <c r="Q66" s="21"/>
      <c r="R66" s="21"/>
      <c r="S66" s="21"/>
      <c r="T66" s="21"/>
      <c r="U66" s="21"/>
      <c r="V66" s="20"/>
    </row>
    <row r="67" spans="1:22" x14ac:dyDescent="0.3">
      <c r="A67" s="18"/>
      <c r="B67" s="21"/>
      <c r="C67" s="21"/>
      <c r="D67" s="21"/>
      <c r="E67" s="21"/>
      <c r="F67" s="21"/>
      <c r="G67" s="21"/>
      <c r="H67" s="21"/>
      <c r="I67" s="21"/>
      <c r="J67" s="21"/>
      <c r="K67" s="21"/>
      <c r="L67" s="21"/>
      <c r="M67" s="21"/>
      <c r="N67" s="21"/>
      <c r="O67" s="21"/>
      <c r="P67" s="21"/>
      <c r="Q67" s="21"/>
      <c r="R67" s="21"/>
      <c r="S67" s="21"/>
      <c r="T67" s="21"/>
      <c r="U67" s="21"/>
      <c r="V67" s="20"/>
    </row>
    <row r="68" spans="1:22" x14ac:dyDescent="0.3">
      <c r="A68" s="18"/>
      <c r="B68" s="492" t="s">
        <v>65</v>
      </c>
      <c r="C68" s="529"/>
      <c r="D68" s="529"/>
      <c r="E68" s="529"/>
      <c r="F68" s="529"/>
      <c r="G68" s="529"/>
      <c r="H68" s="529"/>
      <c r="I68" s="493"/>
      <c r="J68" s="21"/>
      <c r="K68" s="21"/>
      <c r="L68" s="190" t="s">
        <v>3574</v>
      </c>
      <c r="M68" s="21"/>
      <c r="N68" s="21"/>
      <c r="O68" s="21"/>
      <c r="P68" s="21"/>
      <c r="Q68" s="21"/>
      <c r="R68" s="21"/>
      <c r="S68" s="21"/>
      <c r="T68" s="21"/>
      <c r="U68" s="21"/>
      <c r="V68" s="20"/>
    </row>
    <row r="69" spans="1:22" x14ac:dyDescent="0.3">
      <c r="A69" s="18"/>
      <c r="B69" s="59" t="s">
        <v>2</v>
      </c>
      <c r="C69" s="60" t="s">
        <v>101</v>
      </c>
      <c r="D69" s="60" t="s">
        <v>111</v>
      </c>
      <c r="E69" s="60" t="s">
        <v>62</v>
      </c>
      <c r="F69" s="60" t="s">
        <v>103</v>
      </c>
      <c r="G69" s="60" t="s">
        <v>104</v>
      </c>
      <c r="H69" s="60" t="s">
        <v>105</v>
      </c>
      <c r="I69" s="60" t="s">
        <v>102</v>
      </c>
      <c r="J69" s="21"/>
      <c r="K69" s="21"/>
      <c r="L69" s="30" t="str" cm="1">
        <f t="array" ref="L69">_xll.U.CACHE(_xll.U.VSORT(_xll.U.VAGGREGATE(B69:I82,"Symbol","Quantity",,,TRUE),"Symbol"))</f>
        <v>CACHE KEY: 3E6B5E05-1BFC-4C33-8F60-B2E874E39120</v>
      </c>
      <c r="M69" s="21"/>
      <c r="N69" s="21"/>
      <c r="O69" s="21"/>
      <c r="P69" s="21"/>
      <c r="Q69" s="21"/>
      <c r="R69" s="21"/>
      <c r="S69" s="21"/>
      <c r="T69" s="21"/>
      <c r="U69" s="21"/>
      <c r="V69" s="20"/>
    </row>
    <row r="70" spans="1:22" x14ac:dyDescent="0.3">
      <c r="A70" s="18"/>
      <c r="B70" s="42" t="s">
        <v>112</v>
      </c>
      <c r="C70" s="42" t="s">
        <v>113</v>
      </c>
      <c r="D70" s="42" t="str">
        <f t="shared" ref="D70:D82" si="2">IF(E70&gt;0,"B","S")</f>
        <v>B</v>
      </c>
      <c r="E70" s="44">
        <v>100</v>
      </c>
      <c r="F70" s="61">
        <v>4.3</v>
      </c>
      <c r="G70" s="61">
        <v>4.3099999999999996</v>
      </c>
      <c r="H70" s="65">
        <f t="shared" ref="H70:H82" si="3">(G70-F70)*E70*IF(ISERROR(FIND(" ",B70)),1,100)</f>
        <v>99.999999999997868</v>
      </c>
      <c r="I70" s="44">
        <v>-3215</v>
      </c>
      <c r="J70" s="21"/>
      <c r="K70" s="21"/>
      <c r="L70" s="21"/>
      <c r="M70" s="21"/>
      <c r="N70" s="21"/>
      <c r="O70" s="21"/>
      <c r="P70" s="21"/>
      <c r="Q70" s="21"/>
      <c r="R70" s="21"/>
      <c r="S70" s="21"/>
      <c r="T70" s="21"/>
      <c r="U70" s="21"/>
      <c r="V70" s="20"/>
    </row>
    <row r="71" spans="1:22" x14ac:dyDescent="0.3">
      <c r="A71" s="18"/>
      <c r="B71" s="42" t="s">
        <v>108</v>
      </c>
      <c r="C71" s="42" t="s">
        <v>110</v>
      </c>
      <c r="D71" s="42" t="str">
        <f t="shared" si="2"/>
        <v>B</v>
      </c>
      <c r="E71" s="44">
        <v>50</v>
      </c>
      <c r="F71" s="61">
        <v>2.65</v>
      </c>
      <c r="G71" s="61">
        <v>2.6</v>
      </c>
      <c r="H71" s="65">
        <f t="shared" si="3"/>
        <v>-249.99999999999912</v>
      </c>
      <c r="I71" s="44">
        <v>2879</v>
      </c>
      <c r="J71" s="21"/>
      <c r="K71" s="21"/>
      <c r="L71" s="21"/>
      <c r="M71" s="21"/>
      <c r="N71" s="21"/>
      <c r="O71" s="21"/>
      <c r="P71" s="21"/>
      <c r="Q71" s="21"/>
      <c r="R71" s="21"/>
      <c r="S71" s="21"/>
      <c r="T71" s="21"/>
      <c r="U71" s="21"/>
      <c r="V71" s="20"/>
    </row>
    <row r="72" spans="1:22" x14ac:dyDescent="0.3">
      <c r="A72" s="18"/>
      <c r="B72" s="42" t="s">
        <v>107</v>
      </c>
      <c r="C72" s="42" t="s">
        <v>109</v>
      </c>
      <c r="D72" s="42" t="str">
        <f t="shared" si="2"/>
        <v>S</v>
      </c>
      <c r="E72" s="44">
        <v>-3000</v>
      </c>
      <c r="F72" s="61">
        <v>159.49</v>
      </c>
      <c r="G72" s="61">
        <v>159.37</v>
      </c>
      <c r="H72" s="65">
        <f t="shared" si="3"/>
        <v>360.00000000001364</v>
      </c>
      <c r="I72" s="44">
        <v>-3000</v>
      </c>
      <c r="J72" s="21"/>
      <c r="K72" s="21"/>
      <c r="L72" s="21"/>
      <c r="M72" s="21"/>
      <c r="N72" s="21"/>
      <c r="O72" s="21"/>
      <c r="P72" s="21"/>
      <c r="Q72" s="21"/>
      <c r="R72" s="21"/>
      <c r="S72" s="21"/>
      <c r="T72" s="21"/>
      <c r="U72" s="21"/>
      <c r="V72" s="20"/>
    </row>
    <row r="73" spans="1:22" x14ac:dyDescent="0.3">
      <c r="A73" s="18"/>
      <c r="B73" s="42" t="s">
        <v>107</v>
      </c>
      <c r="C73" s="42" t="s">
        <v>109</v>
      </c>
      <c r="D73" s="42" t="str">
        <f t="shared" si="2"/>
        <v>S</v>
      </c>
      <c r="E73" s="44">
        <v>-100</v>
      </c>
      <c r="F73" s="61">
        <v>159.5</v>
      </c>
      <c r="G73" s="61">
        <v>159.37</v>
      </c>
      <c r="H73" s="65">
        <f t="shared" si="3"/>
        <v>12.999999999999545</v>
      </c>
      <c r="I73" s="44">
        <v>-3000</v>
      </c>
      <c r="J73" s="21"/>
      <c r="K73" s="21"/>
      <c r="L73" s="21"/>
      <c r="M73" s="21"/>
      <c r="N73" s="21"/>
      <c r="O73" s="21"/>
      <c r="P73" s="21"/>
      <c r="Q73" s="21"/>
      <c r="R73" s="21"/>
      <c r="S73" s="21"/>
      <c r="T73" s="21"/>
      <c r="U73" s="21"/>
      <c r="V73" s="20"/>
    </row>
    <row r="74" spans="1:22" x14ac:dyDescent="0.3">
      <c r="A74" s="18"/>
      <c r="B74" s="42" t="s">
        <v>106</v>
      </c>
      <c r="C74" s="42" t="s">
        <v>113</v>
      </c>
      <c r="D74" s="42" t="str">
        <f t="shared" si="2"/>
        <v>B</v>
      </c>
      <c r="E74" s="44">
        <v>1500</v>
      </c>
      <c r="F74" s="61">
        <v>142.02000000000001</v>
      </c>
      <c r="G74" s="61">
        <v>141.97</v>
      </c>
      <c r="H74" s="65">
        <f t="shared" si="3"/>
        <v>-75.000000000017053</v>
      </c>
      <c r="I74" s="44">
        <v>1500</v>
      </c>
      <c r="J74" s="21"/>
      <c r="K74" s="21"/>
      <c r="L74" s="21"/>
      <c r="M74" s="21"/>
      <c r="N74" s="21"/>
      <c r="O74" s="21"/>
      <c r="P74" s="21"/>
      <c r="Q74" s="21"/>
      <c r="R74" s="21"/>
      <c r="S74" s="21"/>
      <c r="T74" s="21"/>
      <c r="U74" s="21"/>
      <c r="V74" s="20"/>
    </row>
    <row r="75" spans="1:22" x14ac:dyDescent="0.3">
      <c r="A75" s="18"/>
      <c r="B75" s="42" t="s">
        <v>106</v>
      </c>
      <c r="C75" s="42" t="s">
        <v>113</v>
      </c>
      <c r="D75" s="42" t="str">
        <f t="shared" si="2"/>
        <v>B</v>
      </c>
      <c r="E75" s="44">
        <v>100</v>
      </c>
      <c r="F75" s="61">
        <v>142.02000000000001</v>
      </c>
      <c r="G75" s="61">
        <v>141.97</v>
      </c>
      <c r="H75" s="65">
        <f t="shared" si="3"/>
        <v>-5.0000000000011369</v>
      </c>
      <c r="I75" s="44">
        <v>100</v>
      </c>
      <c r="J75" s="21"/>
      <c r="K75" s="21"/>
      <c r="L75" s="21"/>
      <c r="M75" s="21"/>
      <c r="N75" s="21"/>
      <c r="O75" s="21"/>
      <c r="P75" s="21"/>
      <c r="Q75" s="21"/>
      <c r="R75" s="21"/>
      <c r="S75" s="21"/>
      <c r="T75" s="21"/>
      <c r="U75" s="21"/>
      <c r="V75" s="20"/>
    </row>
    <row r="76" spans="1:22" x14ac:dyDescent="0.3">
      <c r="A76" s="18"/>
      <c r="B76" s="42" t="s">
        <v>106</v>
      </c>
      <c r="C76" s="42" t="s">
        <v>113</v>
      </c>
      <c r="D76" s="42" t="str">
        <f t="shared" si="2"/>
        <v>B</v>
      </c>
      <c r="E76" s="44">
        <v>300</v>
      </c>
      <c r="F76" s="61">
        <v>142.02000000000001</v>
      </c>
      <c r="G76" s="61">
        <v>141.97</v>
      </c>
      <c r="H76" s="65">
        <f t="shared" si="3"/>
        <v>-15.000000000003411</v>
      </c>
      <c r="I76" s="44">
        <v>300</v>
      </c>
      <c r="J76" s="21"/>
      <c r="K76" s="21"/>
      <c r="L76" s="21"/>
      <c r="M76" s="21"/>
      <c r="N76" s="21"/>
      <c r="O76" s="21"/>
      <c r="P76" s="21"/>
      <c r="Q76" s="21"/>
      <c r="R76" s="21"/>
      <c r="S76" s="21"/>
      <c r="T76" s="21"/>
      <c r="U76" s="21"/>
      <c r="V76" s="20"/>
    </row>
    <row r="77" spans="1:22" x14ac:dyDescent="0.3">
      <c r="A77" s="18"/>
      <c r="B77" s="42" t="s">
        <v>107</v>
      </c>
      <c r="C77" s="42" t="s">
        <v>109</v>
      </c>
      <c r="D77" s="42" t="str">
        <f t="shared" si="2"/>
        <v>B</v>
      </c>
      <c r="E77" s="44">
        <v>100</v>
      </c>
      <c r="F77" s="61">
        <v>159.4</v>
      </c>
      <c r="G77" s="61">
        <v>159.37</v>
      </c>
      <c r="H77" s="65">
        <f t="shared" si="3"/>
        <v>-3.0000000000001137</v>
      </c>
      <c r="I77" s="44">
        <v>100</v>
      </c>
      <c r="J77" s="21"/>
      <c r="K77" s="21"/>
      <c r="L77" s="21"/>
      <c r="M77" s="21"/>
      <c r="N77" s="21"/>
      <c r="O77" s="21"/>
      <c r="P77" s="21"/>
      <c r="Q77" s="21"/>
      <c r="R77" s="21"/>
      <c r="S77" s="21"/>
      <c r="T77" s="21"/>
      <c r="U77" s="21"/>
      <c r="V77" s="20"/>
    </row>
    <row r="78" spans="1:22" x14ac:dyDescent="0.3">
      <c r="A78" s="18"/>
      <c r="B78" s="42" t="s">
        <v>106</v>
      </c>
      <c r="C78" s="42" t="s">
        <v>113</v>
      </c>
      <c r="D78" s="42" t="str">
        <f t="shared" si="2"/>
        <v>B</v>
      </c>
      <c r="E78" s="44">
        <v>600</v>
      </c>
      <c r="F78" s="61">
        <v>142.02000000000001</v>
      </c>
      <c r="G78" s="61">
        <v>141.97</v>
      </c>
      <c r="H78" s="65">
        <f t="shared" si="3"/>
        <v>-30.000000000006821</v>
      </c>
      <c r="I78" s="44">
        <v>600</v>
      </c>
      <c r="J78" s="21"/>
      <c r="K78" s="21"/>
      <c r="L78" s="21"/>
      <c r="M78" s="21"/>
      <c r="N78" s="21"/>
      <c r="O78" s="21"/>
      <c r="P78" s="21"/>
      <c r="Q78" s="21"/>
      <c r="R78" s="21"/>
      <c r="S78" s="21"/>
      <c r="T78" s="21"/>
      <c r="U78" s="21"/>
      <c r="V78" s="20"/>
    </row>
    <row r="79" spans="1:22" x14ac:dyDescent="0.3">
      <c r="A79" s="18"/>
      <c r="B79" s="42" t="s">
        <v>107</v>
      </c>
      <c r="C79" s="42" t="s">
        <v>109</v>
      </c>
      <c r="D79" s="42" t="str">
        <f t="shared" si="2"/>
        <v>B</v>
      </c>
      <c r="E79" s="44">
        <v>100</v>
      </c>
      <c r="F79" s="61">
        <v>159.4</v>
      </c>
      <c r="G79" s="61">
        <v>159.37</v>
      </c>
      <c r="H79" s="65">
        <f t="shared" si="3"/>
        <v>-3.0000000000001137</v>
      </c>
      <c r="I79" s="44">
        <v>100</v>
      </c>
      <c r="J79" s="21"/>
      <c r="K79" s="21"/>
      <c r="L79" s="21"/>
      <c r="M79" s="21"/>
      <c r="N79" s="21"/>
      <c r="O79" s="21"/>
      <c r="P79" s="21"/>
      <c r="Q79" s="21"/>
      <c r="R79" s="21"/>
      <c r="S79" s="21"/>
      <c r="T79" s="21"/>
      <c r="U79" s="21"/>
      <c r="V79" s="20"/>
    </row>
    <row r="80" spans="1:22" x14ac:dyDescent="0.3">
      <c r="A80" s="18"/>
      <c r="B80" s="42" t="s">
        <v>108</v>
      </c>
      <c r="C80" s="42" t="s">
        <v>110</v>
      </c>
      <c r="D80" s="42" t="str">
        <f t="shared" si="2"/>
        <v>S</v>
      </c>
      <c r="E80" s="44">
        <v>-10</v>
      </c>
      <c r="F80" s="61">
        <v>2.62</v>
      </c>
      <c r="G80" s="61">
        <v>2.6</v>
      </c>
      <c r="H80" s="65">
        <f t="shared" si="3"/>
        <v>20.000000000000018</v>
      </c>
      <c r="I80" s="44">
        <v>-575.79999999999995</v>
      </c>
      <c r="J80" s="21"/>
      <c r="K80" s="21"/>
      <c r="L80" s="21"/>
      <c r="M80" s="21"/>
      <c r="N80" s="21"/>
      <c r="O80" s="21"/>
      <c r="P80" s="21"/>
      <c r="Q80" s="21"/>
      <c r="R80" s="21"/>
      <c r="S80" s="21"/>
      <c r="T80" s="21"/>
      <c r="U80" s="21"/>
      <c r="V80" s="20"/>
    </row>
    <row r="81" spans="1:22" x14ac:dyDescent="0.3">
      <c r="A81" s="18"/>
      <c r="B81" s="42" t="s">
        <v>106</v>
      </c>
      <c r="C81" s="42" t="s">
        <v>113</v>
      </c>
      <c r="D81" s="42" t="str">
        <f t="shared" si="2"/>
        <v>B</v>
      </c>
      <c r="E81" s="44">
        <v>700</v>
      </c>
      <c r="F81" s="61">
        <v>141.97999999999999</v>
      </c>
      <c r="G81" s="61">
        <v>141.97</v>
      </c>
      <c r="H81" s="65">
        <f t="shared" si="3"/>
        <v>-6.9999999999936335</v>
      </c>
      <c r="I81" s="44">
        <v>600</v>
      </c>
      <c r="J81" s="21"/>
      <c r="K81" s="21"/>
      <c r="L81" s="21"/>
      <c r="M81" s="21"/>
      <c r="N81" s="21"/>
      <c r="O81" s="21"/>
      <c r="P81" s="21"/>
      <c r="Q81" s="21"/>
      <c r="R81" s="21"/>
      <c r="S81" s="21"/>
      <c r="T81" s="21"/>
      <c r="U81" s="21"/>
      <c r="V81" s="20"/>
    </row>
    <row r="82" spans="1:22" x14ac:dyDescent="0.3">
      <c r="A82" s="18"/>
      <c r="B82" s="42" t="s">
        <v>108</v>
      </c>
      <c r="C82" s="42" t="s">
        <v>110</v>
      </c>
      <c r="D82" s="42" t="str">
        <f t="shared" si="2"/>
        <v>S</v>
      </c>
      <c r="E82" s="44">
        <v>-40</v>
      </c>
      <c r="F82" s="61">
        <v>2.61</v>
      </c>
      <c r="G82" s="61">
        <v>2.6</v>
      </c>
      <c r="H82" s="65">
        <f t="shared" si="3"/>
        <v>39.999999999999147</v>
      </c>
      <c r="I82" s="44">
        <v>-2303.1999999999998</v>
      </c>
      <c r="J82" s="21"/>
      <c r="K82" s="21"/>
      <c r="L82" s="21"/>
      <c r="M82" s="21"/>
      <c r="N82" s="21"/>
      <c r="O82" s="21"/>
      <c r="P82" s="21"/>
      <c r="Q82" s="21"/>
      <c r="R82" s="21"/>
      <c r="S82" s="21"/>
      <c r="T82" s="21"/>
      <c r="U82" s="21"/>
      <c r="V82" s="20"/>
    </row>
    <row r="83" spans="1:22" x14ac:dyDescent="0.3">
      <c r="A83" s="18"/>
      <c r="B83" s="21"/>
      <c r="C83" s="21"/>
      <c r="D83" s="21"/>
      <c r="E83" s="21"/>
      <c r="F83" s="21"/>
      <c r="G83" s="21"/>
      <c r="H83" s="21"/>
      <c r="I83" s="21"/>
      <c r="J83" s="21"/>
      <c r="K83" s="21"/>
      <c r="L83" s="21"/>
      <c r="M83" s="21"/>
      <c r="N83" s="21"/>
      <c r="O83" s="21"/>
      <c r="P83" s="21"/>
      <c r="Q83" s="21"/>
      <c r="R83" s="21"/>
      <c r="S83" s="21"/>
      <c r="T83" s="21"/>
      <c r="U83" s="21"/>
      <c r="V83" s="20"/>
    </row>
    <row r="84" spans="1:22" x14ac:dyDescent="0.3">
      <c r="A84" s="18"/>
      <c r="B84" s="21"/>
      <c r="C84" s="21"/>
      <c r="D84" s="21"/>
      <c r="E84" s="21"/>
      <c r="F84" s="21"/>
      <c r="G84" s="21"/>
      <c r="H84" s="21"/>
      <c r="I84" s="21"/>
      <c r="J84" s="21"/>
      <c r="K84" s="21"/>
      <c r="L84" s="21"/>
      <c r="M84" s="21"/>
      <c r="N84" s="21"/>
      <c r="O84" s="21"/>
      <c r="P84" s="21"/>
      <c r="Q84" s="21"/>
      <c r="R84" s="21"/>
      <c r="S84" s="21"/>
      <c r="T84" s="21"/>
      <c r="U84" s="21"/>
      <c r="V84" s="20"/>
    </row>
    <row r="85" spans="1:22" x14ac:dyDescent="0.3">
      <c r="A85" s="18"/>
      <c r="B85" s="21"/>
      <c r="C85" s="21"/>
      <c r="D85" s="21"/>
      <c r="E85" s="21"/>
      <c r="F85" s="21"/>
      <c r="G85" s="21"/>
      <c r="H85" s="21"/>
      <c r="I85" s="21"/>
      <c r="J85" s="21"/>
      <c r="K85" s="21"/>
      <c r="L85" s="21"/>
      <c r="M85" s="21"/>
      <c r="N85" s="21"/>
      <c r="O85" s="21"/>
      <c r="P85" s="21"/>
      <c r="Q85" s="21"/>
      <c r="R85" s="21"/>
      <c r="S85" s="21"/>
      <c r="T85" s="21"/>
      <c r="U85" s="21"/>
      <c r="V85" s="20"/>
    </row>
    <row r="86" spans="1:22" x14ac:dyDescent="0.3">
      <c r="A86" s="18"/>
      <c r="B86" s="21"/>
      <c r="C86" s="21"/>
      <c r="D86" s="21"/>
      <c r="E86" s="21"/>
      <c r="F86" s="21"/>
      <c r="G86" s="21"/>
      <c r="H86" s="21"/>
      <c r="I86" s="21"/>
      <c r="J86" s="21"/>
      <c r="K86" s="21"/>
      <c r="L86" s="21"/>
      <c r="M86" s="21"/>
      <c r="N86" s="21"/>
      <c r="O86" s="21"/>
      <c r="P86" s="21"/>
      <c r="Q86" s="21"/>
      <c r="R86" s="21"/>
      <c r="S86" s="21"/>
      <c r="T86" s="21"/>
      <c r="U86" s="21"/>
      <c r="V86" s="20"/>
    </row>
    <row r="87" spans="1:22" x14ac:dyDescent="0.3">
      <c r="A87" s="18"/>
      <c r="B87" s="21"/>
      <c r="C87" s="21"/>
      <c r="D87" s="21"/>
      <c r="E87" s="21"/>
      <c r="F87" s="21"/>
      <c r="G87" s="21"/>
      <c r="H87" s="21"/>
      <c r="I87" s="21"/>
      <c r="J87" s="21"/>
      <c r="K87" s="21"/>
      <c r="L87" s="21"/>
      <c r="M87" s="21"/>
      <c r="N87" s="21"/>
      <c r="O87" s="21"/>
      <c r="P87" s="21"/>
      <c r="Q87" s="21"/>
      <c r="R87" s="21"/>
      <c r="S87" s="21"/>
      <c r="T87" s="21"/>
      <c r="U87" s="21"/>
      <c r="V87" s="20"/>
    </row>
    <row r="88" spans="1:22" x14ac:dyDescent="0.3">
      <c r="A88" s="18"/>
      <c r="B88" s="21"/>
      <c r="C88" s="21"/>
      <c r="D88" s="21"/>
      <c r="E88" s="21"/>
      <c r="F88" s="21"/>
      <c r="G88" s="21"/>
      <c r="H88" s="21"/>
      <c r="I88" s="21"/>
      <c r="J88" s="21"/>
      <c r="K88" s="21"/>
      <c r="L88" s="21"/>
      <c r="M88" s="21"/>
      <c r="N88" s="21"/>
      <c r="O88" s="21"/>
      <c r="P88" s="21"/>
      <c r="Q88" s="21"/>
      <c r="R88" s="21"/>
      <c r="S88" s="21"/>
      <c r="T88" s="21"/>
      <c r="U88" s="21"/>
      <c r="V88" s="20"/>
    </row>
    <row r="89" spans="1:22" x14ac:dyDescent="0.3">
      <c r="A89" s="18"/>
      <c r="B89" s="21"/>
      <c r="C89" s="21"/>
      <c r="D89" s="21"/>
      <c r="E89" s="21"/>
      <c r="F89" s="21"/>
      <c r="G89" s="21"/>
      <c r="H89" s="21"/>
      <c r="I89" s="21"/>
      <c r="J89" s="21"/>
      <c r="K89" s="21"/>
      <c r="L89" s="21"/>
      <c r="M89" s="21"/>
      <c r="N89" s="21"/>
      <c r="O89" s="21"/>
      <c r="P89" s="21"/>
      <c r="Q89" s="21"/>
      <c r="R89" s="21"/>
      <c r="S89" s="21"/>
      <c r="T89" s="21"/>
      <c r="U89" s="21"/>
      <c r="V89" s="20"/>
    </row>
    <row r="90" spans="1:22" x14ac:dyDescent="0.3">
      <c r="A90" s="18"/>
      <c r="B90" s="21"/>
      <c r="C90" s="21"/>
      <c r="D90" s="21"/>
      <c r="E90" s="21"/>
      <c r="F90" s="21"/>
      <c r="G90" s="21"/>
      <c r="H90" s="21"/>
      <c r="I90" s="21"/>
      <c r="J90" s="21"/>
      <c r="K90" s="21"/>
      <c r="L90" s="21"/>
      <c r="M90" s="21"/>
      <c r="N90" s="21"/>
      <c r="O90" s="21"/>
      <c r="P90" s="21"/>
      <c r="Q90" s="21"/>
      <c r="R90" s="21"/>
      <c r="S90" s="21"/>
      <c r="T90" s="21"/>
      <c r="U90" s="21"/>
      <c r="V90" s="20"/>
    </row>
    <row r="91" spans="1:22" x14ac:dyDescent="0.3">
      <c r="A91" s="18"/>
      <c r="B91" s="21"/>
      <c r="C91" s="21"/>
      <c r="D91" s="21"/>
      <c r="E91" s="21"/>
      <c r="F91" s="21"/>
      <c r="G91" s="21"/>
      <c r="H91" s="21"/>
      <c r="I91" s="21"/>
      <c r="J91" s="21"/>
      <c r="K91" s="21"/>
      <c r="L91" s="85" t="str">
        <f t="array" ref="L91:M100">_xll.U.PAD(_xll.U.VSORT(_xll.U.VAGGREGATE(_xll.U.CACHE(B69:I82),"Symbol","Quantity",,,TRUE),"Symbol"))</f>
        <v>Symbol</v>
      </c>
      <c r="M91" s="85" t="str">
        <v>Quantity</v>
      </c>
      <c r="N91" s="21"/>
      <c r="O91" s="21"/>
      <c r="P91" s="21"/>
      <c r="Q91" s="21"/>
      <c r="R91" s="21"/>
      <c r="S91" s="21"/>
      <c r="T91" s="21"/>
      <c r="U91" s="21"/>
      <c r="V91" s="20"/>
    </row>
    <row r="92" spans="1:22" x14ac:dyDescent="0.3">
      <c r="A92" s="18"/>
      <c r="B92" s="21"/>
      <c r="C92" s="21"/>
      <c r="D92" s="21"/>
      <c r="E92" s="21"/>
      <c r="F92" s="21"/>
      <c r="G92" s="21"/>
      <c r="H92" s="21"/>
      <c r="I92" s="21"/>
      <c r="J92" s="21"/>
      <c r="K92" s="21"/>
      <c r="L92" s="30" t="str">
        <v>AAPL</v>
      </c>
      <c r="M92" s="30">
        <v>3200</v>
      </c>
      <c r="N92" s="21"/>
      <c r="O92" s="21"/>
      <c r="P92" s="21"/>
      <c r="Q92" s="21"/>
      <c r="R92" s="21"/>
      <c r="S92" s="21"/>
      <c r="T92" s="21"/>
      <c r="U92" s="21"/>
      <c r="V92" s="20"/>
    </row>
    <row r="93" spans="1:22" x14ac:dyDescent="0.3">
      <c r="A93" s="18"/>
      <c r="B93" s="21"/>
      <c r="C93" s="21"/>
      <c r="D93" s="21"/>
      <c r="E93" s="21"/>
      <c r="F93" s="21"/>
      <c r="G93" s="21"/>
      <c r="H93" s="21"/>
      <c r="I93" s="21"/>
      <c r="J93" s="21"/>
      <c r="K93" s="21"/>
      <c r="L93" s="30" t="str">
        <v>AAPL Jun17 140P</v>
      </c>
      <c r="M93" s="30">
        <v>100</v>
      </c>
      <c r="N93" s="21"/>
      <c r="O93" s="21"/>
      <c r="P93" s="21"/>
      <c r="Q93" s="21"/>
      <c r="R93" s="21"/>
      <c r="S93" s="21"/>
      <c r="T93" s="21"/>
      <c r="U93" s="21"/>
      <c r="V93" s="20"/>
    </row>
    <row r="94" spans="1:22" x14ac:dyDescent="0.3">
      <c r="A94" s="18"/>
      <c r="B94" s="21"/>
      <c r="C94" s="21"/>
      <c r="D94" s="21"/>
      <c r="E94" s="21"/>
      <c r="F94" s="21"/>
      <c r="G94" s="21"/>
      <c r="H94" s="21"/>
      <c r="I94" s="21"/>
      <c r="J94" s="21"/>
      <c r="K94" s="21"/>
      <c r="L94" s="30" t="str">
        <v>IBM</v>
      </c>
      <c r="M94" s="30">
        <v>-2900</v>
      </c>
      <c r="N94" s="21"/>
      <c r="O94" s="21"/>
      <c r="P94" s="21"/>
      <c r="Q94" s="21"/>
      <c r="R94" s="21"/>
      <c r="S94" s="21"/>
      <c r="T94" s="21"/>
      <c r="U94" s="21"/>
      <c r="V94" s="20"/>
    </row>
    <row r="95" spans="1:22" x14ac:dyDescent="0.3">
      <c r="A95" s="18"/>
      <c r="B95" s="21"/>
      <c r="C95" s="21"/>
      <c r="D95" s="21"/>
      <c r="E95" s="21"/>
      <c r="F95" s="21"/>
      <c r="G95" s="21"/>
      <c r="H95" s="21"/>
      <c r="I95" s="21"/>
      <c r="J95" s="21"/>
      <c r="K95" s="21"/>
      <c r="L95" s="30" t="str">
        <v>IBM Jun17 160C</v>
      </c>
      <c r="M95" s="30">
        <v>0</v>
      </c>
      <c r="N95" s="21"/>
      <c r="O95" s="21"/>
      <c r="P95" s="21"/>
      <c r="Q95" s="21"/>
      <c r="R95" s="21"/>
      <c r="S95" s="21"/>
      <c r="T95" s="21"/>
      <c r="U95" s="21"/>
      <c r="V95" s="20"/>
    </row>
    <row r="96" spans="1:22" x14ac:dyDescent="0.3">
      <c r="A96" s="18"/>
      <c r="B96" s="21"/>
      <c r="C96" s="21"/>
      <c r="D96" s="21"/>
      <c r="E96" s="21"/>
      <c r="F96" s="21"/>
      <c r="G96" s="21"/>
      <c r="H96" s="21"/>
      <c r="I96" s="21"/>
      <c r="J96" s="21"/>
      <c r="K96" s="21"/>
      <c r="L96" s="30" t="str">
        <v/>
      </c>
      <c r="M96" s="30" t="str">
        <v/>
      </c>
      <c r="N96" s="21"/>
      <c r="O96" s="21"/>
      <c r="P96" s="21"/>
      <c r="Q96" s="21"/>
      <c r="R96" s="21"/>
      <c r="S96" s="21"/>
      <c r="T96" s="21"/>
      <c r="U96" s="21"/>
      <c r="V96" s="20"/>
    </row>
    <row r="97" spans="1:22" x14ac:dyDescent="0.3">
      <c r="A97" s="18"/>
      <c r="B97" s="21"/>
      <c r="C97" s="21"/>
      <c r="D97" s="21"/>
      <c r="E97" s="21"/>
      <c r="F97" s="21"/>
      <c r="G97" s="21"/>
      <c r="H97" s="21"/>
      <c r="I97" s="21"/>
      <c r="J97" s="21"/>
      <c r="K97" s="21"/>
      <c r="L97" s="30" t="str">
        <v/>
      </c>
      <c r="M97" s="30" t="str">
        <v/>
      </c>
      <c r="N97" s="21"/>
      <c r="O97" s="21"/>
      <c r="P97" s="21"/>
      <c r="Q97" s="21"/>
      <c r="R97" s="21"/>
      <c r="S97" s="21"/>
      <c r="T97" s="21"/>
      <c r="U97" s="21"/>
      <c r="V97" s="20"/>
    </row>
    <row r="98" spans="1:22" x14ac:dyDescent="0.3">
      <c r="A98" s="18"/>
      <c r="B98" s="21"/>
      <c r="C98" s="21"/>
      <c r="D98" s="21"/>
      <c r="E98" s="21"/>
      <c r="F98" s="21"/>
      <c r="G98" s="21"/>
      <c r="H98" s="21"/>
      <c r="I98" s="21"/>
      <c r="J98" s="21"/>
      <c r="K98" s="21"/>
      <c r="L98" s="30" t="str">
        <v/>
      </c>
      <c r="M98" s="30" t="str">
        <v/>
      </c>
      <c r="N98" s="21"/>
      <c r="O98" s="21"/>
      <c r="P98" s="21"/>
      <c r="Q98" s="21"/>
      <c r="R98" s="21"/>
      <c r="S98" s="21"/>
      <c r="T98" s="21"/>
      <c r="U98" s="21"/>
      <c r="V98" s="20"/>
    </row>
    <row r="99" spans="1:22" x14ac:dyDescent="0.3">
      <c r="A99" s="18"/>
      <c r="B99" s="21"/>
      <c r="C99" s="21"/>
      <c r="D99" s="21"/>
      <c r="E99" s="21"/>
      <c r="F99" s="21"/>
      <c r="G99" s="21"/>
      <c r="H99" s="21"/>
      <c r="I99" s="21"/>
      <c r="J99" s="21"/>
      <c r="K99" s="21"/>
      <c r="L99" s="30" t="str">
        <v/>
      </c>
      <c r="M99" s="30" t="str">
        <v/>
      </c>
      <c r="N99" s="21"/>
      <c r="O99" s="21"/>
      <c r="P99" s="21"/>
      <c r="Q99" s="21"/>
      <c r="R99" s="21"/>
      <c r="S99" s="21"/>
      <c r="T99" s="21"/>
      <c r="U99" s="21"/>
      <c r="V99" s="20"/>
    </row>
    <row r="100" spans="1:22" x14ac:dyDescent="0.3">
      <c r="A100" s="18"/>
      <c r="B100" s="21"/>
      <c r="C100" s="21"/>
      <c r="D100" s="21"/>
      <c r="E100" s="21"/>
      <c r="F100" s="21"/>
      <c r="G100" s="21"/>
      <c r="H100" s="21"/>
      <c r="I100" s="21"/>
      <c r="J100" s="21"/>
      <c r="K100" s="21"/>
      <c r="L100" s="30" t="str">
        <v/>
      </c>
      <c r="M100" s="30" t="str">
        <v/>
      </c>
      <c r="N100" s="21"/>
      <c r="O100" s="21"/>
      <c r="P100" s="21"/>
      <c r="Q100" s="21"/>
      <c r="R100" s="21"/>
      <c r="S100" s="21"/>
      <c r="T100" s="21"/>
      <c r="U100" s="21"/>
      <c r="V100" s="20"/>
    </row>
    <row r="101" spans="1:22" x14ac:dyDescent="0.3">
      <c r="A101" s="18"/>
      <c r="B101" s="21"/>
      <c r="C101" s="21"/>
      <c r="D101" s="21"/>
      <c r="E101" s="21"/>
      <c r="F101" s="21"/>
      <c r="G101" s="21"/>
      <c r="H101" s="21"/>
      <c r="I101" s="21"/>
      <c r="J101" s="21"/>
      <c r="K101" s="21"/>
      <c r="L101" s="21"/>
      <c r="M101" s="21"/>
      <c r="N101" s="21"/>
      <c r="O101" s="21"/>
      <c r="P101" s="21"/>
      <c r="Q101" s="21"/>
      <c r="R101" s="21"/>
      <c r="S101" s="21"/>
      <c r="T101" s="21"/>
      <c r="U101" s="21"/>
      <c r="V101" s="20"/>
    </row>
    <row r="102" spans="1:22" x14ac:dyDescent="0.3">
      <c r="A102" s="18"/>
      <c r="B102" s="21"/>
      <c r="C102" s="21"/>
      <c r="D102" s="21"/>
      <c r="E102" s="21"/>
      <c r="F102" s="21"/>
      <c r="G102" s="21"/>
      <c r="H102" s="21"/>
      <c r="I102" s="21"/>
      <c r="J102" s="21"/>
      <c r="K102" s="21"/>
      <c r="L102" s="21"/>
      <c r="M102" s="21"/>
      <c r="N102" s="21"/>
      <c r="O102" s="21"/>
      <c r="P102" s="21"/>
      <c r="Q102" s="21"/>
      <c r="R102" s="21"/>
      <c r="S102" s="21"/>
      <c r="T102" s="21"/>
      <c r="U102" s="21"/>
      <c r="V102" s="20"/>
    </row>
    <row r="103" spans="1:22" x14ac:dyDescent="0.3">
      <c r="A103" s="18"/>
      <c r="B103" s="21"/>
      <c r="C103" s="21"/>
      <c r="D103" s="21"/>
      <c r="E103" s="21"/>
      <c r="F103" s="21"/>
      <c r="G103" s="21"/>
      <c r="H103" s="21"/>
      <c r="I103" s="21"/>
      <c r="J103" s="21"/>
      <c r="K103" s="21"/>
      <c r="L103" s="21"/>
      <c r="M103" s="21"/>
      <c r="N103" s="21"/>
      <c r="O103" s="21"/>
      <c r="P103" s="21"/>
      <c r="Q103" s="21"/>
      <c r="R103" s="21"/>
      <c r="S103" s="21"/>
      <c r="T103" s="21"/>
      <c r="U103" s="21"/>
      <c r="V103" s="20"/>
    </row>
    <row r="104" spans="1:22" x14ac:dyDescent="0.3">
      <c r="A104" s="18"/>
      <c r="B104" s="21"/>
      <c r="C104" s="21"/>
      <c r="D104" s="21"/>
      <c r="E104" s="21"/>
      <c r="F104" s="21"/>
      <c r="G104" s="21"/>
      <c r="H104" s="21"/>
      <c r="I104" s="21"/>
      <c r="J104" s="21"/>
      <c r="K104" s="21"/>
      <c r="L104" s="21"/>
      <c r="M104" s="21"/>
      <c r="N104" s="21"/>
      <c r="O104" s="21"/>
      <c r="P104" s="21"/>
      <c r="Q104" s="21"/>
      <c r="R104" s="21"/>
      <c r="S104" s="21"/>
      <c r="T104" s="21"/>
      <c r="U104" s="21"/>
      <c r="V104" s="20"/>
    </row>
    <row r="105" spans="1:22" x14ac:dyDescent="0.3">
      <c r="A105" s="18"/>
      <c r="B105" s="21"/>
      <c r="C105" s="21"/>
      <c r="D105" s="21"/>
      <c r="E105" s="21"/>
      <c r="F105" s="21"/>
      <c r="G105" s="21"/>
      <c r="H105" s="21"/>
      <c r="I105" s="21"/>
      <c r="J105" s="21"/>
      <c r="K105" s="21"/>
      <c r="L105" s="21"/>
      <c r="M105" s="21"/>
      <c r="N105" s="21"/>
      <c r="O105" s="21"/>
      <c r="P105" s="21"/>
      <c r="Q105" s="21"/>
      <c r="R105" s="21"/>
      <c r="S105" s="21"/>
      <c r="T105" s="21"/>
      <c r="U105" s="21"/>
      <c r="V105" s="20"/>
    </row>
    <row r="106" spans="1:22" x14ac:dyDescent="0.3">
      <c r="A106" s="18"/>
      <c r="B106" s="21"/>
      <c r="C106" s="21"/>
      <c r="D106" s="21"/>
      <c r="E106" s="21"/>
      <c r="F106" s="21"/>
      <c r="G106" s="21"/>
      <c r="H106" s="21"/>
      <c r="I106" s="21"/>
      <c r="J106" s="21"/>
      <c r="K106" s="21"/>
      <c r="L106" s="21"/>
      <c r="M106" s="21"/>
      <c r="N106" s="21"/>
      <c r="O106" s="21"/>
      <c r="P106" s="21"/>
      <c r="Q106" s="21"/>
      <c r="R106" s="21"/>
      <c r="S106" s="21"/>
      <c r="T106" s="21"/>
      <c r="U106" s="21"/>
      <c r="V106" s="20"/>
    </row>
    <row r="107" spans="1:22" x14ac:dyDescent="0.3">
      <c r="A107" s="18"/>
      <c r="B107" s="21"/>
      <c r="C107" s="21"/>
      <c r="D107" s="21"/>
      <c r="E107" s="21"/>
      <c r="F107" s="21"/>
      <c r="G107" s="21"/>
      <c r="H107" s="21"/>
      <c r="I107" s="21"/>
      <c r="J107" s="21"/>
      <c r="K107" s="21"/>
      <c r="L107" s="21"/>
      <c r="M107" s="21"/>
      <c r="N107" s="21"/>
      <c r="O107" s="21"/>
      <c r="P107" s="21"/>
      <c r="Q107" s="21"/>
      <c r="R107" s="21"/>
      <c r="S107" s="21"/>
      <c r="T107" s="21"/>
      <c r="U107" s="21"/>
      <c r="V107" s="20"/>
    </row>
    <row r="108" spans="1:22" x14ac:dyDescent="0.3">
      <c r="A108" s="18"/>
      <c r="B108" s="21"/>
      <c r="C108" s="21"/>
      <c r="D108" s="21"/>
      <c r="E108" s="21"/>
      <c r="F108" s="21"/>
      <c r="G108" s="21"/>
      <c r="H108" s="21"/>
      <c r="I108" s="21"/>
      <c r="J108" s="21"/>
      <c r="K108" s="21"/>
      <c r="L108" s="21"/>
      <c r="M108" s="21"/>
      <c r="N108" s="21"/>
      <c r="O108" s="21"/>
      <c r="P108" s="21"/>
      <c r="Q108" s="21"/>
      <c r="R108" s="21"/>
      <c r="S108" s="21"/>
      <c r="T108" s="21"/>
      <c r="U108" s="21"/>
      <c r="V108" s="20"/>
    </row>
    <row r="109" spans="1:22" x14ac:dyDescent="0.3">
      <c r="A109" s="18"/>
      <c r="B109" s="21"/>
      <c r="C109" s="21"/>
      <c r="D109" s="21"/>
      <c r="E109" s="21"/>
      <c r="F109" s="21"/>
      <c r="G109" s="21"/>
      <c r="H109" s="21"/>
      <c r="I109" s="21"/>
      <c r="J109" s="21"/>
      <c r="K109" s="21"/>
      <c r="L109" s="21"/>
      <c r="M109" s="21"/>
      <c r="N109" s="21"/>
      <c r="O109" s="21"/>
      <c r="P109" s="21"/>
      <c r="Q109" s="21"/>
      <c r="R109" s="21"/>
      <c r="S109" s="21"/>
      <c r="T109" s="21"/>
      <c r="U109" s="21"/>
      <c r="V109" s="20"/>
    </row>
    <row r="110" spans="1:22" x14ac:dyDescent="0.3">
      <c r="A110" s="18"/>
      <c r="B110" s="21"/>
      <c r="C110" s="21"/>
      <c r="D110" s="21"/>
      <c r="E110" s="21"/>
      <c r="F110" s="21"/>
      <c r="G110" s="21"/>
      <c r="H110" s="21"/>
      <c r="I110" s="21"/>
      <c r="J110" s="21"/>
      <c r="K110" s="21"/>
      <c r="L110" s="21"/>
      <c r="M110" s="21"/>
      <c r="N110" s="21"/>
      <c r="O110" s="21"/>
      <c r="P110" s="21"/>
      <c r="Q110" s="21"/>
      <c r="R110" s="21"/>
      <c r="S110" s="21"/>
      <c r="T110" s="21"/>
      <c r="U110" s="21"/>
      <c r="V110" s="20"/>
    </row>
    <row r="111" spans="1:22" x14ac:dyDescent="0.3">
      <c r="A111" s="18"/>
      <c r="B111" s="21"/>
      <c r="C111" s="21"/>
      <c r="D111" s="21"/>
      <c r="E111" s="21"/>
      <c r="F111" s="21"/>
      <c r="G111" s="21"/>
      <c r="H111" s="21"/>
      <c r="I111" s="21"/>
      <c r="J111" s="21"/>
      <c r="K111" s="21"/>
      <c r="L111" s="21"/>
      <c r="M111" s="21"/>
      <c r="N111" s="21"/>
      <c r="O111" s="21"/>
      <c r="P111" s="21"/>
      <c r="Q111" s="21"/>
      <c r="R111" s="21"/>
      <c r="S111" s="21"/>
      <c r="T111" s="21"/>
      <c r="U111" s="21"/>
      <c r="V111" s="20"/>
    </row>
    <row r="112" spans="1:22" x14ac:dyDescent="0.3">
      <c r="A112" s="18"/>
      <c r="B112" s="21"/>
      <c r="C112" s="21"/>
      <c r="D112" s="21"/>
      <c r="E112" s="21"/>
      <c r="F112" s="21"/>
      <c r="G112" s="21"/>
      <c r="H112" s="21"/>
      <c r="I112" s="21"/>
      <c r="J112" s="21"/>
      <c r="K112" s="21"/>
      <c r="L112" s="21"/>
      <c r="M112" s="21"/>
      <c r="N112" s="21"/>
      <c r="O112" s="21"/>
      <c r="P112" s="21"/>
      <c r="Q112" s="21"/>
      <c r="R112" s="21"/>
      <c r="S112" s="21"/>
      <c r="T112" s="21"/>
      <c r="U112" s="21"/>
      <c r="V112" s="20"/>
    </row>
    <row r="113" spans="1:22" x14ac:dyDescent="0.3">
      <c r="A113" s="18"/>
      <c r="B113" s="21"/>
      <c r="C113" s="21"/>
      <c r="D113" s="21"/>
      <c r="E113" s="21"/>
      <c r="F113" s="21"/>
      <c r="G113" s="21"/>
      <c r="H113" s="21"/>
      <c r="I113" s="21"/>
      <c r="J113" s="21"/>
      <c r="K113" s="21"/>
      <c r="L113" s="21"/>
      <c r="M113" s="21"/>
      <c r="N113" s="21"/>
      <c r="O113" s="21"/>
      <c r="P113" s="21"/>
      <c r="Q113" s="21"/>
      <c r="R113" s="21"/>
      <c r="S113" s="21"/>
      <c r="T113" s="21"/>
      <c r="U113" s="21"/>
      <c r="V113" s="20"/>
    </row>
    <row r="114" spans="1:22" x14ac:dyDescent="0.3">
      <c r="A114" s="18"/>
      <c r="B114" s="21"/>
      <c r="C114" s="21"/>
      <c r="D114" s="21"/>
      <c r="E114" s="21"/>
      <c r="F114" s="21"/>
      <c r="G114" s="21"/>
      <c r="H114" s="21"/>
      <c r="I114" s="21"/>
      <c r="J114" s="21"/>
      <c r="K114" s="21"/>
      <c r="L114" s="21"/>
      <c r="M114" s="21"/>
      <c r="N114" s="21"/>
      <c r="O114" s="21"/>
      <c r="P114" s="21"/>
      <c r="Q114" s="21"/>
      <c r="R114" s="21"/>
      <c r="S114" s="21"/>
      <c r="T114" s="21"/>
      <c r="U114" s="21"/>
      <c r="V114" s="20"/>
    </row>
    <row r="115" spans="1:22" x14ac:dyDescent="0.3">
      <c r="A115" s="18"/>
      <c r="B115" s="21"/>
      <c r="C115" s="21"/>
      <c r="D115" s="21"/>
      <c r="E115" s="21"/>
      <c r="F115" s="21"/>
      <c r="G115" s="21"/>
      <c r="H115" s="21"/>
      <c r="I115" s="21"/>
      <c r="J115" s="21"/>
      <c r="K115" s="21"/>
      <c r="L115" s="21"/>
      <c r="M115" s="21"/>
      <c r="N115" s="21"/>
      <c r="O115" s="21"/>
      <c r="P115" s="21"/>
      <c r="Q115" s="21"/>
      <c r="R115" s="21"/>
      <c r="S115" s="21"/>
      <c r="T115" s="21"/>
      <c r="U115" s="21"/>
      <c r="V115" s="20"/>
    </row>
    <row r="116" spans="1:22" x14ac:dyDescent="0.3">
      <c r="A116" s="18"/>
      <c r="B116" s="21"/>
      <c r="C116" s="21"/>
      <c r="D116" s="21"/>
      <c r="E116" s="21"/>
      <c r="F116" s="21"/>
      <c r="G116" s="21"/>
      <c r="H116" s="21"/>
      <c r="I116" s="21"/>
      <c r="J116" s="21"/>
      <c r="K116" s="21"/>
      <c r="L116" s="21"/>
      <c r="M116" s="21"/>
      <c r="N116" s="21"/>
      <c r="O116" s="21"/>
      <c r="P116" s="21"/>
      <c r="Q116" s="21"/>
      <c r="R116" s="21"/>
      <c r="S116" s="21"/>
      <c r="T116" s="21"/>
      <c r="U116" s="21"/>
      <c r="V116" s="20"/>
    </row>
    <row r="117" spans="1:22" ht="15" thickBot="1" x14ac:dyDescent="0.35">
      <c r="A117" s="22"/>
      <c r="B117" s="23"/>
      <c r="C117" s="23"/>
      <c r="D117" s="23"/>
      <c r="E117" s="23"/>
      <c r="F117" s="23"/>
      <c r="G117" s="23"/>
      <c r="H117" s="23"/>
      <c r="I117" s="23"/>
      <c r="J117" s="23"/>
      <c r="K117" s="23"/>
      <c r="L117" s="23"/>
      <c r="M117" s="23"/>
      <c r="N117" s="23"/>
      <c r="O117" s="23"/>
      <c r="P117" s="23"/>
      <c r="Q117" s="23"/>
      <c r="R117" s="23"/>
      <c r="S117" s="23"/>
      <c r="T117" s="23"/>
      <c r="U117" s="23"/>
      <c r="V117" s="24"/>
    </row>
  </sheetData>
  <mergeCells count="24">
    <mergeCell ref="A65:T65"/>
    <mergeCell ref="B68:I68"/>
    <mergeCell ref="X14:Y16"/>
    <mergeCell ref="Z14:AF16"/>
    <mergeCell ref="AG14:AG16"/>
    <mergeCell ref="X17:Y19"/>
    <mergeCell ref="Z17:AF19"/>
    <mergeCell ref="AG17:AG19"/>
    <mergeCell ref="X20:Y22"/>
    <mergeCell ref="Z20:AF22"/>
    <mergeCell ref="AG20:AG22"/>
    <mergeCell ref="X11:Y13"/>
    <mergeCell ref="Z11:AF13"/>
    <mergeCell ref="AG11:AG13"/>
    <mergeCell ref="A3:T3"/>
    <mergeCell ref="X3:AG3"/>
    <mergeCell ref="X4:Y6"/>
    <mergeCell ref="Z4:AG6"/>
    <mergeCell ref="B6:I6"/>
    <mergeCell ref="X7:Y7"/>
    <mergeCell ref="Z7:AF7"/>
    <mergeCell ref="X8:Y10"/>
    <mergeCell ref="Z8:AF10"/>
    <mergeCell ref="AG8:AG10"/>
  </mergeCells>
  <pageMargins left="0.7" right="0.7" top="0.75" bottom="0.75" header="0.3" footer="0.3"/>
  <pageSetup orientation="portrait" verticalDpi="0" r:id="rId1"/>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9"/>
  <dimension ref="A1:Z96"/>
  <sheetViews>
    <sheetView workbookViewId="0">
      <pane ySplit="1" topLeftCell="A2" activePane="bottomLeft" state="frozen"/>
      <selection activeCell="C33" sqref="C33"/>
      <selection pane="bottomLeft" activeCell="A2" sqref="A2"/>
    </sheetView>
  </sheetViews>
  <sheetFormatPr defaultRowHeight="14.4" x14ac:dyDescent="0.3"/>
  <cols>
    <col min="2" max="2" width="21.21875" customWidth="1"/>
    <col min="3" max="3" width="40.21875" customWidth="1"/>
    <col min="4" max="4" width="28.21875" bestFit="1" customWidth="1"/>
    <col min="5" max="5" width="11.21875" customWidth="1"/>
    <col min="6" max="6" width="18.77734375" bestFit="1" customWidth="1"/>
    <col min="7" max="7" width="32.77734375" bestFit="1" customWidth="1"/>
    <col min="8" max="8" width="10.77734375" bestFit="1" customWidth="1"/>
    <col min="10" max="11" width="11.77734375" customWidth="1"/>
    <col min="17" max="18" width="9.77734375" customWidth="1"/>
    <col min="19" max="25" width="15.21875" customWidth="1"/>
  </cols>
  <sheetData>
    <row r="1" spans="1:26" ht="34.5" customHeight="1" thickBot="1" x14ac:dyDescent="0.35">
      <c r="A1" s="292" t="s">
        <v>1580</v>
      </c>
      <c r="B1" s="473" t="e" vm="1">
        <v>#VALUE!</v>
      </c>
      <c r="C1" s="8" t="s">
        <v>1352</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3576</v>
      </c>
      <c r="R3" s="486"/>
      <c r="S3" s="486"/>
      <c r="T3" s="486"/>
      <c r="U3" s="486"/>
      <c r="V3" s="486"/>
      <c r="W3" s="486"/>
      <c r="X3" s="486"/>
      <c r="Y3" s="486"/>
      <c r="Z3" s="486"/>
    </row>
    <row r="4" spans="1:26" x14ac:dyDescent="0.3">
      <c r="A4" s="18"/>
      <c r="B4" s="21"/>
      <c r="C4" s="179" t="s">
        <v>3576</v>
      </c>
      <c r="D4" s="21"/>
      <c r="E4" s="21"/>
      <c r="F4" s="21"/>
      <c r="G4" s="21"/>
      <c r="H4" s="21"/>
      <c r="I4" s="21"/>
      <c r="J4" s="21"/>
      <c r="K4" s="159"/>
      <c r="L4" s="21"/>
      <c r="M4" s="21"/>
      <c r="N4" s="21"/>
      <c r="O4" s="20"/>
      <c r="Q4" s="487" t="s">
        <v>333</v>
      </c>
      <c r="R4" s="487"/>
      <c r="S4" s="487" t="s">
        <v>1351</v>
      </c>
      <c r="T4" s="487"/>
      <c r="U4" s="487"/>
      <c r="V4" s="487"/>
      <c r="W4" s="487"/>
      <c r="X4" s="487"/>
      <c r="Y4" s="487"/>
      <c r="Z4" s="487"/>
    </row>
    <row r="5" spans="1:26" x14ac:dyDescent="0.3">
      <c r="A5" s="18"/>
      <c r="B5" s="21"/>
      <c r="C5" s="189" t="s">
        <v>3577</v>
      </c>
      <c r="D5" s="21"/>
      <c r="E5" s="21"/>
      <c r="F5" s="21"/>
      <c r="G5" s="21"/>
      <c r="H5" s="21"/>
      <c r="I5" s="21"/>
      <c r="J5" s="21"/>
      <c r="K5" s="159"/>
      <c r="L5" s="21"/>
      <c r="M5" s="21"/>
      <c r="N5" s="21"/>
      <c r="O5" s="20"/>
      <c r="Q5" s="487"/>
      <c r="R5" s="487"/>
      <c r="S5" s="487"/>
      <c r="T5" s="487"/>
      <c r="U5" s="487"/>
      <c r="V5" s="487"/>
      <c r="W5" s="487"/>
      <c r="X5" s="487"/>
      <c r="Y5" s="487"/>
      <c r="Z5" s="487"/>
    </row>
    <row r="6" spans="1:26" x14ac:dyDescent="0.3">
      <c r="A6" s="18"/>
      <c r="B6" s="21"/>
      <c r="C6" s="21"/>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21"/>
      <c r="C7" s="21"/>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21"/>
      <c r="C8" s="21"/>
      <c r="D8" s="21"/>
      <c r="E8" s="21"/>
      <c r="F8" s="21"/>
      <c r="G8" s="21"/>
      <c r="H8" s="21"/>
      <c r="I8" s="21"/>
      <c r="J8" s="21"/>
      <c r="K8" s="21"/>
      <c r="L8" s="21"/>
      <c r="M8" s="21"/>
      <c r="N8" s="21"/>
      <c r="O8" s="20"/>
      <c r="Q8" s="484" t="s">
        <v>2224</v>
      </c>
      <c r="R8" s="484"/>
      <c r="S8" s="484" t="s">
        <v>3785</v>
      </c>
      <c r="T8" s="484"/>
      <c r="U8" s="484"/>
      <c r="V8" s="484"/>
      <c r="W8" s="484"/>
      <c r="X8" s="484"/>
      <c r="Y8" s="484"/>
      <c r="Z8" s="505" t="s">
        <v>326</v>
      </c>
    </row>
    <row r="9" spans="1:26" x14ac:dyDescent="0.3">
      <c r="A9" s="18"/>
      <c r="B9" s="21"/>
      <c r="C9" s="21"/>
      <c r="D9" s="21"/>
      <c r="E9" s="21"/>
      <c r="F9" s="21"/>
      <c r="G9" s="21"/>
      <c r="H9" s="21"/>
      <c r="I9" s="21"/>
      <c r="J9" s="21"/>
      <c r="K9" s="21"/>
      <c r="L9" s="21"/>
      <c r="M9" s="21"/>
      <c r="N9" s="21"/>
      <c r="O9" s="20"/>
      <c r="Q9" s="484"/>
      <c r="R9" s="484"/>
      <c r="S9" s="484"/>
      <c r="T9" s="484"/>
      <c r="U9" s="484"/>
      <c r="V9" s="484"/>
      <c r="W9" s="484"/>
      <c r="X9" s="484"/>
      <c r="Y9" s="484"/>
      <c r="Z9" s="506"/>
    </row>
    <row r="10" spans="1:26" x14ac:dyDescent="0.3">
      <c r="A10" s="18"/>
      <c r="B10" s="21"/>
      <c r="C10" s="21"/>
      <c r="D10" s="21"/>
      <c r="E10" s="21"/>
      <c r="F10" s="21"/>
      <c r="G10" s="21"/>
      <c r="H10" s="21"/>
      <c r="I10" s="21"/>
      <c r="J10" s="21"/>
      <c r="K10" s="21"/>
      <c r="L10" s="21"/>
      <c r="M10" s="21"/>
      <c r="N10" s="21"/>
      <c r="O10" s="20"/>
      <c r="Q10" s="484"/>
      <c r="R10" s="484"/>
      <c r="S10" s="484"/>
      <c r="T10" s="484"/>
      <c r="U10" s="484"/>
      <c r="V10" s="484"/>
      <c r="W10" s="484"/>
      <c r="X10" s="484"/>
      <c r="Y10" s="484"/>
      <c r="Z10" s="507"/>
    </row>
    <row r="11" spans="1:26" ht="15" customHeight="1" x14ac:dyDescent="0.3">
      <c r="A11" s="18"/>
      <c r="B11" s="21"/>
      <c r="C11" s="21"/>
      <c r="D11" s="21"/>
      <c r="E11" s="21"/>
      <c r="F11" s="21"/>
      <c r="G11" s="21"/>
      <c r="H11" s="21"/>
      <c r="I11" s="21"/>
      <c r="J11" s="21"/>
      <c r="K11" s="21"/>
      <c r="L11" s="21"/>
      <c r="M11" s="21"/>
      <c r="N11" s="21"/>
      <c r="O11" s="20"/>
      <c r="Q11" s="496" t="s">
        <v>1353</v>
      </c>
      <c r="R11" s="497"/>
      <c r="S11" s="496" t="s">
        <v>1354</v>
      </c>
      <c r="T11" s="502"/>
      <c r="U11" s="502"/>
      <c r="V11" s="502"/>
      <c r="W11" s="502"/>
      <c r="X11" s="502"/>
      <c r="Y11" s="497"/>
      <c r="Z11" s="505" t="s">
        <v>326</v>
      </c>
    </row>
    <row r="12" spans="1:26" x14ac:dyDescent="0.3">
      <c r="A12" s="18"/>
      <c r="B12" s="21"/>
      <c r="C12" s="21"/>
      <c r="D12" s="21"/>
      <c r="E12" s="21"/>
      <c r="F12" s="21"/>
      <c r="G12" s="21"/>
      <c r="H12" s="21"/>
      <c r="I12" s="21"/>
      <c r="J12" s="21"/>
      <c r="K12" s="21"/>
      <c r="L12" s="21"/>
      <c r="M12" s="21"/>
      <c r="N12" s="21"/>
      <c r="O12" s="20"/>
      <c r="Q12" s="498"/>
      <c r="R12" s="499"/>
      <c r="S12" s="498"/>
      <c r="T12" s="503"/>
      <c r="U12" s="503"/>
      <c r="V12" s="503"/>
      <c r="W12" s="503"/>
      <c r="X12" s="503"/>
      <c r="Y12" s="499"/>
      <c r="Z12" s="506"/>
    </row>
    <row r="13" spans="1:26" x14ac:dyDescent="0.3">
      <c r="A13" s="18"/>
      <c r="B13" s="21"/>
      <c r="C13" s="21"/>
      <c r="D13" s="21"/>
      <c r="E13" s="21"/>
      <c r="F13" s="21"/>
      <c r="G13" s="21"/>
      <c r="H13" s="21"/>
      <c r="I13" s="21"/>
      <c r="J13" s="21"/>
      <c r="K13" s="21"/>
      <c r="L13" s="21"/>
      <c r="M13" s="21"/>
      <c r="N13" s="21"/>
      <c r="O13" s="20"/>
      <c r="Q13" s="500"/>
      <c r="R13" s="501"/>
      <c r="S13" s="500"/>
      <c r="T13" s="504"/>
      <c r="U13" s="504"/>
      <c r="V13" s="504"/>
      <c r="W13" s="504"/>
      <c r="X13" s="504"/>
      <c r="Y13" s="501"/>
      <c r="Z13" s="507"/>
    </row>
    <row r="14" spans="1:26" x14ac:dyDescent="0.3">
      <c r="A14" s="18"/>
      <c r="B14" s="21"/>
      <c r="C14" s="21"/>
      <c r="D14" s="21"/>
      <c r="E14" s="21"/>
      <c r="F14" s="21"/>
      <c r="G14" s="21"/>
      <c r="H14" s="21"/>
      <c r="I14" s="21"/>
      <c r="J14" s="21"/>
      <c r="K14" s="21"/>
      <c r="L14" s="21"/>
      <c r="M14" s="21"/>
      <c r="N14" s="21"/>
      <c r="O14" s="20"/>
      <c r="Q14" s="496" t="s">
        <v>1355</v>
      </c>
      <c r="R14" s="497"/>
      <c r="S14" s="496" t="s">
        <v>1356</v>
      </c>
      <c r="T14" s="502"/>
      <c r="U14" s="502"/>
      <c r="V14" s="502"/>
      <c r="W14" s="502"/>
      <c r="X14" s="502"/>
      <c r="Y14" s="497"/>
      <c r="Z14" s="505" t="s">
        <v>326</v>
      </c>
    </row>
    <row r="15" spans="1:26" x14ac:dyDescent="0.3">
      <c r="A15" s="18"/>
      <c r="B15" s="21"/>
      <c r="C15" s="21"/>
      <c r="D15" s="2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21"/>
      <c r="C16" s="21"/>
      <c r="D16" s="21"/>
      <c r="E16" s="21"/>
      <c r="F16" s="21"/>
      <c r="G16" s="21"/>
      <c r="H16" s="21"/>
      <c r="I16" s="21"/>
      <c r="J16" s="21"/>
      <c r="K16" s="21"/>
      <c r="L16" s="21"/>
      <c r="M16" s="21"/>
      <c r="N16" s="21"/>
      <c r="O16" s="20"/>
      <c r="Q16" s="500"/>
      <c r="R16" s="501"/>
      <c r="S16" s="500"/>
      <c r="T16" s="504"/>
      <c r="U16" s="504"/>
      <c r="V16" s="504"/>
      <c r="W16" s="504"/>
      <c r="X16" s="504"/>
      <c r="Y16" s="501"/>
      <c r="Z16" s="507"/>
    </row>
    <row r="17" spans="1:26" x14ac:dyDescent="0.3">
      <c r="A17" s="18"/>
      <c r="B17" s="21"/>
      <c r="C17" s="21"/>
      <c r="D17" s="21"/>
      <c r="E17" s="21"/>
      <c r="F17" s="21"/>
      <c r="G17" s="21"/>
      <c r="H17" s="21"/>
      <c r="I17" s="21"/>
      <c r="J17" s="21"/>
      <c r="K17" s="21"/>
      <c r="L17" s="21"/>
      <c r="M17" s="21"/>
      <c r="N17" s="21"/>
      <c r="O17" s="20"/>
      <c r="Q17" s="496" t="s">
        <v>1357</v>
      </c>
      <c r="R17" s="497"/>
      <c r="S17" s="496" t="s">
        <v>1359</v>
      </c>
      <c r="T17" s="502"/>
      <c r="U17" s="502"/>
      <c r="V17" s="502"/>
      <c r="W17" s="502"/>
      <c r="X17" s="502"/>
      <c r="Y17" s="497"/>
      <c r="Z17" s="505" t="s">
        <v>326</v>
      </c>
    </row>
    <row r="18" spans="1:26" x14ac:dyDescent="0.3">
      <c r="A18" s="18"/>
      <c r="B18" s="21"/>
      <c r="C18" s="21"/>
      <c r="D18" s="21"/>
      <c r="E18" s="21"/>
      <c r="F18" s="21"/>
      <c r="G18" s="21"/>
      <c r="H18" s="21"/>
      <c r="I18" s="21"/>
      <c r="J18" s="21"/>
      <c r="K18" s="21"/>
      <c r="L18" s="21"/>
      <c r="M18" s="21"/>
      <c r="N18" s="21"/>
      <c r="O18" s="20"/>
      <c r="Q18" s="498"/>
      <c r="R18" s="499"/>
      <c r="S18" s="498"/>
      <c r="T18" s="503"/>
      <c r="U18" s="503"/>
      <c r="V18" s="503"/>
      <c r="W18" s="503"/>
      <c r="X18" s="503"/>
      <c r="Y18" s="499"/>
      <c r="Z18" s="506"/>
    </row>
    <row r="19" spans="1:26" x14ac:dyDescent="0.3">
      <c r="A19" s="18"/>
      <c r="B19" s="21"/>
      <c r="C19" s="21"/>
      <c r="D19" s="21"/>
      <c r="E19" s="21"/>
      <c r="F19" s="21"/>
      <c r="G19" s="21"/>
      <c r="H19" s="21"/>
      <c r="I19" s="21"/>
      <c r="J19" s="21"/>
      <c r="K19" s="21"/>
      <c r="L19" s="21"/>
      <c r="M19" s="21"/>
      <c r="N19" s="21"/>
      <c r="O19" s="20"/>
      <c r="Q19" s="500"/>
      <c r="R19" s="501"/>
      <c r="S19" s="500"/>
      <c r="T19" s="504"/>
      <c r="U19" s="504"/>
      <c r="V19" s="504"/>
      <c r="W19" s="504"/>
      <c r="X19" s="504"/>
      <c r="Y19" s="501"/>
      <c r="Z19" s="507"/>
    </row>
    <row r="20" spans="1:26" x14ac:dyDescent="0.3">
      <c r="A20" s="18"/>
      <c r="B20" s="21"/>
      <c r="C20" s="21"/>
      <c r="D20" s="21"/>
      <c r="E20" s="21"/>
      <c r="F20" s="21"/>
      <c r="G20" s="21"/>
      <c r="H20" s="21"/>
      <c r="I20" s="21"/>
      <c r="J20" s="21"/>
      <c r="K20" s="21"/>
      <c r="L20" s="21"/>
      <c r="M20" s="21"/>
      <c r="N20" s="21"/>
      <c r="O20" s="20"/>
      <c r="Q20" s="496" t="s">
        <v>3774</v>
      </c>
      <c r="R20" s="497"/>
      <c r="S20" s="496" t="s">
        <v>3775</v>
      </c>
      <c r="T20" s="502"/>
      <c r="U20" s="502"/>
      <c r="V20" s="502"/>
      <c r="W20" s="502"/>
      <c r="X20" s="502"/>
      <c r="Y20" s="497"/>
      <c r="Z20" s="505" t="s">
        <v>326</v>
      </c>
    </row>
    <row r="21" spans="1:26" x14ac:dyDescent="0.3">
      <c r="A21" s="18"/>
      <c r="B21" s="21"/>
      <c r="C21" s="21"/>
      <c r="D21" s="21"/>
      <c r="E21" s="21"/>
      <c r="F21" s="21"/>
      <c r="G21" s="21"/>
      <c r="H21" s="21"/>
      <c r="I21" s="21"/>
      <c r="J21" s="21"/>
      <c r="K21" s="21"/>
      <c r="L21" s="21"/>
      <c r="M21" s="21"/>
      <c r="N21" s="21"/>
      <c r="O21" s="20"/>
      <c r="Q21" s="498"/>
      <c r="R21" s="499"/>
      <c r="S21" s="498"/>
      <c r="T21" s="503"/>
      <c r="U21" s="503"/>
      <c r="V21" s="503"/>
      <c r="W21" s="503"/>
      <c r="X21" s="503"/>
      <c r="Y21" s="499"/>
      <c r="Z21" s="506"/>
    </row>
    <row r="22" spans="1:26" x14ac:dyDescent="0.3">
      <c r="A22" s="18"/>
      <c r="B22" s="21"/>
      <c r="C22" s="21"/>
      <c r="D22" s="21"/>
      <c r="E22" s="21"/>
      <c r="F22" s="21"/>
      <c r="G22" s="21"/>
      <c r="H22" s="21"/>
      <c r="I22" s="21"/>
      <c r="J22" s="21"/>
      <c r="K22" s="21"/>
      <c r="L22" s="21"/>
      <c r="M22" s="21"/>
      <c r="N22" s="21"/>
      <c r="O22" s="20"/>
      <c r="Q22" s="500"/>
      <c r="R22" s="501"/>
      <c r="S22" s="500"/>
      <c r="T22" s="504"/>
      <c r="U22" s="504"/>
      <c r="V22" s="504"/>
      <c r="W22" s="504"/>
      <c r="X22" s="504"/>
      <c r="Y22" s="501"/>
      <c r="Z22" s="507"/>
    </row>
    <row r="23" spans="1:26" x14ac:dyDescent="0.3">
      <c r="A23" s="18"/>
      <c r="B23" s="21"/>
      <c r="C23" s="21"/>
      <c r="D23" s="21"/>
      <c r="E23" s="21"/>
      <c r="F23" s="21"/>
      <c r="G23" s="21"/>
      <c r="H23" s="21"/>
      <c r="I23" s="21"/>
      <c r="J23" s="21"/>
      <c r="K23" s="21"/>
      <c r="L23" s="21"/>
      <c r="M23" s="21"/>
      <c r="N23" s="21"/>
      <c r="O23" s="20"/>
      <c r="Q23" s="126" t="s">
        <v>328</v>
      </c>
    </row>
    <row r="24" spans="1:26" ht="15" customHeight="1" x14ac:dyDescent="0.3">
      <c r="A24" s="18"/>
      <c r="B24" s="21"/>
      <c r="C24" s="21"/>
      <c r="D24" s="21"/>
      <c r="E24" s="21"/>
      <c r="F24" s="21"/>
      <c r="G24" s="21"/>
      <c r="H24" s="21"/>
      <c r="I24" s="21"/>
      <c r="J24" s="21"/>
      <c r="K24" s="21"/>
      <c r="L24" s="21"/>
      <c r="M24" s="21"/>
      <c r="N24" s="21"/>
      <c r="O24" s="20"/>
    </row>
    <row r="25" spans="1:26" x14ac:dyDescent="0.3">
      <c r="A25" s="18"/>
      <c r="B25" s="21"/>
      <c r="C25" s="21"/>
      <c r="D25" s="21"/>
      <c r="E25" s="21"/>
      <c r="F25" s="21"/>
      <c r="G25" s="21"/>
      <c r="H25" s="21"/>
      <c r="I25" s="21"/>
      <c r="J25" s="21"/>
      <c r="K25" s="21"/>
      <c r="L25" s="21"/>
      <c r="M25" s="21"/>
      <c r="N25" s="21"/>
      <c r="O25" s="20"/>
    </row>
    <row r="26" spans="1:26" x14ac:dyDescent="0.3">
      <c r="A26" s="18"/>
      <c r="B26" s="21"/>
      <c r="C26" s="21"/>
      <c r="D26" s="21"/>
      <c r="E26" s="21"/>
      <c r="F26" s="21"/>
      <c r="G26" s="21"/>
      <c r="H26" s="21"/>
      <c r="I26" s="21"/>
      <c r="J26" s="21"/>
      <c r="K26" s="21"/>
      <c r="L26" s="21"/>
      <c r="M26" s="21"/>
      <c r="N26" s="21"/>
      <c r="O26" s="20"/>
      <c r="Q26" s="486" t="s">
        <v>3578</v>
      </c>
      <c r="R26" s="486"/>
      <c r="S26" s="486"/>
      <c r="T26" s="486"/>
      <c r="U26" s="486"/>
      <c r="V26" s="486"/>
      <c r="W26" s="486"/>
      <c r="X26" s="486"/>
      <c r="Y26" s="486"/>
      <c r="Z26" s="486"/>
    </row>
    <row r="27" spans="1:26" ht="15" customHeight="1" x14ac:dyDescent="0.3">
      <c r="A27" s="18"/>
      <c r="B27" s="21"/>
      <c r="C27" s="21"/>
      <c r="D27" s="21"/>
      <c r="E27" s="21"/>
      <c r="F27" s="21"/>
      <c r="G27" s="21"/>
      <c r="H27" s="21"/>
      <c r="I27" s="21"/>
      <c r="J27" s="21"/>
      <c r="K27" s="21"/>
      <c r="L27" s="21"/>
      <c r="M27" s="21"/>
      <c r="N27" s="21"/>
      <c r="O27" s="20"/>
      <c r="Q27" s="487" t="s">
        <v>333</v>
      </c>
      <c r="R27" s="487"/>
      <c r="S27" s="487" t="s">
        <v>3844</v>
      </c>
      <c r="T27" s="487"/>
      <c r="U27" s="487"/>
      <c r="V27" s="487"/>
      <c r="W27" s="487"/>
      <c r="X27" s="487"/>
      <c r="Y27" s="487"/>
      <c r="Z27" s="487"/>
    </row>
    <row r="28" spans="1:26" ht="15" customHeight="1" x14ac:dyDescent="0.3">
      <c r="A28" s="18"/>
      <c r="B28" s="21"/>
      <c r="C28" s="21"/>
      <c r="D28" s="21"/>
      <c r="E28" s="21"/>
      <c r="F28" s="21"/>
      <c r="G28" s="21"/>
      <c r="H28" s="21"/>
      <c r="I28" s="21"/>
      <c r="J28" s="21"/>
      <c r="K28" s="21"/>
      <c r="L28" s="21"/>
      <c r="M28" s="21"/>
      <c r="N28" s="21"/>
      <c r="O28" s="20"/>
      <c r="Q28" s="487"/>
      <c r="R28" s="487"/>
      <c r="S28" s="487"/>
      <c r="T28" s="487"/>
      <c r="U28" s="487"/>
      <c r="V28" s="487"/>
      <c r="W28" s="487"/>
      <c r="X28" s="487"/>
      <c r="Y28" s="487"/>
      <c r="Z28" s="487"/>
    </row>
    <row r="29" spans="1:26" x14ac:dyDescent="0.3">
      <c r="A29" s="18"/>
      <c r="B29" s="21"/>
      <c r="C29" s="21"/>
      <c r="D29" s="21"/>
      <c r="E29" s="21"/>
      <c r="F29" s="21"/>
      <c r="G29" s="21"/>
      <c r="H29" s="21"/>
      <c r="I29" s="21"/>
      <c r="J29" s="21"/>
      <c r="K29" s="21"/>
      <c r="L29" s="21"/>
      <c r="M29" s="21"/>
      <c r="N29" s="21"/>
      <c r="O29" s="20"/>
      <c r="Q29" s="487"/>
      <c r="R29" s="487"/>
      <c r="S29" s="487"/>
      <c r="T29" s="487"/>
      <c r="U29" s="487"/>
      <c r="V29" s="487"/>
      <c r="W29" s="487"/>
      <c r="X29" s="487"/>
      <c r="Y29" s="487"/>
      <c r="Z29" s="487"/>
    </row>
    <row r="30" spans="1:26" x14ac:dyDescent="0.3">
      <c r="A30" s="18"/>
      <c r="B30" s="21"/>
      <c r="C30" s="21"/>
      <c r="D30" s="21"/>
      <c r="E30" s="21"/>
      <c r="F30" s="21"/>
      <c r="G30" s="21"/>
      <c r="H30" s="21"/>
      <c r="I30" s="21"/>
      <c r="J30" s="21"/>
      <c r="K30" s="21"/>
      <c r="L30" s="21"/>
      <c r="M30" s="21"/>
      <c r="N30" s="21"/>
      <c r="O30" s="20"/>
      <c r="Q30" s="483" t="s">
        <v>323</v>
      </c>
      <c r="R30" s="483"/>
      <c r="S30" s="483" t="s">
        <v>1</v>
      </c>
      <c r="T30" s="483"/>
      <c r="U30" s="483"/>
      <c r="V30" s="483"/>
      <c r="W30" s="483"/>
      <c r="X30" s="483"/>
      <c r="Y30" s="483"/>
      <c r="Z30" s="85" t="s">
        <v>324</v>
      </c>
    </row>
    <row r="31" spans="1:26" ht="15" customHeight="1" x14ac:dyDescent="0.3">
      <c r="A31" s="18"/>
      <c r="B31" s="21"/>
      <c r="C31" s="21"/>
      <c r="D31" s="21"/>
      <c r="E31" s="21"/>
      <c r="F31" s="21"/>
      <c r="G31" s="21"/>
      <c r="H31" s="21"/>
      <c r="I31" s="21"/>
      <c r="J31" s="21"/>
      <c r="K31" s="21"/>
      <c r="L31" s="21"/>
      <c r="M31" s="21"/>
      <c r="N31" s="21"/>
      <c r="O31" s="20"/>
      <c r="Q31" s="484" t="s">
        <v>678</v>
      </c>
      <c r="R31" s="484"/>
      <c r="S31" s="484" t="s">
        <v>2515</v>
      </c>
      <c r="T31" s="484"/>
      <c r="U31" s="484"/>
      <c r="V31" s="484"/>
      <c r="W31" s="484"/>
      <c r="X31" s="484"/>
      <c r="Y31" s="484"/>
      <c r="Z31" s="505" t="s">
        <v>326</v>
      </c>
    </row>
    <row r="32" spans="1:26" x14ac:dyDescent="0.3">
      <c r="A32" s="18"/>
      <c r="B32" s="21"/>
      <c r="C32" s="21"/>
      <c r="D32" s="21"/>
      <c r="E32" s="21"/>
      <c r="F32" s="21"/>
      <c r="G32" s="21"/>
      <c r="H32" s="21"/>
      <c r="I32" s="21"/>
      <c r="J32" s="21"/>
      <c r="K32" s="21"/>
      <c r="L32" s="21"/>
      <c r="M32" s="21"/>
      <c r="N32" s="21"/>
      <c r="O32" s="20"/>
      <c r="Q32" s="484"/>
      <c r="R32" s="484"/>
      <c r="S32" s="484"/>
      <c r="T32" s="484"/>
      <c r="U32" s="484"/>
      <c r="V32" s="484"/>
      <c r="W32" s="484"/>
      <c r="X32" s="484"/>
      <c r="Y32" s="484"/>
      <c r="Z32" s="506"/>
    </row>
    <row r="33" spans="1:26" x14ac:dyDescent="0.3">
      <c r="A33" s="18"/>
      <c r="B33" s="21"/>
      <c r="C33" s="21"/>
      <c r="D33" s="21"/>
      <c r="E33" s="21"/>
      <c r="F33" s="21"/>
      <c r="G33" s="21"/>
      <c r="H33" s="21"/>
      <c r="I33" s="21"/>
      <c r="J33" s="21"/>
      <c r="K33" s="21"/>
      <c r="L33" s="21"/>
      <c r="M33" s="21"/>
      <c r="N33" s="21"/>
      <c r="O33" s="20"/>
      <c r="Q33" s="484"/>
      <c r="R33" s="484"/>
      <c r="S33" s="484"/>
      <c r="T33" s="484"/>
      <c r="U33" s="484"/>
      <c r="V33" s="484"/>
      <c r="W33" s="484"/>
      <c r="X33" s="484"/>
      <c r="Y33" s="484"/>
      <c r="Z33" s="507"/>
    </row>
    <row r="34" spans="1:26" ht="15" customHeight="1" x14ac:dyDescent="0.3">
      <c r="A34" s="18"/>
      <c r="B34" s="21"/>
      <c r="C34" s="179" t="s">
        <v>3576</v>
      </c>
      <c r="D34" s="21"/>
      <c r="E34" s="21"/>
      <c r="F34" s="21"/>
      <c r="G34" s="21"/>
      <c r="H34" s="21"/>
      <c r="I34" s="21"/>
      <c r="J34" s="21"/>
      <c r="K34" s="21"/>
      <c r="L34" s="21"/>
      <c r="M34" s="21"/>
      <c r="N34" s="21"/>
      <c r="O34" s="20"/>
      <c r="Q34" s="126" t="s">
        <v>328</v>
      </c>
    </row>
    <row r="35" spans="1:26" x14ac:dyDescent="0.3">
      <c r="A35" s="18"/>
      <c r="B35" s="21"/>
      <c r="C35" s="30" t="s">
        <v>2243</v>
      </c>
      <c r="D35" s="21"/>
      <c r="E35" s="21"/>
      <c r="F35" s="21"/>
      <c r="G35" s="21"/>
      <c r="H35" s="21"/>
      <c r="I35" s="21"/>
      <c r="J35" s="21"/>
      <c r="K35" s="21"/>
      <c r="L35" s="21"/>
      <c r="M35" s="21"/>
      <c r="N35" s="21"/>
      <c r="O35" s="20"/>
    </row>
    <row r="36" spans="1:26" x14ac:dyDescent="0.3">
      <c r="A36" s="18"/>
      <c r="B36" s="21"/>
      <c r="C36" s="21"/>
      <c r="D36" s="21"/>
      <c r="E36" s="21"/>
      <c r="F36" s="21"/>
      <c r="G36" s="21"/>
      <c r="H36" s="21"/>
      <c r="I36" s="21"/>
      <c r="J36" s="21"/>
      <c r="K36" s="21"/>
      <c r="L36" s="21"/>
      <c r="M36" s="21"/>
      <c r="N36" s="21"/>
      <c r="O36" s="20"/>
    </row>
    <row r="37" spans="1:26" x14ac:dyDescent="0.3">
      <c r="A37" s="18"/>
      <c r="B37" s="21"/>
      <c r="C37" s="21"/>
      <c r="D37" s="21"/>
      <c r="E37" s="21"/>
      <c r="F37" s="21"/>
      <c r="G37" s="21"/>
      <c r="H37" s="21"/>
      <c r="I37" s="21"/>
      <c r="J37" s="21"/>
      <c r="K37" s="21"/>
      <c r="L37" s="21"/>
      <c r="M37" s="21"/>
      <c r="N37" s="21"/>
      <c r="O37" s="20"/>
    </row>
    <row r="38" spans="1:26" x14ac:dyDescent="0.3">
      <c r="A38" s="18"/>
      <c r="B38" s="21"/>
      <c r="C38" s="21"/>
      <c r="D38" s="21"/>
      <c r="E38" s="21"/>
      <c r="F38" s="21"/>
      <c r="G38" s="21"/>
      <c r="H38" s="21"/>
      <c r="I38" s="21"/>
      <c r="J38" s="21"/>
      <c r="K38" s="21"/>
      <c r="L38" s="21"/>
      <c r="M38" s="21"/>
      <c r="N38" s="21"/>
      <c r="O38" s="20"/>
    </row>
    <row r="39" spans="1:26" ht="15" customHeight="1" x14ac:dyDescent="0.3">
      <c r="A39" s="18"/>
      <c r="B39" s="21"/>
      <c r="C39" s="21"/>
      <c r="D39" s="21"/>
      <c r="E39" s="21"/>
      <c r="F39" s="21"/>
      <c r="G39" s="21"/>
      <c r="H39" s="21"/>
      <c r="I39" s="21"/>
      <c r="J39" s="21"/>
      <c r="K39" s="21"/>
      <c r="L39" s="21"/>
      <c r="M39" s="21"/>
      <c r="N39" s="21"/>
      <c r="O39" s="20"/>
    </row>
    <row r="40" spans="1:26" x14ac:dyDescent="0.3">
      <c r="A40" s="18"/>
      <c r="B40" s="21"/>
      <c r="C40" s="3" t="s">
        <v>1101</v>
      </c>
      <c r="D40" s="3" t="s">
        <v>1358</v>
      </c>
      <c r="E40" s="21"/>
      <c r="F40" s="21"/>
      <c r="G40" s="21"/>
      <c r="H40" s="21"/>
      <c r="I40" s="21"/>
      <c r="J40" s="21"/>
      <c r="K40" s="21"/>
      <c r="L40" s="21"/>
      <c r="M40" s="21"/>
      <c r="N40" s="21"/>
      <c r="O40" s="20"/>
    </row>
    <row r="41" spans="1:26" x14ac:dyDescent="0.3">
      <c r="A41" s="18"/>
      <c r="B41" s="21"/>
      <c r="C41" s="30" t="s">
        <v>2232</v>
      </c>
      <c r="D41" s="30">
        <v>385</v>
      </c>
      <c r="E41" s="21"/>
      <c r="F41" s="21"/>
      <c r="G41" s="21"/>
      <c r="H41" s="21"/>
      <c r="I41" s="21"/>
      <c r="J41" s="21"/>
      <c r="K41" s="21"/>
      <c r="L41" s="21"/>
      <c r="M41" s="21"/>
      <c r="N41" s="21"/>
      <c r="O41" s="20"/>
    </row>
    <row r="42" spans="1:26" ht="15" customHeight="1" x14ac:dyDescent="0.3">
      <c r="A42" s="18"/>
      <c r="B42" s="21"/>
      <c r="C42" s="30" t="s">
        <v>2234</v>
      </c>
      <c r="D42" s="30">
        <v>368</v>
      </c>
      <c r="E42" s="21"/>
      <c r="F42" s="21"/>
      <c r="G42" s="21"/>
      <c r="H42" s="21"/>
      <c r="I42" s="21"/>
      <c r="J42" s="21"/>
      <c r="K42" s="21"/>
      <c r="L42" s="21"/>
      <c r="M42" s="21"/>
      <c r="N42" s="21"/>
      <c r="O42" s="20"/>
    </row>
    <row r="43" spans="1:26" x14ac:dyDescent="0.3">
      <c r="A43" s="18"/>
      <c r="B43" s="21"/>
      <c r="C43" s="30" t="s">
        <v>2247</v>
      </c>
      <c r="D43" s="30">
        <v>313</v>
      </c>
      <c r="E43" s="21"/>
      <c r="F43" s="21"/>
      <c r="G43" s="21"/>
      <c r="H43" s="21"/>
      <c r="I43" s="21"/>
      <c r="J43" s="21"/>
      <c r="K43" s="21"/>
      <c r="L43" s="21"/>
      <c r="M43" s="21"/>
      <c r="N43" s="21"/>
      <c r="O43" s="20"/>
    </row>
    <row r="44" spans="1:26" x14ac:dyDescent="0.3">
      <c r="A44" s="18"/>
      <c r="B44" s="21"/>
      <c r="C44" s="30" t="s">
        <v>2238</v>
      </c>
      <c r="D44" s="30">
        <v>66</v>
      </c>
      <c r="E44" s="21"/>
      <c r="F44" s="21"/>
      <c r="G44" s="21"/>
      <c r="H44" s="21"/>
      <c r="I44" s="21"/>
      <c r="J44" s="21"/>
      <c r="K44" s="21"/>
      <c r="L44" s="21"/>
      <c r="M44" s="21"/>
      <c r="N44" s="21"/>
      <c r="O44" s="20"/>
    </row>
    <row r="45" spans="1:26" ht="15" customHeight="1" x14ac:dyDescent="0.3">
      <c r="A45" s="18"/>
      <c r="B45" s="21"/>
      <c r="C45" s="30" t="s">
        <v>2240</v>
      </c>
      <c r="D45" s="30">
        <v>52</v>
      </c>
      <c r="E45" s="21"/>
      <c r="F45" s="21"/>
      <c r="G45" s="21"/>
      <c r="H45" s="21"/>
      <c r="I45" s="21"/>
      <c r="J45" s="21"/>
      <c r="K45" s="21"/>
      <c r="L45" s="21"/>
      <c r="M45" s="21"/>
      <c r="N45" s="21"/>
      <c r="O45" s="20"/>
    </row>
    <row r="46" spans="1:26" x14ac:dyDescent="0.3">
      <c r="A46" s="18"/>
      <c r="B46" s="21"/>
      <c r="C46" s="30" t="s">
        <v>2236</v>
      </c>
      <c r="D46" s="30">
        <v>42</v>
      </c>
      <c r="E46" s="21"/>
      <c r="F46" s="21"/>
      <c r="G46" s="21"/>
      <c r="H46" s="21"/>
      <c r="I46" s="21"/>
      <c r="J46" s="21"/>
      <c r="K46" s="21"/>
      <c r="L46" s="21"/>
      <c r="M46" s="21"/>
      <c r="N46" s="21"/>
      <c r="O46" s="20"/>
    </row>
    <row r="47" spans="1:26" x14ac:dyDescent="0.3">
      <c r="A47" s="18"/>
      <c r="B47" s="21"/>
      <c r="C47" s="30" t="s">
        <v>2237</v>
      </c>
      <c r="D47" s="30">
        <v>42</v>
      </c>
      <c r="E47" s="21"/>
      <c r="F47" s="21"/>
      <c r="G47" s="21"/>
      <c r="H47" s="21"/>
      <c r="I47" s="21"/>
      <c r="J47" s="21"/>
      <c r="K47" s="21"/>
      <c r="L47" s="21"/>
      <c r="M47" s="21"/>
      <c r="N47" s="21"/>
      <c r="O47" s="20"/>
    </row>
    <row r="48" spans="1:26" x14ac:dyDescent="0.3">
      <c r="A48" s="18"/>
      <c r="B48" s="21"/>
      <c r="C48" s="30" t="s">
        <v>2239</v>
      </c>
      <c r="D48" s="30">
        <v>31</v>
      </c>
      <c r="E48" s="21"/>
      <c r="F48" s="21"/>
      <c r="G48" s="21"/>
      <c r="H48" s="21"/>
      <c r="I48" s="21"/>
      <c r="J48" s="21"/>
      <c r="K48" s="21"/>
      <c r="L48" s="21"/>
      <c r="M48" s="21"/>
      <c r="N48" s="21"/>
      <c r="O48" s="20"/>
    </row>
    <row r="49" spans="1:25" ht="15" customHeight="1" x14ac:dyDescent="0.3">
      <c r="A49" s="18"/>
      <c r="B49" s="21"/>
      <c r="C49" s="30" t="s">
        <v>2241</v>
      </c>
      <c r="D49" s="30">
        <v>21</v>
      </c>
      <c r="E49" s="21"/>
      <c r="F49" s="21"/>
      <c r="G49" s="21"/>
      <c r="H49" s="21"/>
      <c r="I49" s="21"/>
      <c r="J49" s="21"/>
      <c r="K49" s="21"/>
      <c r="L49" s="21"/>
      <c r="M49" s="21"/>
      <c r="N49" s="21"/>
      <c r="O49" s="20"/>
    </row>
    <row r="50" spans="1:25" x14ac:dyDescent="0.3">
      <c r="A50" s="18"/>
      <c r="B50" s="21"/>
      <c r="C50" s="30" t="s">
        <v>2235</v>
      </c>
      <c r="D50" s="30">
        <v>20</v>
      </c>
      <c r="E50" s="21"/>
      <c r="F50" s="21"/>
      <c r="G50" s="21"/>
      <c r="H50" s="21"/>
      <c r="I50" s="21"/>
      <c r="J50" s="21"/>
      <c r="K50" s="21"/>
      <c r="L50" s="21"/>
      <c r="M50" s="21"/>
      <c r="N50" s="21"/>
      <c r="O50" s="20"/>
    </row>
    <row r="51" spans="1:25" x14ac:dyDescent="0.3">
      <c r="A51" s="18"/>
      <c r="B51" s="21"/>
      <c r="C51" s="30" t="s">
        <v>2248</v>
      </c>
      <c r="D51" s="30">
        <v>18</v>
      </c>
      <c r="E51" s="21"/>
      <c r="F51" s="21"/>
      <c r="G51" s="21"/>
      <c r="H51" s="21"/>
      <c r="I51" s="21"/>
      <c r="J51" s="21"/>
      <c r="K51" s="21"/>
      <c r="L51" s="21"/>
      <c r="M51" s="21"/>
      <c r="N51" s="21"/>
      <c r="O51" s="20"/>
    </row>
    <row r="52" spans="1:25" x14ac:dyDescent="0.3">
      <c r="A52" s="18"/>
      <c r="B52" s="21"/>
      <c r="C52" s="30" t="s">
        <v>2242</v>
      </c>
      <c r="D52" s="30">
        <v>16</v>
      </c>
      <c r="E52" s="21"/>
      <c r="F52" s="21"/>
      <c r="G52" s="21"/>
      <c r="H52" s="21"/>
      <c r="I52" s="21"/>
      <c r="J52" s="21"/>
      <c r="K52" s="21"/>
      <c r="L52" s="21"/>
      <c r="M52" s="21"/>
      <c r="N52" s="21"/>
      <c r="O52" s="20"/>
    </row>
    <row r="53" spans="1:25" ht="15" customHeight="1" x14ac:dyDescent="0.3">
      <c r="A53" s="18"/>
      <c r="B53" s="21"/>
      <c r="C53" s="30" t="s">
        <v>2249</v>
      </c>
      <c r="D53" s="30">
        <v>15</v>
      </c>
      <c r="E53" s="21"/>
      <c r="F53" s="21"/>
      <c r="G53" s="21"/>
      <c r="H53" s="21"/>
      <c r="I53" s="21"/>
      <c r="J53" s="21"/>
      <c r="K53" s="21"/>
      <c r="L53" s="21"/>
      <c r="M53" s="21"/>
      <c r="N53" s="21"/>
      <c r="O53" s="20"/>
    </row>
    <row r="54" spans="1:25" x14ac:dyDescent="0.3">
      <c r="A54" s="18"/>
      <c r="B54" s="21"/>
      <c r="C54" s="30" t="s">
        <v>2250</v>
      </c>
      <c r="D54" s="30">
        <v>11</v>
      </c>
      <c r="E54" s="21"/>
      <c r="F54" s="21"/>
      <c r="G54" s="21"/>
      <c r="H54" s="21"/>
      <c r="I54" s="21"/>
      <c r="J54" s="21"/>
      <c r="K54" s="21"/>
      <c r="L54" s="21"/>
      <c r="M54" s="21"/>
      <c r="N54" s="21"/>
      <c r="O54" s="20"/>
    </row>
    <row r="55" spans="1:25" x14ac:dyDescent="0.3">
      <c r="A55" s="18"/>
      <c r="B55" s="21"/>
      <c r="C55" s="21"/>
      <c r="D55" s="21"/>
      <c r="E55" s="21"/>
      <c r="F55" s="21"/>
      <c r="G55" s="21"/>
      <c r="H55" s="21"/>
      <c r="I55" s="21"/>
      <c r="J55" s="21"/>
      <c r="K55" s="21"/>
      <c r="L55" s="21"/>
      <c r="M55" s="21"/>
      <c r="N55" s="21"/>
      <c r="O55" s="20"/>
    </row>
    <row r="56" spans="1:25" x14ac:dyDescent="0.3">
      <c r="A56" s="18"/>
      <c r="B56" s="21"/>
      <c r="C56" s="21"/>
      <c r="D56" s="21"/>
      <c r="E56" s="21"/>
      <c r="F56" s="21"/>
      <c r="G56" s="21"/>
      <c r="H56" s="21"/>
      <c r="I56" s="21"/>
      <c r="J56" s="21"/>
      <c r="K56" s="21"/>
      <c r="L56" s="21"/>
      <c r="M56" s="21"/>
      <c r="N56" s="21"/>
      <c r="O56" s="20"/>
    </row>
    <row r="57" spans="1:25" x14ac:dyDescent="0.3">
      <c r="A57" s="18"/>
      <c r="B57" s="21"/>
      <c r="C57" s="21"/>
      <c r="D57" s="21"/>
      <c r="E57" s="21"/>
      <c r="F57" s="21"/>
      <c r="G57" s="21"/>
      <c r="H57" s="21"/>
      <c r="I57" s="21"/>
      <c r="J57" s="21"/>
      <c r="K57" s="21"/>
      <c r="L57" s="21"/>
      <c r="M57" s="21"/>
      <c r="N57" s="21"/>
      <c r="O57" s="20"/>
    </row>
    <row r="58" spans="1:25" x14ac:dyDescent="0.3">
      <c r="A58" s="18"/>
      <c r="B58" s="21"/>
      <c r="C58" s="513" t="s">
        <v>1389</v>
      </c>
      <c r="D58" s="514"/>
      <c r="E58" s="514"/>
      <c r="F58" s="514"/>
      <c r="G58" s="514"/>
      <c r="H58" s="515"/>
      <c r="I58" s="21"/>
      <c r="J58" s="21"/>
      <c r="K58" s="21"/>
      <c r="L58" s="21"/>
      <c r="M58" s="21"/>
      <c r="N58" s="21"/>
      <c r="O58" s="20"/>
    </row>
    <row r="59" spans="1:25" x14ac:dyDescent="0.3">
      <c r="A59" s="18"/>
      <c r="B59" s="21"/>
      <c r="C59" s="3" t="s">
        <v>688</v>
      </c>
      <c r="D59" s="3" t="s">
        <v>1386</v>
      </c>
      <c r="E59" s="3" t="s">
        <v>1387</v>
      </c>
      <c r="F59" s="3" t="s">
        <v>1388</v>
      </c>
      <c r="G59" s="3" t="s">
        <v>2225</v>
      </c>
      <c r="H59" s="3" t="s">
        <v>2233</v>
      </c>
      <c r="I59" s="21"/>
      <c r="J59" s="21"/>
      <c r="K59" s="21"/>
      <c r="L59" s="21"/>
      <c r="M59" s="21"/>
      <c r="N59" s="21"/>
      <c r="O59" s="20"/>
      <c r="Y59" s="341"/>
    </row>
    <row r="60" spans="1:25" x14ac:dyDescent="0.3">
      <c r="A60" s="18"/>
      <c r="B60" s="21"/>
      <c r="C60" s="30" t="s">
        <v>2244</v>
      </c>
      <c r="D60" s="30" t="s">
        <v>3845</v>
      </c>
      <c r="E60" s="94">
        <v>44100.827401678238</v>
      </c>
      <c r="F60" s="30">
        <v>16</v>
      </c>
      <c r="G60" s="30" t="s">
        <v>1774</v>
      </c>
      <c r="H60" s="30">
        <v>2</v>
      </c>
      <c r="I60" s="21"/>
      <c r="J60" s="21"/>
      <c r="K60" s="21"/>
      <c r="L60" s="21"/>
      <c r="M60" s="21"/>
      <c r="N60" s="21"/>
      <c r="O60" s="20"/>
    </row>
    <row r="61" spans="1:25" x14ac:dyDescent="0.3">
      <c r="A61" s="18"/>
      <c r="B61" s="21"/>
      <c r="C61" s="30" t="s">
        <v>2245</v>
      </c>
      <c r="D61" s="30" t="s">
        <v>3845</v>
      </c>
      <c r="E61" s="94">
        <v>44100.826613391204</v>
      </c>
      <c r="F61" s="30">
        <v>17</v>
      </c>
      <c r="G61" s="30" t="s">
        <v>1774</v>
      </c>
      <c r="H61" s="30">
        <v>2</v>
      </c>
      <c r="I61" s="21"/>
      <c r="J61" s="21"/>
      <c r="K61" s="21"/>
      <c r="L61" s="21"/>
      <c r="M61" s="21"/>
      <c r="N61" s="21"/>
      <c r="O61" s="20"/>
    </row>
    <row r="62" spans="1:25" x14ac:dyDescent="0.3">
      <c r="A62" s="18"/>
      <c r="B62" s="21"/>
      <c r="C62" s="30" t="s">
        <v>2246</v>
      </c>
      <c r="D62" s="30" t="s">
        <v>3845</v>
      </c>
      <c r="E62" s="94">
        <v>44100.826143935185</v>
      </c>
      <c r="F62" s="30">
        <v>19</v>
      </c>
      <c r="G62" s="30" t="s">
        <v>1774</v>
      </c>
      <c r="H62" s="30">
        <v>2</v>
      </c>
      <c r="I62" s="21"/>
      <c r="J62" s="21"/>
      <c r="K62" s="21"/>
      <c r="L62" s="21"/>
      <c r="M62" s="21"/>
      <c r="N62" s="21"/>
      <c r="O62" s="20"/>
    </row>
    <row r="63" spans="1:25" x14ac:dyDescent="0.3">
      <c r="A63" s="18"/>
      <c r="B63" s="21"/>
      <c r="C63" s="21"/>
      <c r="D63" s="21"/>
      <c r="E63" s="21"/>
      <c r="F63" s="21"/>
      <c r="G63" s="21"/>
      <c r="H63" s="21"/>
      <c r="I63" s="21"/>
      <c r="J63" s="21"/>
      <c r="K63" s="21"/>
      <c r="L63" s="21"/>
      <c r="M63" s="21"/>
      <c r="N63" s="21"/>
      <c r="O63" s="20"/>
    </row>
    <row r="64" spans="1:25" x14ac:dyDescent="0.3">
      <c r="A64" s="18"/>
      <c r="B64" s="21"/>
      <c r="C64" s="21"/>
      <c r="D64" s="21"/>
      <c r="E64" s="21"/>
      <c r="F64" s="21"/>
      <c r="G64" s="21"/>
      <c r="H64" s="21"/>
      <c r="I64" s="21"/>
      <c r="J64" s="21"/>
      <c r="K64" s="21"/>
      <c r="L64" s="21"/>
      <c r="M64" s="21"/>
      <c r="N64" s="21"/>
      <c r="O64" s="20"/>
    </row>
    <row r="65" spans="1:15" x14ac:dyDescent="0.3">
      <c r="A65" s="18"/>
      <c r="B65" s="21"/>
      <c r="C65" s="21"/>
      <c r="D65" s="21"/>
      <c r="E65" s="21"/>
      <c r="F65" s="21"/>
      <c r="G65" s="21"/>
      <c r="H65" s="21"/>
      <c r="I65" s="21"/>
      <c r="J65" s="21"/>
      <c r="K65" s="21"/>
      <c r="L65" s="21"/>
      <c r="M65" s="21"/>
      <c r="N65" s="21"/>
      <c r="O65" s="20"/>
    </row>
    <row r="66" spans="1:15" x14ac:dyDescent="0.3">
      <c r="A66" s="18"/>
      <c r="B66" s="21"/>
      <c r="C66" s="21"/>
      <c r="D66" s="21"/>
      <c r="E66" s="21"/>
      <c r="F66" s="21"/>
      <c r="G66" s="21"/>
      <c r="H66" s="21"/>
      <c r="I66" s="21"/>
      <c r="J66" s="21"/>
      <c r="K66" s="21"/>
      <c r="L66" s="21"/>
      <c r="M66" s="21"/>
      <c r="N66" s="21"/>
      <c r="O66" s="20"/>
    </row>
    <row r="67" spans="1:15" x14ac:dyDescent="0.3">
      <c r="A67" s="18"/>
      <c r="B67" s="21"/>
      <c r="C67" s="183" t="s">
        <v>2225</v>
      </c>
      <c r="D67" s="183" t="s">
        <v>1</v>
      </c>
      <c r="E67" s="262"/>
      <c r="F67" s="262"/>
      <c r="G67" s="263"/>
      <c r="H67" s="21"/>
      <c r="I67" s="21"/>
      <c r="J67" s="21"/>
      <c r="K67" s="21"/>
      <c r="L67" s="21"/>
      <c r="M67" s="21"/>
      <c r="N67" s="21"/>
      <c r="O67" s="20"/>
    </row>
    <row r="68" spans="1:15" x14ac:dyDescent="0.3">
      <c r="A68" s="18"/>
      <c r="B68" s="21"/>
      <c r="C68" s="30" t="s">
        <v>2153</v>
      </c>
      <c r="D68" s="256" t="s">
        <v>2228</v>
      </c>
      <c r="E68" s="259"/>
      <c r="F68" s="259"/>
      <c r="G68" s="260"/>
      <c r="H68" s="21"/>
      <c r="I68" s="21"/>
      <c r="J68" s="21"/>
      <c r="K68" s="21"/>
      <c r="L68" s="21"/>
      <c r="M68" s="21"/>
      <c r="N68" s="21"/>
      <c r="O68" s="20"/>
    </row>
    <row r="69" spans="1:15" x14ac:dyDescent="0.3">
      <c r="A69" s="18"/>
      <c r="B69" s="21"/>
      <c r="C69" s="30" t="s">
        <v>2226</v>
      </c>
      <c r="D69" s="250" t="s">
        <v>2229</v>
      </c>
      <c r="E69" s="112"/>
      <c r="F69" s="112"/>
      <c r="G69" s="113"/>
      <c r="H69" s="21"/>
      <c r="I69" s="21"/>
      <c r="J69" s="21"/>
      <c r="K69" s="21"/>
      <c r="L69" s="21"/>
      <c r="M69" s="21"/>
      <c r="N69" s="21"/>
      <c r="O69" s="20"/>
    </row>
    <row r="70" spans="1:15" x14ac:dyDescent="0.3">
      <c r="A70" s="18"/>
      <c r="B70" s="21"/>
      <c r="C70" s="30" t="s">
        <v>1788</v>
      </c>
      <c r="D70" s="250" t="s">
        <v>2230</v>
      </c>
      <c r="E70" s="112"/>
      <c r="F70" s="112"/>
      <c r="G70" s="113"/>
      <c r="H70" s="21"/>
      <c r="I70" s="21"/>
      <c r="J70" s="21"/>
      <c r="K70" s="21"/>
      <c r="L70" s="21"/>
      <c r="M70" s="21"/>
      <c r="N70" s="21"/>
      <c r="O70" s="20"/>
    </row>
    <row r="71" spans="1:15" x14ac:dyDescent="0.3">
      <c r="A71" s="18"/>
      <c r="B71" s="21"/>
      <c r="C71" s="250" t="s">
        <v>2227</v>
      </c>
      <c r="D71" s="250" t="s">
        <v>2231</v>
      </c>
      <c r="E71" s="112"/>
      <c r="F71" s="112"/>
      <c r="G71" s="113"/>
      <c r="H71" s="21"/>
      <c r="I71" s="21"/>
      <c r="J71" s="21"/>
      <c r="K71" s="21"/>
      <c r="L71" s="21"/>
      <c r="M71" s="21"/>
      <c r="N71" s="21"/>
      <c r="O71" s="20"/>
    </row>
    <row r="72" spans="1:15" x14ac:dyDescent="0.3">
      <c r="A72" s="18"/>
      <c r="B72" s="21"/>
      <c r="C72" s="21"/>
      <c r="D72" s="21"/>
      <c r="E72" s="21"/>
      <c r="F72" s="21"/>
      <c r="G72" s="21"/>
      <c r="H72" s="21"/>
      <c r="I72" s="21"/>
      <c r="J72" s="21"/>
      <c r="K72" s="21"/>
      <c r="L72" s="21"/>
      <c r="M72" s="21"/>
      <c r="N72" s="21"/>
      <c r="O72" s="20"/>
    </row>
    <row r="73" spans="1:15" x14ac:dyDescent="0.3">
      <c r="A73" s="18"/>
      <c r="B73" s="21"/>
      <c r="C73" s="21"/>
      <c r="D73" s="21"/>
      <c r="E73" s="21"/>
      <c r="F73" s="21"/>
      <c r="G73" s="21"/>
      <c r="H73" s="21"/>
      <c r="I73" s="21"/>
      <c r="J73" s="21"/>
      <c r="K73" s="21"/>
      <c r="L73" s="21"/>
      <c r="M73" s="21"/>
      <c r="N73" s="21"/>
      <c r="O73" s="20"/>
    </row>
    <row r="74" spans="1:15" x14ac:dyDescent="0.3">
      <c r="A74" s="18"/>
      <c r="B74" s="21"/>
      <c r="C74" s="21"/>
      <c r="D74" s="21"/>
      <c r="E74" s="21"/>
      <c r="F74" s="21"/>
      <c r="G74" s="21"/>
      <c r="H74" s="21"/>
      <c r="I74" s="21"/>
      <c r="J74" s="21"/>
      <c r="K74" s="21"/>
      <c r="L74" s="21"/>
      <c r="M74" s="21"/>
      <c r="N74" s="21"/>
      <c r="O74" s="20"/>
    </row>
    <row r="75" spans="1:15" x14ac:dyDescent="0.3">
      <c r="A75" s="18"/>
      <c r="B75" s="21"/>
      <c r="C75" s="21"/>
      <c r="D75" s="21"/>
      <c r="E75" s="21"/>
      <c r="F75" s="21"/>
      <c r="G75" s="21"/>
      <c r="H75" s="21"/>
      <c r="I75" s="21"/>
      <c r="J75" s="21"/>
      <c r="K75" s="21"/>
      <c r="L75" s="21"/>
      <c r="M75" s="21"/>
      <c r="N75" s="21"/>
      <c r="O75" s="20"/>
    </row>
    <row r="76" spans="1:15" x14ac:dyDescent="0.3">
      <c r="A76" s="18"/>
      <c r="B76" s="21"/>
      <c r="C76" s="21"/>
      <c r="D76" s="21"/>
      <c r="E76" s="21"/>
      <c r="F76" s="21"/>
      <c r="G76" s="21"/>
      <c r="H76" s="21"/>
      <c r="I76" s="21"/>
      <c r="J76" s="21"/>
      <c r="K76" s="21"/>
      <c r="L76" s="21"/>
      <c r="M76" s="21"/>
      <c r="N76" s="21"/>
      <c r="O76" s="20"/>
    </row>
    <row r="77" spans="1:15" x14ac:dyDescent="0.3">
      <c r="A77" s="18"/>
      <c r="B77" s="21"/>
      <c r="C77" s="21"/>
      <c r="D77" s="21"/>
      <c r="E77" s="21"/>
      <c r="F77" s="21"/>
      <c r="G77" s="21"/>
      <c r="H77" s="21"/>
      <c r="I77" s="21"/>
      <c r="J77" s="21"/>
      <c r="K77" s="21"/>
      <c r="L77" s="21"/>
      <c r="M77" s="21"/>
      <c r="N77" s="21"/>
      <c r="O77" s="20"/>
    </row>
    <row r="78" spans="1:15" x14ac:dyDescent="0.3">
      <c r="A78" s="18"/>
      <c r="B78" s="21"/>
      <c r="C78" s="21"/>
      <c r="D78" s="21"/>
      <c r="E78" s="21"/>
      <c r="F78" s="21"/>
      <c r="G78" s="21"/>
      <c r="H78" s="21"/>
      <c r="I78" s="21"/>
      <c r="J78" s="21"/>
      <c r="K78" s="21"/>
      <c r="L78" s="21"/>
      <c r="M78" s="21"/>
      <c r="N78" s="21"/>
      <c r="O78" s="20"/>
    </row>
    <row r="79" spans="1:15" x14ac:dyDescent="0.3">
      <c r="A79" s="18"/>
      <c r="B79" s="21"/>
      <c r="C79" s="21"/>
      <c r="D79" s="21"/>
      <c r="E79" s="21"/>
      <c r="F79" s="21"/>
      <c r="G79" s="21"/>
      <c r="H79" s="21"/>
      <c r="I79" s="21"/>
      <c r="J79" s="21"/>
      <c r="K79" s="21"/>
      <c r="L79" s="21"/>
      <c r="M79" s="21"/>
      <c r="N79" s="21"/>
      <c r="O79" s="20"/>
    </row>
    <row r="80" spans="1:15" x14ac:dyDescent="0.3">
      <c r="A80" s="18"/>
      <c r="B80" s="21"/>
      <c r="C80" s="21"/>
      <c r="D80" s="21"/>
      <c r="E80" s="21"/>
      <c r="F80" s="21"/>
      <c r="G80" s="21"/>
      <c r="H80" s="21"/>
      <c r="I80" s="21"/>
      <c r="J80" s="21"/>
      <c r="K80" s="21"/>
      <c r="L80" s="21"/>
      <c r="M80" s="21"/>
      <c r="N80" s="21"/>
      <c r="O80" s="20"/>
    </row>
    <row r="81" spans="1:15" x14ac:dyDescent="0.3">
      <c r="A81" s="18"/>
      <c r="B81" s="21"/>
      <c r="C81" s="3" t="str">
        <f t="array" ref="C81:H90">_xll.U.GET(J82)</f>
        <v>Function</v>
      </c>
      <c r="D81" s="3" t="str">
        <v>Total Seconds</v>
      </c>
      <c r="E81" s="3" t="str">
        <v>Num Calls</v>
      </c>
      <c r="F81" s="3" t="str">
        <v>Calls/Second</v>
      </c>
      <c r="G81" s="3" t="str">
        <v>Avg Seconds</v>
      </c>
      <c r="H81" s="3" t="str">
        <v>Max Seconds</v>
      </c>
      <c r="I81" s="21"/>
      <c r="J81" s="3" t="s">
        <v>3578</v>
      </c>
      <c r="K81" s="21"/>
      <c r="L81" s="21"/>
      <c r="M81" s="21"/>
      <c r="N81" s="21"/>
      <c r="O81" s="20"/>
    </row>
    <row r="82" spans="1:15" x14ac:dyDescent="0.3">
      <c r="A82" s="18"/>
      <c r="B82" s="21"/>
      <c r="C82" s="30" t="str">
        <v>SUBSCRIBE</v>
      </c>
      <c r="D82" s="410">
        <v>0.45</v>
      </c>
      <c r="E82" s="36">
        <v>8</v>
      </c>
      <c r="F82" s="410">
        <v>9.1199999999999992</v>
      </c>
      <c r="G82" s="410">
        <v>5.6000000000000001E-2</v>
      </c>
      <c r="H82" s="410">
        <v>0.20100000000000001</v>
      </c>
      <c r="I82" s="21"/>
      <c r="J82" s="30" t="str" cm="1">
        <f t="array" ref="J82">_xll.U.COUNT_FUNCTION_CALLS()</f>
        <v>COUNT_FUNCTION_CALLS | 2026-05-04 01:26:15.194</v>
      </c>
      <c r="K82" s="21"/>
      <c r="L82" s="21"/>
      <c r="M82" s="21"/>
      <c r="N82" s="21"/>
      <c r="O82" s="20"/>
    </row>
    <row r="83" spans="1:15" x14ac:dyDescent="0.3">
      <c r="A83" s="18"/>
      <c r="B83" s="21"/>
      <c r="C83" s="30" t="str">
        <v>REPLACE</v>
      </c>
      <c r="D83" s="410">
        <v>0.17</v>
      </c>
      <c r="E83" s="36">
        <v>1</v>
      </c>
      <c r="F83" s="410">
        <v>1.1399999999999999</v>
      </c>
      <c r="G83" s="410">
        <v>0.16600000000000001</v>
      </c>
      <c r="H83" s="410">
        <v>0.16600000000000001</v>
      </c>
      <c r="I83" s="21"/>
      <c r="J83" s="21"/>
      <c r="K83" s="21"/>
      <c r="L83" s="21"/>
      <c r="M83" s="21"/>
      <c r="N83" s="21"/>
      <c r="O83" s="20"/>
    </row>
    <row r="84" spans="1:15" x14ac:dyDescent="0.3">
      <c r="A84" s="18"/>
      <c r="B84" s="21"/>
      <c r="C84" s="30" t="str">
        <v>TWO_WAY_DATA</v>
      </c>
      <c r="D84" s="410">
        <v>0.14000000000000001</v>
      </c>
      <c r="E84" s="36">
        <v>1</v>
      </c>
      <c r="F84" s="410">
        <v>1.1399999999999999</v>
      </c>
      <c r="G84" s="410">
        <v>0.14399999999999999</v>
      </c>
      <c r="H84" s="410">
        <v>0.14399999999999999</v>
      </c>
      <c r="I84" s="21"/>
      <c r="J84" s="21"/>
      <c r="K84" s="21"/>
      <c r="L84" s="21"/>
      <c r="M84" s="21"/>
      <c r="N84" s="21"/>
      <c r="O84" s="20"/>
    </row>
    <row r="85" spans="1:15" x14ac:dyDescent="0.3">
      <c r="A85" s="18"/>
      <c r="B85" s="21"/>
      <c r="C85" s="30" t="str">
        <v>PAD</v>
      </c>
      <c r="D85" s="410">
        <v>0.01</v>
      </c>
      <c r="E85" s="36">
        <v>1</v>
      </c>
      <c r="F85" s="410">
        <v>1.1399999999999999</v>
      </c>
      <c r="G85" s="410">
        <v>1.4E-2</v>
      </c>
      <c r="H85" s="410">
        <v>1.4E-2</v>
      </c>
      <c r="I85" s="21"/>
      <c r="J85" s="21"/>
      <c r="K85" s="21"/>
      <c r="L85" s="21"/>
      <c r="M85" s="21"/>
      <c r="N85" s="21"/>
      <c r="O85" s="20"/>
    </row>
    <row r="86" spans="1:15" x14ac:dyDescent="0.3">
      <c r="A86" s="18"/>
      <c r="B86" s="21"/>
      <c r="C86" s="30" t="str">
        <v>VUNIQUE</v>
      </c>
      <c r="D86" s="410">
        <v>0.01</v>
      </c>
      <c r="E86" s="36">
        <v>1</v>
      </c>
      <c r="F86" s="410">
        <v>1.1399999999999999</v>
      </c>
      <c r="G86" s="410">
        <v>1.2E-2</v>
      </c>
      <c r="H86" s="410">
        <v>1.2E-2</v>
      </c>
      <c r="I86" s="21"/>
      <c r="J86" s="21"/>
      <c r="K86" s="21"/>
      <c r="L86" s="21"/>
      <c r="M86" s="21"/>
      <c r="N86" s="21"/>
      <c r="O86" s="20"/>
    </row>
    <row r="87" spans="1:15" x14ac:dyDescent="0.3">
      <c r="A87" s="18"/>
      <c r="B87" s="21"/>
      <c r="C87" s="30" t="str">
        <v>CREATE_SCRIPT</v>
      </c>
      <c r="D87" s="410">
        <v>0.01</v>
      </c>
      <c r="E87" s="36">
        <v>1</v>
      </c>
      <c r="F87" s="410">
        <v>1.1399999999999999</v>
      </c>
      <c r="G87" s="410">
        <v>8.0000000000000002E-3</v>
      </c>
      <c r="H87" s="410">
        <v>8.0000000000000002E-3</v>
      </c>
      <c r="I87" s="21"/>
      <c r="J87" s="21"/>
      <c r="K87" s="21"/>
      <c r="L87" s="21"/>
      <c r="M87" s="21"/>
      <c r="N87" s="21"/>
      <c r="O87" s="20"/>
    </row>
    <row r="88" spans="1:15" x14ac:dyDescent="0.3">
      <c r="A88" s="18"/>
      <c r="B88" s="21"/>
      <c r="C88" s="30" t="str">
        <v>CACHE</v>
      </c>
      <c r="D88" s="410">
        <v>0.01</v>
      </c>
      <c r="E88" s="36">
        <v>1</v>
      </c>
      <c r="F88" s="410">
        <v>1.1399999999999999</v>
      </c>
      <c r="G88" s="410">
        <v>8.0000000000000002E-3</v>
      </c>
      <c r="H88" s="410">
        <v>8.0000000000000002E-3</v>
      </c>
      <c r="I88" s="21"/>
      <c r="J88" s="21"/>
      <c r="K88" s="21"/>
      <c r="L88" s="21"/>
      <c r="M88" s="21"/>
      <c r="N88" s="21"/>
      <c r="O88" s="20"/>
    </row>
    <row r="89" spans="1:15" x14ac:dyDescent="0.3">
      <c r="A89" s="18"/>
      <c r="B89" s="21"/>
      <c r="C89" s="30" t="str">
        <v>NAMED_RANGE</v>
      </c>
      <c r="D89" s="410">
        <v>0.01</v>
      </c>
      <c r="E89" s="36">
        <v>2</v>
      </c>
      <c r="F89" s="410">
        <v>2.2799999999999998</v>
      </c>
      <c r="G89" s="410">
        <v>3.0000000000000001E-3</v>
      </c>
      <c r="H89" s="410">
        <v>6.0000000000000001E-3</v>
      </c>
      <c r="I89" s="21"/>
      <c r="J89" s="21"/>
      <c r="K89" s="21"/>
      <c r="L89" s="21"/>
      <c r="M89" s="21"/>
      <c r="N89" s="21"/>
      <c r="O89" s="20"/>
    </row>
    <row r="90" spans="1:15" x14ac:dyDescent="0.3">
      <c r="A90" s="18"/>
      <c r="B90" s="21"/>
      <c r="C90" s="30" t="str">
        <v>VAPPEND</v>
      </c>
      <c r="D90" s="410">
        <v>0</v>
      </c>
      <c r="E90" s="36">
        <v>1</v>
      </c>
      <c r="F90" s="410">
        <v>1.1399999999999999</v>
      </c>
      <c r="G90" s="410">
        <v>5.0000000000000001E-3</v>
      </c>
      <c r="H90" s="410">
        <v>5.0000000000000001E-3</v>
      </c>
      <c r="I90" s="21"/>
      <c r="J90" s="21"/>
      <c r="K90" s="21"/>
      <c r="L90" s="21"/>
      <c r="M90" s="21"/>
      <c r="N90" s="21"/>
      <c r="O90" s="20"/>
    </row>
    <row r="91" spans="1:15" x14ac:dyDescent="0.3">
      <c r="A91" s="18"/>
      <c r="B91" s="21"/>
      <c r="C91" s="21"/>
      <c r="D91" s="21"/>
      <c r="E91" s="21"/>
      <c r="F91" s="21"/>
      <c r="G91" s="21"/>
      <c r="H91" s="21"/>
      <c r="I91" s="21"/>
      <c r="J91" s="21"/>
      <c r="K91" s="21"/>
      <c r="L91" s="21"/>
      <c r="M91" s="21"/>
      <c r="N91" s="21"/>
      <c r="O91" s="20"/>
    </row>
    <row r="92" spans="1:15" x14ac:dyDescent="0.3">
      <c r="A92" s="18"/>
      <c r="B92" s="21"/>
      <c r="C92" s="21"/>
      <c r="D92" s="21"/>
      <c r="E92" s="21"/>
      <c r="F92" s="21"/>
      <c r="G92" s="21"/>
      <c r="H92" s="21"/>
      <c r="I92" s="21"/>
      <c r="J92" s="21"/>
      <c r="K92" s="21"/>
      <c r="L92" s="21"/>
      <c r="M92" s="21"/>
      <c r="N92" s="21"/>
      <c r="O92" s="20"/>
    </row>
    <row r="93" spans="1:15" x14ac:dyDescent="0.3">
      <c r="A93" s="18"/>
      <c r="B93" s="21"/>
      <c r="C93" s="21"/>
      <c r="D93" s="21"/>
      <c r="E93" s="21"/>
      <c r="F93" s="21"/>
      <c r="G93" s="21"/>
      <c r="H93" s="21"/>
      <c r="I93" s="21"/>
      <c r="J93" s="21"/>
      <c r="K93" s="21"/>
      <c r="L93" s="21"/>
      <c r="M93" s="21"/>
      <c r="N93" s="21"/>
      <c r="O93" s="20"/>
    </row>
    <row r="94" spans="1:15" x14ac:dyDescent="0.3">
      <c r="A94" s="18"/>
      <c r="B94" s="21"/>
      <c r="C94" s="21"/>
      <c r="D94" s="21"/>
      <c r="E94" s="21"/>
      <c r="F94" s="21"/>
      <c r="G94" s="21"/>
      <c r="H94" s="21"/>
      <c r="I94" s="21"/>
      <c r="J94" s="21"/>
      <c r="K94" s="21"/>
      <c r="L94" s="21"/>
      <c r="M94" s="21"/>
      <c r="N94" s="21"/>
      <c r="O94" s="20"/>
    </row>
    <row r="95" spans="1:15" x14ac:dyDescent="0.3">
      <c r="A95" s="18"/>
      <c r="B95" s="21"/>
      <c r="C95" s="21"/>
      <c r="D95" s="21"/>
      <c r="E95" s="21"/>
      <c r="F95" s="21"/>
      <c r="G95" s="21"/>
      <c r="H95" s="21"/>
      <c r="I95" s="21"/>
      <c r="J95" s="21"/>
      <c r="K95" s="21"/>
      <c r="L95" s="21"/>
      <c r="M95" s="21"/>
      <c r="N95" s="21"/>
      <c r="O95" s="20"/>
    </row>
    <row r="96" spans="1:15" ht="15" thickBot="1" x14ac:dyDescent="0.35">
      <c r="A96" s="22"/>
      <c r="B96" s="23"/>
      <c r="C96" s="23"/>
      <c r="D96" s="23"/>
      <c r="E96" s="23"/>
      <c r="F96" s="23"/>
      <c r="G96" s="23"/>
      <c r="H96" s="23"/>
      <c r="I96" s="23"/>
      <c r="J96" s="23"/>
      <c r="K96" s="23"/>
      <c r="L96" s="23"/>
      <c r="M96" s="23"/>
      <c r="N96" s="23"/>
      <c r="O96" s="24"/>
    </row>
  </sheetData>
  <mergeCells count="29">
    <mergeCell ref="C58:H58"/>
    <mergeCell ref="S14:Y16"/>
    <mergeCell ref="Z14:Z16"/>
    <mergeCell ref="Q26:Z26"/>
    <mergeCell ref="Q27:R29"/>
    <mergeCell ref="S27:Z29"/>
    <mergeCell ref="Q30:R30"/>
    <mergeCell ref="S30:Y30"/>
    <mergeCell ref="Q31:R33"/>
    <mergeCell ref="S31:Y33"/>
    <mergeCell ref="Z31:Z33"/>
    <mergeCell ref="Q20:R22"/>
    <mergeCell ref="S20:Y22"/>
    <mergeCell ref="Z20:Z22"/>
    <mergeCell ref="Q17:R19"/>
    <mergeCell ref="S17:Y19"/>
    <mergeCell ref="Q3:Z3"/>
    <mergeCell ref="Q4:R6"/>
    <mergeCell ref="S4:Z6"/>
    <mergeCell ref="Q7:R7"/>
    <mergeCell ref="S7:Y7"/>
    <mergeCell ref="Z17:Z19"/>
    <mergeCell ref="Q14:R16"/>
    <mergeCell ref="Q8:R10"/>
    <mergeCell ref="S8:Y10"/>
    <mergeCell ref="Z8:Z10"/>
    <mergeCell ref="Q11:R13"/>
    <mergeCell ref="S11:Y13"/>
    <mergeCell ref="Z11:Z1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N192"/>
  <sheetViews>
    <sheetView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28.21875" bestFit="1" customWidth="1"/>
    <col min="4" max="4" width="8" customWidth="1"/>
    <col min="5" max="5" width="9.5546875" bestFit="1" customWidth="1"/>
    <col min="6" max="6" width="11.21875" bestFit="1" customWidth="1"/>
    <col min="7" max="7" width="12.77734375" bestFit="1" customWidth="1"/>
    <col min="8" max="8" width="9.77734375" bestFit="1" customWidth="1"/>
    <col min="9" max="9" width="13.21875" bestFit="1" customWidth="1"/>
    <col min="10" max="10" width="11.44140625" customWidth="1"/>
    <col min="11" max="11" width="9.44140625" bestFit="1" customWidth="1"/>
    <col min="12" max="13" width="17.77734375" bestFit="1" customWidth="1"/>
    <col min="14" max="14" width="8.77734375" bestFit="1" customWidth="1"/>
    <col min="15" max="15" width="10.77734375" bestFit="1" customWidth="1"/>
    <col min="16" max="16" width="11.21875" bestFit="1" customWidth="1"/>
    <col min="17" max="17" width="12.77734375" bestFit="1" customWidth="1"/>
    <col min="18" max="18" width="8.77734375" bestFit="1" customWidth="1"/>
    <col min="19" max="19" width="13" bestFit="1" customWidth="1"/>
    <col min="20" max="20" width="16.5546875" bestFit="1" customWidth="1"/>
    <col min="22" max="22" width="13.77734375" bestFit="1" customWidth="1"/>
    <col min="23" max="23" width="12.77734375" bestFit="1" customWidth="1"/>
    <col min="24" max="25" width="12.77734375" customWidth="1"/>
    <col min="29" max="29" width="11.77734375" customWidth="1"/>
    <col min="33" max="39" width="14.21875" customWidth="1"/>
  </cols>
  <sheetData>
    <row r="1" spans="1:40" ht="34.5" customHeight="1" thickBot="1" x14ac:dyDescent="0.35">
      <c r="A1" s="292" t="s">
        <v>1580</v>
      </c>
      <c r="B1" s="473" t="e" vm="1">
        <v>#VALUE!</v>
      </c>
      <c r="C1" s="8" t="s">
        <v>275</v>
      </c>
      <c r="D1" s="27"/>
      <c r="E1" s="26"/>
      <c r="F1" s="26"/>
      <c r="G1" s="26"/>
      <c r="H1" s="26"/>
      <c r="I1" s="26"/>
      <c r="J1" s="26"/>
      <c r="K1" s="26"/>
      <c r="L1" s="16"/>
      <c r="M1" s="16"/>
      <c r="N1" s="16"/>
      <c r="O1" s="16"/>
      <c r="P1" s="16"/>
      <c r="Q1" s="16"/>
      <c r="R1" s="16"/>
      <c r="S1" s="16"/>
      <c r="T1" s="16"/>
      <c r="U1" s="16"/>
      <c r="V1" s="16"/>
      <c r="W1" s="16"/>
      <c r="X1" s="16"/>
      <c r="Y1" s="16"/>
      <c r="Z1" s="16"/>
      <c r="AA1" s="16"/>
      <c r="AB1" s="16"/>
      <c r="AC1" s="19"/>
    </row>
    <row r="2" spans="1:40" ht="15" customHeight="1" x14ac:dyDescent="0.3">
      <c r="A2" s="18"/>
      <c r="B2" s="25"/>
      <c r="C2" s="25"/>
      <c r="D2" s="21"/>
      <c r="E2" s="21"/>
      <c r="F2" s="21"/>
      <c r="G2" s="21"/>
      <c r="H2" s="21"/>
      <c r="I2" s="21"/>
      <c r="J2" s="21"/>
      <c r="K2" s="21"/>
      <c r="L2" s="21"/>
      <c r="M2" s="21"/>
      <c r="N2" s="21"/>
      <c r="O2" s="21"/>
      <c r="P2" s="21"/>
      <c r="Q2" s="21"/>
      <c r="R2" s="21"/>
      <c r="S2" s="21"/>
      <c r="T2" s="21"/>
      <c r="U2" s="21"/>
      <c r="V2" s="21"/>
      <c r="W2" s="21"/>
      <c r="X2" s="21"/>
      <c r="Y2" s="21"/>
      <c r="Z2" s="21"/>
      <c r="AA2" s="21"/>
      <c r="AB2" s="21"/>
      <c r="AC2" s="20"/>
    </row>
    <row r="3" spans="1:40" ht="15" customHeight="1" x14ac:dyDescent="0.3">
      <c r="A3" s="490" t="s">
        <v>99</v>
      </c>
      <c r="B3" s="491"/>
      <c r="C3" s="491"/>
      <c r="D3" s="491"/>
      <c r="E3" s="491"/>
      <c r="F3" s="491"/>
      <c r="G3" s="491"/>
      <c r="H3" s="491"/>
      <c r="I3" s="491"/>
      <c r="J3" s="491"/>
      <c r="K3" s="491"/>
      <c r="L3" s="491"/>
      <c r="M3" s="491"/>
      <c r="N3" s="491"/>
      <c r="O3" s="491"/>
      <c r="P3" s="491"/>
      <c r="Q3" s="491"/>
      <c r="R3" s="491"/>
      <c r="S3" s="491"/>
      <c r="T3" s="491"/>
      <c r="U3" s="491"/>
      <c r="V3" s="491"/>
      <c r="W3" s="491"/>
      <c r="X3" s="491"/>
      <c r="Y3" s="491"/>
      <c r="Z3" s="491"/>
      <c r="AA3" s="491"/>
      <c r="AB3" s="21"/>
      <c r="AC3" s="20"/>
      <c r="AE3" s="486" t="s">
        <v>3390</v>
      </c>
      <c r="AF3" s="486"/>
      <c r="AG3" s="486"/>
      <c r="AH3" s="486"/>
      <c r="AI3" s="486"/>
      <c r="AJ3" s="486"/>
      <c r="AK3" s="486"/>
      <c r="AL3" s="486"/>
      <c r="AM3" s="486"/>
      <c r="AN3" s="486"/>
    </row>
    <row r="4" spans="1:40" ht="15" customHeight="1" x14ac:dyDescent="0.3">
      <c r="A4" s="18"/>
      <c r="B4" s="21"/>
      <c r="C4" s="21"/>
      <c r="D4" s="26"/>
      <c r="E4" s="26"/>
      <c r="F4" s="26"/>
      <c r="G4" s="26"/>
      <c r="H4" s="26"/>
      <c r="I4" s="26"/>
      <c r="J4" s="26"/>
      <c r="K4" s="26"/>
      <c r="L4" s="21"/>
      <c r="M4" s="21"/>
      <c r="N4" s="21"/>
      <c r="O4" s="21"/>
      <c r="P4" s="21"/>
      <c r="Q4" s="21"/>
      <c r="R4" s="21"/>
      <c r="S4" s="21"/>
      <c r="T4" s="21"/>
      <c r="U4" s="21"/>
      <c r="V4" s="21"/>
      <c r="W4" s="21"/>
      <c r="X4" s="21"/>
      <c r="Y4" s="21"/>
      <c r="Z4" s="21"/>
      <c r="AA4" s="21"/>
      <c r="AB4" s="21"/>
      <c r="AC4" s="20"/>
      <c r="AE4" s="487" t="s">
        <v>333</v>
      </c>
      <c r="AF4" s="487"/>
      <c r="AG4" s="487" t="s">
        <v>452</v>
      </c>
      <c r="AH4" s="487"/>
      <c r="AI4" s="487"/>
      <c r="AJ4" s="487"/>
      <c r="AK4" s="487"/>
      <c r="AL4" s="487"/>
      <c r="AM4" s="487"/>
      <c r="AN4" s="487"/>
    </row>
    <row r="5" spans="1:40" ht="15" customHeight="1" thickBot="1" x14ac:dyDescent="0.35">
      <c r="A5" s="18"/>
      <c r="B5" s="21"/>
      <c r="C5" s="21"/>
      <c r="D5" s="26"/>
      <c r="E5" s="26"/>
      <c r="F5" s="26"/>
      <c r="G5" s="26"/>
      <c r="H5" s="26"/>
      <c r="I5" s="26"/>
      <c r="J5" s="26"/>
      <c r="K5" s="26"/>
      <c r="L5" s="21"/>
      <c r="M5" s="21"/>
      <c r="N5" s="21"/>
      <c r="O5" s="21"/>
      <c r="P5" s="21"/>
      <c r="Q5" s="21"/>
      <c r="R5" s="21"/>
      <c r="S5" s="21"/>
      <c r="T5" s="21"/>
      <c r="U5" s="21"/>
      <c r="V5" s="21"/>
      <c r="W5" s="21"/>
      <c r="X5" s="21"/>
      <c r="Y5" s="21"/>
      <c r="Z5" s="21"/>
      <c r="AA5" s="21"/>
      <c r="AB5" s="21"/>
      <c r="AC5" s="20"/>
      <c r="AE5" s="487"/>
      <c r="AF5" s="487"/>
      <c r="AG5" s="487"/>
      <c r="AH5" s="487"/>
      <c r="AI5" s="487"/>
      <c r="AJ5" s="487"/>
      <c r="AK5" s="487"/>
      <c r="AL5" s="487"/>
      <c r="AM5" s="487"/>
      <c r="AN5" s="487"/>
    </row>
    <row r="6" spans="1:40" ht="15" customHeight="1" thickBot="1" x14ac:dyDescent="0.35">
      <c r="A6" s="18"/>
      <c r="B6" s="492" t="s">
        <v>65</v>
      </c>
      <c r="C6" s="529"/>
      <c r="D6" s="529"/>
      <c r="E6" s="529"/>
      <c r="F6" s="529"/>
      <c r="G6" s="529"/>
      <c r="H6" s="529"/>
      <c r="I6" s="493"/>
      <c r="J6" s="26"/>
      <c r="K6" s="26"/>
      <c r="L6" s="475" t="s">
        <v>3391</v>
      </c>
      <c r="M6" s="475"/>
      <c r="N6" s="475"/>
      <c r="O6" s="475"/>
      <c r="P6" s="475"/>
      <c r="Q6" s="475"/>
      <c r="R6" s="475"/>
      <c r="S6" s="475"/>
      <c r="T6" s="475"/>
      <c r="U6" s="21"/>
      <c r="V6" s="532" t="s">
        <v>118</v>
      </c>
      <c r="W6" s="533"/>
      <c r="X6" s="533"/>
      <c r="Y6" s="534"/>
      <c r="AA6" s="21"/>
      <c r="AB6" s="21"/>
      <c r="AC6" s="20"/>
      <c r="AE6" s="487"/>
      <c r="AF6" s="487"/>
      <c r="AG6" s="487"/>
      <c r="AH6" s="487"/>
      <c r="AI6" s="487"/>
      <c r="AJ6" s="487"/>
      <c r="AK6" s="487"/>
      <c r="AL6" s="487"/>
      <c r="AM6" s="487"/>
      <c r="AN6" s="487"/>
    </row>
    <row r="7" spans="1:40" x14ac:dyDescent="0.3">
      <c r="A7" s="18"/>
      <c r="B7" s="59" t="s">
        <v>2</v>
      </c>
      <c r="C7" s="60" t="s">
        <v>101</v>
      </c>
      <c r="D7" s="60" t="s">
        <v>111</v>
      </c>
      <c r="E7" s="60" t="s">
        <v>62</v>
      </c>
      <c r="F7" s="60" t="s">
        <v>103</v>
      </c>
      <c r="G7" s="60" t="s">
        <v>104</v>
      </c>
      <c r="H7" s="60" t="s">
        <v>105</v>
      </c>
      <c r="I7" s="60" t="s">
        <v>102</v>
      </c>
      <c r="J7" s="21"/>
      <c r="K7" s="21"/>
      <c r="L7" s="3" t="str">
        <f t="array" ref="L7:T16">_xll.U.VAGGREGATE(B7:I20,V8:V12,W8:W12,X8:Y12,,,TRUE)</f>
        <v>Symbol</v>
      </c>
      <c r="M7" s="3" t="str">
        <v>Broker</v>
      </c>
      <c r="N7" s="3" t="str">
        <v>Side</v>
      </c>
      <c r="O7" s="3" t="str">
        <v>Quantity</v>
      </c>
      <c r="P7" s="3" t="str">
        <v>Trade Price</v>
      </c>
      <c r="Q7" s="3" t="str">
        <v>Current Price</v>
      </c>
      <c r="R7" s="3" t="str">
        <v>P&amp;L</v>
      </c>
      <c r="S7" s="3" t="str">
        <v>Current Delta</v>
      </c>
      <c r="T7" s="3" t="str">
        <v>Num Aggregated</v>
      </c>
      <c r="U7" s="21"/>
      <c r="V7" s="62" t="s">
        <v>114</v>
      </c>
      <c r="W7" s="62" t="s">
        <v>115</v>
      </c>
      <c r="X7" s="63" t="s">
        <v>116</v>
      </c>
      <c r="Y7" s="64" t="s">
        <v>117</v>
      </c>
      <c r="Z7" s="21"/>
      <c r="AA7" s="21"/>
      <c r="AB7" s="21"/>
      <c r="AC7" s="20"/>
      <c r="AE7" s="483" t="s">
        <v>323</v>
      </c>
      <c r="AF7" s="483"/>
      <c r="AG7" s="483" t="s">
        <v>1</v>
      </c>
      <c r="AH7" s="483"/>
      <c r="AI7" s="483"/>
      <c r="AJ7" s="483"/>
      <c r="AK7" s="483"/>
      <c r="AL7" s="483"/>
      <c r="AM7" s="483"/>
      <c r="AN7" s="85" t="s">
        <v>324</v>
      </c>
    </row>
    <row r="8" spans="1:40" x14ac:dyDescent="0.3">
      <c r="A8" s="18"/>
      <c r="B8" s="42" t="s">
        <v>112</v>
      </c>
      <c r="C8" s="42" t="s">
        <v>113</v>
      </c>
      <c r="D8" s="42" t="str">
        <f t="shared" ref="D8:D20" si="0">IF(E8&gt;0,"B","S")</f>
        <v>B</v>
      </c>
      <c r="E8" s="44">
        <v>100</v>
      </c>
      <c r="F8" s="61">
        <v>4.3</v>
      </c>
      <c r="G8" s="61">
        <v>4.3099999999999996</v>
      </c>
      <c r="H8" s="65">
        <f t="shared" ref="H8:H20" si="1">(G8-F8)*E8*IF(ISERROR(FIND(" ",B8)),1,100)</f>
        <v>99.999999999997868</v>
      </c>
      <c r="I8" s="44">
        <v>-3215</v>
      </c>
      <c r="J8" s="21"/>
      <c r="K8" s="21"/>
      <c r="L8" s="30" t="str">
        <v>AAPL Jun17 140P</v>
      </c>
      <c r="M8" s="30" t="str">
        <v>BROKER_B</v>
      </c>
      <c r="N8" s="30" t="str">
        <v>B</v>
      </c>
      <c r="O8" s="36">
        <v>100</v>
      </c>
      <c r="P8" s="35">
        <v>4.3</v>
      </c>
      <c r="Q8" s="35">
        <v>4.3099999999999996</v>
      </c>
      <c r="R8" s="66">
        <v>99.999999999997868</v>
      </c>
      <c r="S8" s="36">
        <v>-3215</v>
      </c>
      <c r="T8" s="36">
        <v>1</v>
      </c>
      <c r="U8" s="21"/>
      <c r="V8" s="73" t="s">
        <v>2</v>
      </c>
      <c r="W8" s="73" t="s">
        <v>62</v>
      </c>
      <c r="X8" s="74" t="s">
        <v>103</v>
      </c>
      <c r="Y8" s="75" t="s">
        <v>62</v>
      </c>
      <c r="Z8" s="21"/>
      <c r="AA8" s="21"/>
      <c r="AB8" s="21"/>
      <c r="AC8" s="20"/>
      <c r="AE8" s="487" t="s">
        <v>443</v>
      </c>
      <c r="AF8" s="487"/>
      <c r="AG8" s="487" t="s">
        <v>2961</v>
      </c>
      <c r="AH8" s="487"/>
      <c r="AI8" s="487"/>
      <c r="AJ8" s="487"/>
      <c r="AK8" s="487"/>
      <c r="AL8" s="487"/>
      <c r="AM8" s="487"/>
      <c r="AN8" s="509" t="s">
        <v>325</v>
      </c>
    </row>
    <row r="9" spans="1:40" x14ac:dyDescent="0.3">
      <c r="A9" s="18"/>
      <c r="B9" s="42" t="s">
        <v>108</v>
      </c>
      <c r="C9" s="42" t="s">
        <v>110</v>
      </c>
      <c r="D9" s="42" t="str">
        <f t="shared" si="0"/>
        <v>B</v>
      </c>
      <c r="E9" s="44">
        <v>50</v>
      </c>
      <c r="F9" s="61">
        <v>2.65</v>
      </c>
      <c r="G9" s="61">
        <v>2.6</v>
      </c>
      <c r="H9" s="65">
        <f t="shared" si="1"/>
        <v>-249.99999999999912</v>
      </c>
      <c r="I9" s="44">
        <v>2879</v>
      </c>
      <c r="J9" s="21"/>
      <c r="K9" s="21"/>
      <c r="L9" s="30" t="str">
        <v>IBM Jun17 160C</v>
      </c>
      <c r="M9" s="30" t="str">
        <v>BOB_THE_BROKER</v>
      </c>
      <c r="N9" s="30" t="str">
        <v>B</v>
      </c>
      <c r="O9" s="36">
        <v>50</v>
      </c>
      <c r="P9" s="35">
        <v>2.65</v>
      </c>
      <c r="Q9" s="35">
        <v>2.6</v>
      </c>
      <c r="R9" s="66">
        <v>-249.99999999999912</v>
      </c>
      <c r="S9" s="36">
        <v>2879</v>
      </c>
      <c r="T9" s="36">
        <v>1</v>
      </c>
      <c r="U9" s="21"/>
      <c r="V9" s="73" t="s">
        <v>101</v>
      </c>
      <c r="W9" s="73" t="s">
        <v>105</v>
      </c>
      <c r="X9" s="74"/>
      <c r="Y9" s="75"/>
      <c r="Z9" s="21"/>
      <c r="AA9" s="21"/>
      <c r="AB9" s="21"/>
      <c r="AC9" s="20"/>
      <c r="AE9" s="487"/>
      <c r="AF9" s="487"/>
      <c r="AG9" s="487"/>
      <c r="AH9" s="487"/>
      <c r="AI9" s="487"/>
      <c r="AJ9" s="487"/>
      <c r="AK9" s="487"/>
      <c r="AL9" s="487"/>
      <c r="AM9" s="487"/>
      <c r="AN9" s="509"/>
    </row>
    <row r="10" spans="1:40" x14ac:dyDescent="0.3">
      <c r="A10" s="18"/>
      <c r="B10" s="42" t="s">
        <v>107</v>
      </c>
      <c r="C10" s="42" t="s">
        <v>109</v>
      </c>
      <c r="D10" s="42" t="str">
        <f t="shared" si="0"/>
        <v>S</v>
      </c>
      <c r="E10" s="44">
        <v>-3000</v>
      </c>
      <c r="F10" s="61">
        <v>159.49</v>
      </c>
      <c r="G10" s="61">
        <v>159.37</v>
      </c>
      <c r="H10" s="65">
        <f t="shared" si="1"/>
        <v>360.00000000001364</v>
      </c>
      <c r="I10" s="44">
        <v>-3000</v>
      </c>
      <c r="J10" s="21"/>
      <c r="K10" s="21"/>
      <c r="L10" s="30" t="str">
        <v>IBM</v>
      </c>
      <c r="M10" s="30" t="str">
        <v>BROKER_A</v>
      </c>
      <c r="N10" s="30" t="str">
        <v>S</v>
      </c>
      <c r="O10" s="36">
        <v>-3100</v>
      </c>
      <c r="P10" s="35">
        <v>159.49032258064517</v>
      </c>
      <c r="Q10" s="35">
        <v>159.37</v>
      </c>
      <c r="R10" s="66">
        <v>373.00000000001319</v>
      </c>
      <c r="S10" s="36">
        <v>-3100</v>
      </c>
      <c r="T10" s="36">
        <v>2</v>
      </c>
      <c r="U10" s="21"/>
      <c r="V10" s="73" t="s">
        <v>111</v>
      </c>
      <c r="W10" s="73" t="s">
        <v>102</v>
      </c>
      <c r="X10" s="74"/>
      <c r="Y10" s="75"/>
      <c r="Z10" s="21"/>
      <c r="AA10" s="21"/>
      <c r="AB10" s="21"/>
      <c r="AC10" s="20"/>
      <c r="AE10" s="487"/>
      <c r="AF10" s="487"/>
      <c r="AG10" s="487"/>
      <c r="AH10" s="487"/>
      <c r="AI10" s="487"/>
      <c r="AJ10" s="487"/>
      <c r="AK10" s="487"/>
      <c r="AL10" s="487"/>
      <c r="AM10" s="487"/>
      <c r="AN10" s="509"/>
    </row>
    <row r="11" spans="1:40" ht="15" customHeight="1" x14ac:dyDescent="0.3">
      <c r="A11" s="18"/>
      <c r="B11" s="42" t="s">
        <v>107</v>
      </c>
      <c r="C11" s="42" t="s">
        <v>109</v>
      </c>
      <c r="D11" s="42" t="str">
        <f t="shared" si="0"/>
        <v>S</v>
      </c>
      <c r="E11" s="44">
        <v>-100</v>
      </c>
      <c r="F11" s="61">
        <v>159.5</v>
      </c>
      <c r="G11" s="61">
        <v>159.37</v>
      </c>
      <c r="H11" s="65">
        <f t="shared" si="1"/>
        <v>12.999999999999545</v>
      </c>
      <c r="I11" s="44">
        <v>-100</v>
      </c>
      <c r="J11" s="21"/>
      <c r="K11" s="21"/>
      <c r="L11" s="30" t="str">
        <v>AAPL</v>
      </c>
      <c r="M11" s="30" t="str">
        <v>BROKER_B</v>
      </c>
      <c r="N11" s="30" t="str">
        <v>B</v>
      </c>
      <c r="O11" s="36">
        <v>3200</v>
      </c>
      <c r="P11" s="35">
        <v>142.01124999999999</v>
      </c>
      <c r="Q11" s="35">
        <v>141.97</v>
      </c>
      <c r="R11" s="66">
        <v>-132.00000000002206</v>
      </c>
      <c r="S11" s="36">
        <v>3200</v>
      </c>
      <c r="T11" s="36">
        <v>5</v>
      </c>
      <c r="U11" s="21"/>
      <c r="V11" s="73"/>
      <c r="W11" s="73"/>
      <c r="X11" s="74"/>
      <c r="Y11" s="75"/>
      <c r="Z11" s="21"/>
      <c r="AA11" s="21"/>
      <c r="AB11" s="21"/>
      <c r="AC11" s="20"/>
      <c r="AE11" s="484" t="s">
        <v>444</v>
      </c>
      <c r="AF11" s="484"/>
      <c r="AG11" s="484" t="s">
        <v>3791</v>
      </c>
      <c r="AH11" s="484"/>
      <c r="AI11" s="484"/>
      <c r="AJ11" s="484"/>
      <c r="AK11" s="484"/>
      <c r="AL11" s="484"/>
      <c r="AM11" s="484"/>
      <c r="AN11" s="485" t="s">
        <v>326</v>
      </c>
    </row>
    <row r="12" spans="1:40" ht="15" thickBot="1" x14ac:dyDescent="0.35">
      <c r="A12" s="18"/>
      <c r="B12" s="42" t="s">
        <v>106</v>
      </c>
      <c r="C12" s="42" t="s">
        <v>113</v>
      </c>
      <c r="D12" s="42" t="str">
        <f t="shared" si="0"/>
        <v>B</v>
      </c>
      <c r="E12" s="44">
        <v>1500</v>
      </c>
      <c r="F12" s="61">
        <v>142.02000000000001</v>
      </c>
      <c r="G12" s="61">
        <v>141.97</v>
      </c>
      <c r="H12" s="65">
        <f t="shared" si="1"/>
        <v>-75.000000000017053</v>
      </c>
      <c r="I12" s="44">
        <v>1500</v>
      </c>
      <c r="J12" s="21"/>
      <c r="K12" s="21"/>
      <c r="L12" s="30" t="str">
        <v>IBM</v>
      </c>
      <c r="M12" s="30" t="str">
        <v>BROKER_A</v>
      </c>
      <c r="N12" s="30" t="str">
        <v>B</v>
      </c>
      <c r="O12" s="36">
        <v>200</v>
      </c>
      <c r="P12" s="35">
        <v>159.4</v>
      </c>
      <c r="Q12" s="35">
        <v>159.37</v>
      </c>
      <c r="R12" s="66">
        <v>-6.0000000000002274</v>
      </c>
      <c r="S12" s="36">
        <v>200</v>
      </c>
      <c r="T12" s="36">
        <v>2</v>
      </c>
      <c r="U12" s="21"/>
      <c r="V12" s="76"/>
      <c r="W12" s="76"/>
      <c r="X12" s="77"/>
      <c r="Y12" s="78"/>
      <c r="Z12" s="21"/>
      <c r="AA12" s="21"/>
      <c r="AB12" s="21"/>
      <c r="AC12" s="20"/>
      <c r="AE12" s="484"/>
      <c r="AF12" s="484"/>
      <c r="AG12" s="484"/>
      <c r="AH12" s="484"/>
      <c r="AI12" s="484"/>
      <c r="AJ12" s="484"/>
      <c r="AK12" s="484"/>
      <c r="AL12" s="484"/>
      <c r="AM12" s="484"/>
      <c r="AN12" s="485"/>
    </row>
    <row r="13" spans="1:40" x14ac:dyDescent="0.3">
      <c r="A13" s="18"/>
      <c r="B13" s="42" t="s">
        <v>106</v>
      </c>
      <c r="C13" s="42" t="s">
        <v>113</v>
      </c>
      <c r="D13" s="42" t="str">
        <f t="shared" si="0"/>
        <v>B</v>
      </c>
      <c r="E13" s="44">
        <v>100</v>
      </c>
      <c r="F13" s="61">
        <v>142.02000000000001</v>
      </c>
      <c r="G13" s="61">
        <v>141.97</v>
      </c>
      <c r="H13" s="65">
        <f t="shared" si="1"/>
        <v>-5.0000000000011369</v>
      </c>
      <c r="I13" s="44">
        <v>100</v>
      </c>
      <c r="J13" s="21"/>
      <c r="K13" s="21"/>
      <c r="L13" s="30" t="str">
        <v>IBM Jun17 160C</v>
      </c>
      <c r="M13" s="30" t="str">
        <v>BOB_THE_BROKER</v>
      </c>
      <c r="N13" s="30" t="str">
        <v>S</v>
      </c>
      <c r="O13" s="36">
        <v>-50</v>
      </c>
      <c r="P13" s="35">
        <v>2.6120000000000001</v>
      </c>
      <c r="Q13" s="35">
        <v>2.6</v>
      </c>
      <c r="R13" s="66">
        <v>59.999999999999162</v>
      </c>
      <c r="S13" s="36">
        <v>-2879</v>
      </c>
      <c r="T13" s="36">
        <v>2</v>
      </c>
      <c r="U13" s="21"/>
      <c r="V13" s="21"/>
      <c r="W13" s="21"/>
      <c r="X13" s="21"/>
      <c r="Y13" s="21"/>
      <c r="Z13" s="21"/>
      <c r="AA13" s="21"/>
      <c r="AB13" s="21"/>
      <c r="AC13" s="20"/>
      <c r="AE13" s="484"/>
      <c r="AF13" s="484"/>
      <c r="AG13" s="484"/>
      <c r="AH13" s="484"/>
      <c r="AI13" s="484"/>
      <c r="AJ13" s="484"/>
      <c r="AK13" s="484"/>
      <c r="AL13" s="484"/>
      <c r="AM13" s="484"/>
      <c r="AN13" s="485"/>
    </row>
    <row r="14" spans="1:40" x14ac:dyDescent="0.3">
      <c r="A14" s="18"/>
      <c r="B14" s="42" t="s">
        <v>106</v>
      </c>
      <c r="C14" s="42" t="s">
        <v>113</v>
      </c>
      <c r="D14" s="42" t="str">
        <f t="shared" si="0"/>
        <v>B</v>
      </c>
      <c r="E14" s="44">
        <v>300</v>
      </c>
      <c r="F14" s="61">
        <v>142.02000000000001</v>
      </c>
      <c r="G14" s="61">
        <v>141.97</v>
      </c>
      <c r="H14" s="65">
        <f t="shared" si="1"/>
        <v>-15.000000000003411</v>
      </c>
      <c r="I14" s="44">
        <v>300</v>
      </c>
      <c r="J14" s="21"/>
      <c r="K14" s="21"/>
      <c r="L14" s="30" t="e">
        <v>#N/A</v>
      </c>
      <c r="M14" s="30" t="e">
        <v>#N/A</v>
      </c>
      <c r="N14" s="30" t="e">
        <v>#N/A</v>
      </c>
      <c r="O14" s="36" t="e">
        <v>#N/A</v>
      </c>
      <c r="P14" s="35" t="e">
        <v>#N/A</v>
      </c>
      <c r="Q14" s="35" t="e">
        <v>#N/A</v>
      </c>
      <c r="R14" s="66" t="e">
        <v>#N/A</v>
      </c>
      <c r="S14" s="36" t="e">
        <v>#N/A</v>
      </c>
      <c r="T14" s="36" t="e">
        <v>#N/A</v>
      </c>
      <c r="U14" s="21"/>
      <c r="V14" s="21"/>
      <c r="W14" s="21"/>
      <c r="X14" s="21"/>
      <c r="Y14" s="21"/>
      <c r="Z14" s="21"/>
      <c r="AA14" s="21"/>
      <c r="AB14" s="21"/>
      <c r="AC14" s="20"/>
      <c r="AE14" s="484" t="s">
        <v>445</v>
      </c>
      <c r="AF14" s="484"/>
      <c r="AG14" s="484" t="s">
        <v>3793</v>
      </c>
      <c r="AH14" s="484"/>
      <c r="AI14" s="484"/>
      <c r="AJ14" s="484"/>
      <c r="AK14" s="484"/>
      <c r="AL14" s="484"/>
      <c r="AM14" s="484"/>
      <c r="AN14" s="485" t="s">
        <v>326</v>
      </c>
    </row>
    <row r="15" spans="1:40" x14ac:dyDescent="0.3">
      <c r="A15" s="18"/>
      <c r="B15" s="42" t="s">
        <v>107</v>
      </c>
      <c r="C15" s="42" t="s">
        <v>109</v>
      </c>
      <c r="D15" s="42" t="str">
        <f t="shared" si="0"/>
        <v>B</v>
      </c>
      <c r="E15" s="44">
        <v>100</v>
      </c>
      <c r="F15" s="61">
        <v>159.4</v>
      </c>
      <c r="G15" s="61">
        <v>159.37</v>
      </c>
      <c r="H15" s="65">
        <f t="shared" si="1"/>
        <v>-3.0000000000001137</v>
      </c>
      <c r="I15" s="44">
        <v>100</v>
      </c>
      <c r="J15" s="21"/>
      <c r="K15" s="21"/>
      <c r="L15" s="30" t="e">
        <v>#N/A</v>
      </c>
      <c r="M15" s="30" t="e">
        <v>#N/A</v>
      </c>
      <c r="N15" s="30" t="e">
        <v>#N/A</v>
      </c>
      <c r="O15" s="36" t="e">
        <v>#N/A</v>
      </c>
      <c r="P15" s="35" t="e">
        <v>#N/A</v>
      </c>
      <c r="Q15" s="35" t="e">
        <v>#N/A</v>
      </c>
      <c r="R15" s="66" t="e">
        <v>#N/A</v>
      </c>
      <c r="S15" s="36" t="e">
        <v>#N/A</v>
      </c>
      <c r="T15" s="36" t="e">
        <v>#N/A</v>
      </c>
      <c r="U15" s="21"/>
      <c r="V15" s="21"/>
      <c r="W15" s="21"/>
      <c r="X15" s="21"/>
      <c r="Y15" s="21"/>
      <c r="Z15" s="21"/>
      <c r="AA15" s="21"/>
      <c r="AB15" s="21"/>
      <c r="AC15" s="20"/>
      <c r="AE15" s="484"/>
      <c r="AF15" s="484"/>
      <c r="AG15" s="484"/>
      <c r="AH15" s="484"/>
      <c r="AI15" s="484"/>
      <c r="AJ15" s="484"/>
      <c r="AK15" s="484"/>
      <c r="AL15" s="484"/>
      <c r="AM15" s="484"/>
      <c r="AN15" s="485"/>
    </row>
    <row r="16" spans="1:40" x14ac:dyDescent="0.3">
      <c r="A16" s="18"/>
      <c r="B16" s="42" t="s">
        <v>106</v>
      </c>
      <c r="C16" s="42" t="s">
        <v>113</v>
      </c>
      <c r="D16" s="42" t="str">
        <f t="shared" si="0"/>
        <v>B</v>
      </c>
      <c r="E16" s="44">
        <v>600</v>
      </c>
      <c r="F16" s="61">
        <v>142.02000000000001</v>
      </c>
      <c r="G16" s="61">
        <v>141.97</v>
      </c>
      <c r="H16" s="65">
        <f t="shared" si="1"/>
        <v>-30.000000000006821</v>
      </c>
      <c r="I16" s="44">
        <v>600</v>
      </c>
      <c r="J16" s="21"/>
      <c r="K16" s="21"/>
      <c r="L16" s="30" t="e">
        <v>#N/A</v>
      </c>
      <c r="M16" s="30" t="e">
        <v>#N/A</v>
      </c>
      <c r="N16" s="30" t="e">
        <v>#N/A</v>
      </c>
      <c r="O16" s="36" t="e">
        <v>#N/A</v>
      </c>
      <c r="P16" s="35" t="e">
        <v>#N/A</v>
      </c>
      <c r="Q16" s="35" t="e">
        <v>#N/A</v>
      </c>
      <c r="R16" s="66" t="e">
        <v>#N/A</v>
      </c>
      <c r="S16" s="36" t="e">
        <v>#N/A</v>
      </c>
      <c r="T16" s="36" t="e">
        <v>#N/A</v>
      </c>
      <c r="U16" s="21"/>
      <c r="V16" s="21"/>
      <c r="W16" s="21"/>
      <c r="X16" s="21"/>
      <c r="Y16" s="21"/>
      <c r="Z16" s="21"/>
      <c r="AA16" s="21"/>
      <c r="AB16" s="21"/>
      <c r="AC16" s="20"/>
      <c r="AE16" s="484"/>
      <c r="AF16" s="484"/>
      <c r="AG16" s="484"/>
      <c r="AH16" s="484"/>
      <c r="AI16" s="484"/>
      <c r="AJ16" s="484"/>
      <c r="AK16" s="484"/>
      <c r="AL16" s="484"/>
      <c r="AM16" s="484"/>
      <c r="AN16" s="485"/>
    </row>
    <row r="17" spans="1:40" ht="15" customHeight="1" x14ac:dyDescent="0.3">
      <c r="A17" s="18"/>
      <c r="B17" s="42" t="s">
        <v>107</v>
      </c>
      <c r="C17" s="42" t="s">
        <v>109</v>
      </c>
      <c r="D17" s="42" t="str">
        <f t="shared" si="0"/>
        <v>B</v>
      </c>
      <c r="E17" s="44">
        <v>100</v>
      </c>
      <c r="F17" s="61">
        <v>159.4</v>
      </c>
      <c r="G17" s="61">
        <v>159.37</v>
      </c>
      <c r="H17" s="65">
        <f t="shared" si="1"/>
        <v>-3.0000000000001137</v>
      </c>
      <c r="I17" s="44">
        <v>100</v>
      </c>
      <c r="J17" s="21"/>
      <c r="K17" s="21"/>
      <c r="L17" s="21"/>
      <c r="M17" s="21"/>
      <c r="N17" s="21"/>
      <c r="O17" s="21"/>
      <c r="P17" s="21"/>
      <c r="Q17" s="21"/>
      <c r="R17" s="21"/>
      <c r="S17" s="21"/>
      <c r="T17" s="21"/>
      <c r="U17" s="21"/>
      <c r="V17" s="21"/>
      <c r="W17" s="21"/>
      <c r="X17" s="21"/>
      <c r="Y17" s="21"/>
      <c r="Z17" s="21"/>
      <c r="AA17" s="21"/>
      <c r="AB17" s="21"/>
      <c r="AC17" s="20"/>
      <c r="AE17" s="484" t="s">
        <v>446</v>
      </c>
      <c r="AF17" s="484"/>
      <c r="AG17" s="484" t="s">
        <v>3792</v>
      </c>
      <c r="AH17" s="484"/>
      <c r="AI17" s="484"/>
      <c r="AJ17" s="484"/>
      <c r="AK17" s="484"/>
      <c r="AL17" s="484"/>
      <c r="AM17" s="484"/>
      <c r="AN17" s="485" t="s">
        <v>326</v>
      </c>
    </row>
    <row r="18" spans="1:40" x14ac:dyDescent="0.3">
      <c r="A18" s="18"/>
      <c r="B18" s="42" t="s">
        <v>108</v>
      </c>
      <c r="C18" s="42" t="s">
        <v>110</v>
      </c>
      <c r="D18" s="42" t="str">
        <f t="shared" si="0"/>
        <v>S</v>
      </c>
      <c r="E18" s="44">
        <v>-10</v>
      </c>
      <c r="F18" s="61">
        <v>2.62</v>
      </c>
      <c r="G18" s="61">
        <v>2.6</v>
      </c>
      <c r="H18" s="65">
        <f t="shared" si="1"/>
        <v>20.000000000000018</v>
      </c>
      <c r="I18" s="44">
        <v>-575.79999999999995</v>
      </c>
      <c r="J18" s="21"/>
      <c r="K18" s="21"/>
      <c r="L18" s="67"/>
      <c r="M18" s="67"/>
      <c r="N18" s="67"/>
      <c r="O18" s="67"/>
      <c r="P18" s="67"/>
      <c r="Q18" s="67"/>
      <c r="R18" s="67"/>
      <c r="S18" s="67"/>
      <c r="T18" s="67"/>
      <c r="U18" s="67"/>
      <c r="V18" s="67"/>
      <c r="W18" s="67"/>
      <c r="X18" s="67"/>
      <c r="Y18" s="67"/>
      <c r="Z18" s="67"/>
      <c r="AA18" s="67"/>
      <c r="AB18" s="21"/>
      <c r="AC18" s="20"/>
      <c r="AE18" s="484"/>
      <c r="AF18" s="484"/>
      <c r="AG18" s="484"/>
      <c r="AH18" s="484"/>
      <c r="AI18" s="484"/>
      <c r="AJ18" s="484"/>
      <c r="AK18" s="484"/>
      <c r="AL18" s="484"/>
      <c r="AM18" s="484"/>
      <c r="AN18" s="485"/>
    </row>
    <row r="19" spans="1:40" ht="15" thickBot="1" x14ac:dyDescent="0.35">
      <c r="A19" s="18"/>
      <c r="B19" s="42" t="s">
        <v>106</v>
      </c>
      <c r="C19" s="42" t="s">
        <v>113</v>
      </c>
      <c r="D19" s="42" t="str">
        <f t="shared" si="0"/>
        <v>B</v>
      </c>
      <c r="E19" s="44">
        <v>700</v>
      </c>
      <c r="F19" s="61">
        <v>141.97999999999999</v>
      </c>
      <c r="G19" s="61">
        <v>141.97</v>
      </c>
      <c r="H19" s="65">
        <f t="shared" si="1"/>
        <v>-6.9999999999936335</v>
      </c>
      <c r="I19" s="44">
        <v>700</v>
      </c>
      <c r="J19" s="21"/>
      <c r="K19" s="21"/>
      <c r="L19" s="21"/>
      <c r="M19" s="21"/>
      <c r="N19" s="21"/>
      <c r="O19" s="21"/>
      <c r="P19" s="21"/>
      <c r="Q19" s="21"/>
      <c r="R19" s="21"/>
      <c r="S19" s="21"/>
      <c r="T19" s="21"/>
      <c r="U19" s="21"/>
      <c r="V19" s="21"/>
      <c r="W19" s="21"/>
      <c r="X19" s="21"/>
      <c r="Y19" s="21"/>
      <c r="Z19" s="21"/>
      <c r="AA19" s="21"/>
      <c r="AB19" s="21"/>
      <c r="AC19" s="20"/>
      <c r="AE19" s="484"/>
      <c r="AF19" s="484"/>
      <c r="AG19" s="484"/>
      <c r="AH19" s="484"/>
      <c r="AI19" s="484"/>
      <c r="AJ19" s="484"/>
      <c r="AK19" s="484"/>
      <c r="AL19" s="484"/>
      <c r="AM19" s="484"/>
      <c r="AN19" s="485"/>
    </row>
    <row r="20" spans="1:40" ht="15" thickBot="1" x14ac:dyDescent="0.35">
      <c r="A20" s="18"/>
      <c r="B20" s="42" t="s">
        <v>108</v>
      </c>
      <c r="C20" s="42" t="s">
        <v>110</v>
      </c>
      <c r="D20" s="42" t="str">
        <f t="shared" si="0"/>
        <v>S</v>
      </c>
      <c r="E20" s="44">
        <v>-40</v>
      </c>
      <c r="F20" s="61">
        <v>2.61</v>
      </c>
      <c r="G20" s="61">
        <v>2.6</v>
      </c>
      <c r="H20" s="65">
        <f t="shared" si="1"/>
        <v>39.999999999999147</v>
      </c>
      <c r="I20" s="44">
        <v>-2303.1999999999998</v>
      </c>
      <c r="J20" s="21"/>
      <c r="K20" s="21"/>
      <c r="L20" s="475" t="s">
        <v>3391</v>
      </c>
      <c r="M20" s="475"/>
      <c r="N20" s="475"/>
      <c r="O20" s="475"/>
      <c r="P20" s="475"/>
      <c r="Q20" s="475"/>
      <c r="R20" s="475"/>
      <c r="S20" s="475"/>
      <c r="T20" s="475"/>
      <c r="U20" s="21"/>
      <c r="V20" s="532" t="s">
        <v>118</v>
      </c>
      <c r="W20" s="533"/>
      <c r="X20" s="533"/>
      <c r="Y20" s="534"/>
      <c r="Z20" s="21"/>
      <c r="AA20" s="21"/>
      <c r="AB20" s="21"/>
      <c r="AC20" s="20"/>
      <c r="AE20" s="484" t="s">
        <v>447</v>
      </c>
      <c r="AF20" s="484"/>
      <c r="AG20" s="484" t="s">
        <v>449</v>
      </c>
      <c r="AH20" s="484"/>
      <c r="AI20" s="484"/>
      <c r="AJ20" s="484"/>
      <c r="AK20" s="484"/>
      <c r="AL20" s="484"/>
      <c r="AM20" s="484"/>
      <c r="AN20" s="485" t="s">
        <v>326</v>
      </c>
    </row>
    <row r="21" spans="1:40" x14ac:dyDescent="0.3">
      <c r="A21" s="18"/>
      <c r="B21" s="21"/>
      <c r="C21" s="21"/>
      <c r="D21" s="21"/>
      <c r="E21" s="21"/>
      <c r="F21" s="21"/>
      <c r="G21" s="21"/>
      <c r="H21" s="21"/>
      <c r="I21" s="21"/>
      <c r="J21" s="21"/>
      <c r="K21" s="21"/>
      <c r="L21" s="3" t="str">
        <f t="array" ref="L21:T30">_xll.U.VAGGREGATE(B7:I20,V22:V26,W22:W26,X22:Y26,,,TRUE)</f>
        <v>Symbol</v>
      </c>
      <c r="M21" s="3" t="str">
        <v>Broker</v>
      </c>
      <c r="N21" s="3" t="str">
        <v>Side</v>
      </c>
      <c r="O21" s="3" t="str">
        <v>Quantity</v>
      </c>
      <c r="P21" s="3" t="str">
        <v>Trade Price</v>
      </c>
      <c r="Q21" s="3" t="str">
        <v>Current Price</v>
      </c>
      <c r="R21" s="3" t="str">
        <v>P&amp;L</v>
      </c>
      <c r="S21" s="3" t="str">
        <v>Current Delta</v>
      </c>
      <c r="T21" s="3" t="str">
        <v>Num Aggregated</v>
      </c>
      <c r="U21" s="21"/>
      <c r="V21" s="62" t="s">
        <v>114</v>
      </c>
      <c r="W21" s="62" t="s">
        <v>115</v>
      </c>
      <c r="X21" s="63" t="s">
        <v>116</v>
      </c>
      <c r="Y21" s="64" t="s">
        <v>117</v>
      </c>
      <c r="Z21" s="21"/>
      <c r="AA21" s="21"/>
      <c r="AB21" s="21"/>
      <c r="AC21" s="20"/>
      <c r="AE21" s="484"/>
      <c r="AF21" s="484"/>
      <c r="AG21" s="484"/>
      <c r="AH21" s="484"/>
      <c r="AI21" s="484"/>
      <c r="AJ21" s="484"/>
      <c r="AK21" s="484"/>
      <c r="AL21" s="484"/>
      <c r="AM21" s="484"/>
      <c r="AN21" s="485"/>
    </row>
    <row r="22" spans="1:40" x14ac:dyDescent="0.3">
      <c r="A22" s="18"/>
      <c r="B22" s="21"/>
      <c r="C22" s="21"/>
      <c r="D22" s="21"/>
      <c r="E22" s="21"/>
      <c r="F22" s="21"/>
      <c r="G22" s="21"/>
      <c r="H22" s="21"/>
      <c r="I22" s="21"/>
      <c r="J22" s="21"/>
      <c r="K22" s="21"/>
      <c r="L22" s="30" t="str">
        <v>AAPL Jun17 140P</v>
      </c>
      <c r="M22" s="30" t="str">
        <v>BROKER_B</v>
      </c>
      <c r="N22" s="30" t="str">
        <v>B</v>
      </c>
      <c r="O22" s="36">
        <v>100</v>
      </c>
      <c r="P22" s="35">
        <v>4.3</v>
      </c>
      <c r="Q22" s="35">
        <v>4.3099999999999996</v>
      </c>
      <c r="R22" s="66">
        <v>99.999999999997868</v>
      </c>
      <c r="S22" s="36">
        <v>-3215</v>
      </c>
      <c r="T22" s="36">
        <v>1</v>
      </c>
      <c r="U22" s="21"/>
      <c r="V22" s="73">
        <v>3</v>
      </c>
      <c r="W22" s="73" t="s">
        <v>62</v>
      </c>
      <c r="X22" s="74" t="s">
        <v>103</v>
      </c>
      <c r="Y22" s="75">
        <v>4</v>
      </c>
      <c r="Z22" s="21"/>
      <c r="AA22" s="21"/>
      <c r="AB22" s="21"/>
      <c r="AC22" s="20"/>
      <c r="AE22" s="484"/>
      <c r="AF22" s="484"/>
      <c r="AG22" s="484"/>
      <c r="AH22" s="484"/>
      <c r="AI22" s="484"/>
      <c r="AJ22" s="484"/>
      <c r="AK22" s="484"/>
      <c r="AL22" s="484"/>
      <c r="AM22" s="484"/>
      <c r="AN22" s="485"/>
    </row>
    <row r="23" spans="1:40" x14ac:dyDescent="0.3">
      <c r="A23" s="18"/>
      <c r="B23" s="21"/>
      <c r="C23" s="21"/>
      <c r="D23" s="21"/>
      <c r="E23" s="21"/>
      <c r="F23" s="21"/>
      <c r="G23" s="21"/>
      <c r="H23" s="21"/>
      <c r="I23" s="21"/>
      <c r="J23" s="21"/>
      <c r="K23" s="21"/>
      <c r="L23" s="30" t="str">
        <v>IBM Jun17 160C</v>
      </c>
      <c r="M23" s="30" t="str">
        <v>BOB_THE_BROKER</v>
      </c>
      <c r="N23" s="30" t="str">
        <v>B</v>
      </c>
      <c r="O23" s="36">
        <v>50</v>
      </c>
      <c r="P23" s="35">
        <v>2.65</v>
      </c>
      <c r="Q23" s="35">
        <v>2.6</v>
      </c>
      <c r="R23" s="66">
        <v>-249.99999999999912</v>
      </c>
      <c r="S23" s="36">
        <v>2879</v>
      </c>
      <c r="T23" s="36">
        <v>1</v>
      </c>
      <c r="U23" s="21"/>
      <c r="V23" s="73">
        <v>1</v>
      </c>
      <c r="W23" s="73">
        <v>7</v>
      </c>
      <c r="X23" s="74"/>
      <c r="Y23" s="75"/>
      <c r="Z23" s="21"/>
      <c r="AA23" s="21"/>
      <c r="AB23" s="21"/>
      <c r="AC23" s="20"/>
      <c r="AE23" s="484" t="s">
        <v>448</v>
      </c>
      <c r="AF23" s="484"/>
      <c r="AG23" s="484" t="s">
        <v>3783</v>
      </c>
      <c r="AH23" s="484"/>
      <c r="AI23" s="484"/>
      <c r="AJ23" s="484"/>
      <c r="AK23" s="484"/>
      <c r="AL23" s="484"/>
      <c r="AM23" s="484"/>
      <c r="AN23" s="485" t="s">
        <v>326</v>
      </c>
    </row>
    <row r="24" spans="1:40" x14ac:dyDescent="0.3">
      <c r="A24" s="18"/>
      <c r="B24" s="21"/>
      <c r="C24" s="21"/>
      <c r="D24" s="21"/>
      <c r="E24" s="21"/>
      <c r="F24" s="21"/>
      <c r="G24" s="21"/>
      <c r="H24" s="21"/>
      <c r="I24" s="21"/>
      <c r="J24" s="21"/>
      <c r="K24" s="21"/>
      <c r="L24" s="30" t="str">
        <v>IBM</v>
      </c>
      <c r="M24" s="30" t="str">
        <v>BROKER_A</v>
      </c>
      <c r="N24" s="30" t="str">
        <v>S</v>
      </c>
      <c r="O24" s="36">
        <v>-3100</v>
      </c>
      <c r="P24" s="35">
        <v>159.49032258064517</v>
      </c>
      <c r="Q24" s="35">
        <v>159.37</v>
      </c>
      <c r="R24" s="66">
        <v>373.00000000001319</v>
      </c>
      <c r="S24" s="36">
        <v>-3100</v>
      </c>
      <c r="T24" s="36">
        <v>2</v>
      </c>
      <c r="U24" s="21"/>
      <c r="V24" s="73">
        <v>2</v>
      </c>
      <c r="W24" s="73" t="s">
        <v>102</v>
      </c>
      <c r="X24" s="74"/>
      <c r="Y24" s="75"/>
      <c r="Z24" s="21"/>
      <c r="AA24" s="21"/>
      <c r="AB24" s="21"/>
      <c r="AC24" s="20"/>
      <c r="AE24" s="484"/>
      <c r="AF24" s="484"/>
      <c r="AG24" s="484"/>
      <c r="AH24" s="484"/>
      <c r="AI24" s="484"/>
      <c r="AJ24" s="484"/>
      <c r="AK24" s="484"/>
      <c r="AL24" s="484"/>
      <c r="AM24" s="484"/>
      <c r="AN24" s="485"/>
    </row>
    <row r="25" spans="1:40" x14ac:dyDescent="0.3">
      <c r="A25" s="18"/>
      <c r="B25" s="21"/>
      <c r="C25" s="21"/>
      <c r="D25" s="21"/>
      <c r="E25" s="21"/>
      <c r="F25" s="21"/>
      <c r="G25" s="21"/>
      <c r="H25" s="21"/>
      <c r="I25" s="21"/>
      <c r="J25" s="21"/>
      <c r="K25" s="21"/>
      <c r="L25" s="30" t="str">
        <v>AAPL</v>
      </c>
      <c r="M25" s="30" t="str">
        <v>BROKER_B</v>
      </c>
      <c r="N25" s="30" t="str">
        <v>B</v>
      </c>
      <c r="O25" s="36">
        <v>3200</v>
      </c>
      <c r="P25" s="35">
        <v>142.01124999999999</v>
      </c>
      <c r="Q25" s="35">
        <v>141.97</v>
      </c>
      <c r="R25" s="66">
        <v>-132.00000000002206</v>
      </c>
      <c r="S25" s="36">
        <v>3200</v>
      </c>
      <c r="T25" s="36">
        <v>5</v>
      </c>
      <c r="U25" s="21"/>
      <c r="V25" s="73"/>
      <c r="W25" s="73"/>
      <c r="X25" s="74"/>
      <c r="Y25" s="75"/>
      <c r="Z25" s="21"/>
      <c r="AA25" s="21"/>
      <c r="AB25" s="21"/>
      <c r="AC25" s="20"/>
      <c r="AE25" s="484"/>
      <c r="AF25" s="484"/>
      <c r="AG25" s="484"/>
      <c r="AH25" s="484"/>
      <c r="AI25" s="484"/>
      <c r="AJ25" s="484"/>
      <c r="AK25" s="484"/>
      <c r="AL25" s="484"/>
      <c r="AM25" s="484"/>
      <c r="AN25" s="485"/>
    </row>
    <row r="26" spans="1:40" ht="15" thickBot="1" x14ac:dyDescent="0.35">
      <c r="A26" s="18"/>
      <c r="B26" s="21"/>
      <c r="C26" s="21"/>
      <c r="D26" s="21"/>
      <c r="E26" s="21"/>
      <c r="F26" s="21"/>
      <c r="G26" s="21"/>
      <c r="H26" s="21"/>
      <c r="I26" s="21"/>
      <c r="J26" s="21"/>
      <c r="K26" s="21"/>
      <c r="L26" s="30" t="str">
        <v>IBM</v>
      </c>
      <c r="M26" s="30" t="str">
        <v>BROKER_A</v>
      </c>
      <c r="N26" s="30" t="str">
        <v>B</v>
      </c>
      <c r="O26" s="36">
        <v>200</v>
      </c>
      <c r="P26" s="35">
        <v>159.4</v>
      </c>
      <c r="Q26" s="35">
        <v>159.37</v>
      </c>
      <c r="R26" s="66">
        <v>-6.0000000000002274</v>
      </c>
      <c r="S26" s="36">
        <v>200</v>
      </c>
      <c r="T26" s="36">
        <v>2</v>
      </c>
      <c r="U26" s="21"/>
      <c r="V26" s="76"/>
      <c r="W26" s="76"/>
      <c r="X26" s="77"/>
      <c r="Y26" s="78"/>
      <c r="Z26" s="21"/>
      <c r="AA26" s="21"/>
      <c r="AB26" s="21"/>
      <c r="AC26" s="20"/>
      <c r="AE26" s="484" t="s">
        <v>3782</v>
      </c>
      <c r="AF26" s="484"/>
      <c r="AG26" s="484" t="s">
        <v>3784</v>
      </c>
      <c r="AH26" s="484"/>
      <c r="AI26" s="484"/>
      <c r="AJ26" s="484"/>
      <c r="AK26" s="484"/>
      <c r="AL26" s="484"/>
      <c r="AM26" s="484"/>
      <c r="AN26" s="485" t="s">
        <v>326</v>
      </c>
    </row>
    <row r="27" spans="1:40" x14ac:dyDescent="0.3">
      <c r="A27" s="18"/>
      <c r="B27" s="21"/>
      <c r="C27" s="21"/>
      <c r="D27" s="21"/>
      <c r="E27" s="21"/>
      <c r="F27" s="21"/>
      <c r="G27" s="21"/>
      <c r="H27" s="21"/>
      <c r="I27" s="21"/>
      <c r="J27" s="21"/>
      <c r="K27" s="21"/>
      <c r="L27" s="30" t="str">
        <v>IBM Jun17 160C</v>
      </c>
      <c r="M27" s="30" t="str">
        <v>BOB_THE_BROKER</v>
      </c>
      <c r="N27" s="30" t="str">
        <v>S</v>
      </c>
      <c r="O27" s="36">
        <v>-50</v>
      </c>
      <c r="P27" s="35">
        <v>2.6120000000000001</v>
      </c>
      <c r="Q27" s="35">
        <v>2.6</v>
      </c>
      <c r="R27" s="66">
        <v>59.999999999999162</v>
      </c>
      <c r="S27" s="36">
        <v>-2879</v>
      </c>
      <c r="T27" s="36">
        <v>2</v>
      </c>
      <c r="U27" s="21"/>
      <c r="V27" s="21"/>
      <c r="W27" s="21"/>
      <c r="X27" s="21"/>
      <c r="Y27" s="21"/>
      <c r="Z27" s="21"/>
      <c r="AA27" s="21"/>
      <c r="AB27" s="21"/>
      <c r="AC27" s="20"/>
      <c r="AE27" s="484"/>
      <c r="AF27" s="484"/>
      <c r="AG27" s="484"/>
      <c r="AH27" s="484"/>
      <c r="AI27" s="484"/>
      <c r="AJ27" s="484"/>
      <c r="AK27" s="484"/>
      <c r="AL27" s="484"/>
      <c r="AM27" s="484"/>
      <c r="AN27" s="485"/>
    </row>
    <row r="28" spans="1:40" x14ac:dyDescent="0.3">
      <c r="A28" s="18"/>
      <c r="B28" s="21"/>
      <c r="C28" s="21"/>
      <c r="D28" s="21"/>
      <c r="E28" s="21"/>
      <c r="F28" s="21"/>
      <c r="G28" s="21"/>
      <c r="H28" s="21"/>
      <c r="I28" s="21"/>
      <c r="J28" s="21"/>
      <c r="K28" s="21"/>
      <c r="L28" s="30" t="e">
        <v>#N/A</v>
      </c>
      <c r="M28" s="30" t="e">
        <v>#N/A</v>
      </c>
      <c r="N28" s="30" t="e">
        <v>#N/A</v>
      </c>
      <c r="O28" s="36" t="e">
        <v>#N/A</v>
      </c>
      <c r="P28" s="35" t="e">
        <v>#N/A</v>
      </c>
      <c r="Q28" s="35" t="e">
        <v>#N/A</v>
      </c>
      <c r="R28" s="66" t="e">
        <v>#N/A</v>
      </c>
      <c r="S28" s="36" t="e">
        <v>#N/A</v>
      </c>
      <c r="T28" s="36" t="e">
        <v>#N/A</v>
      </c>
      <c r="U28" s="21"/>
      <c r="V28" s="21"/>
      <c r="W28" s="21"/>
      <c r="X28" s="21"/>
      <c r="Y28" s="21"/>
      <c r="Z28" s="21"/>
      <c r="AA28" s="21"/>
      <c r="AB28" s="21"/>
      <c r="AC28" s="20"/>
      <c r="AE28" s="484"/>
      <c r="AF28" s="484"/>
      <c r="AG28" s="484"/>
      <c r="AH28" s="484"/>
      <c r="AI28" s="484"/>
      <c r="AJ28" s="484"/>
      <c r="AK28" s="484"/>
      <c r="AL28" s="484"/>
      <c r="AM28" s="484"/>
      <c r="AN28" s="485"/>
    </row>
    <row r="29" spans="1:40" x14ac:dyDescent="0.3">
      <c r="A29" s="18"/>
      <c r="B29" s="21"/>
      <c r="C29" s="21"/>
      <c r="D29" s="21"/>
      <c r="E29" s="21"/>
      <c r="F29" s="21"/>
      <c r="G29" s="21"/>
      <c r="H29" s="21"/>
      <c r="I29" s="21"/>
      <c r="J29" s="21"/>
      <c r="K29" s="21"/>
      <c r="L29" s="30" t="e">
        <v>#N/A</v>
      </c>
      <c r="M29" s="30" t="e">
        <v>#N/A</v>
      </c>
      <c r="N29" s="30" t="e">
        <v>#N/A</v>
      </c>
      <c r="O29" s="36" t="e">
        <v>#N/A</v>
      </c>
      <c r="P29" s="35" t="e">
        <v>#N/A</v>
      </c>
      <c r="Q29" s="35" t="e">
        <v>#N/A</v>
      </c>
      <c r="R29" s="66" t="e">
        <v>#N/A</v>
      </c>
      <c r="S29" s="36" t="e">
        <v>#N/A</v>
      </c>
      <c r="T29" s="36" t="e">
        <v>#N/A</v>
      </c>
      <c r="U29" s="21"/>
      <c r="V29" s="21"/>
      <c r="W29" s="21"/>
      <c r="X29" s="21"/>
      <c r="Y29" s="21"/>
      <c r="Z29" s="21"/>
      <c r="AA29" s="21"/>
      <c r="AB29" s="21"/>
      <c r="AC29" s="20"/>
      <c r="AE29" s="126"/>
    </row>
    <row r="30" spans="1:40" x14ac:dyDescent="0.3">
      <c r="A30" s="18"/>
      <c r="B30" s="21"/>
      <c r="C30" s="21"/>
      <c r="D30" s="21"/>
      <c r="E30" s="21"/>
      <c r="F30" s="21"/>
      <c r="G30" s="21"/>
      <c r="H30" s="21"/>
      <c r="I30" s="21"/>
      <c r="J30" s="21"/>
      <c r="K30" s="21"/>
      <c r="L30" s="30" t="e">
        <v>#N/A</v>
      </c>
      <c r="M30" s="30" t="e">
        <v>#N/A</v>
      </c>
      <c r="N30" s="30" t="e">
        <v>#N/A</v>
      </c>
      <c r="O30" s="36" t="e">
        <v>#N/A</v>
      </c>
      <c r="P30" s="35" t="e">
        <v>#N/A</v>
      </c>
      <c r="Q30" s="35" t="e">
        <v>#N/A</v>
      </c>
      <c r="R30" s="66" t="e">
        <v>#N/A</v>
      </c>
      <c r="S30" s="36" t="e">
        <v>#N/A</v>
      </c>
      <c r="T30" s="36" t="e">
        <v>#N/A</v>
      </c>
      <c r="U30" s="21"/>
      <c r="V30" s="21"/>
      <c r="W30" s="21"/>
      <c r="X30" s="21"/>
      <c r="Y30" s="21"/>
      <c r="Z30" s="21"/>
      <c r="AA30" s="21"/>
      <c r="AB30" s="21"/>
      <c r="AC30" s="20"/>
    </row>
    <row r="31" spans="1:40" x14ac:dyDescent="0.3">
      <c r="A31" s="18"/>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0"/>
    </row>
    <row r="32" spans="1:40" x14ac:dyDescent="0.3">
      <c r="A32" s="18"/>
      <c r="B32" s="21"/>
      <c r="C32" s="21"/>
      <c r="D32" s="21"/>
      <c r="E32" s="21"/>
      <c r="F32" s="21"/>
      <c r="G32" s="21"/>
      <c r="H32" s="21"/>
      <c r="I32" s="21"/>
      <c r="J32" s="21"/>
      <c r="K32" s="21"/>
      <c r="L32" s="67"/>
      <c r="M32" s="67"/>
      <c r="N32" s="67"/>
      <c r="O32" s="67"/>
      <c r="P32" s="67"/>
      <c r="Q32" s="67"/>
      <c r="R32" s="67"/>
      <c r="S32" s="67"/>
      <c r="T32" s="67"/>
      <c r="U32" s="67"/>
      <c r="V32" s="67"/>
      <c r="W32" s="67"/>
      <c r="X32" s="67"/>
      <c r="Y32" s="67"/>
      <c r="Z32" s="67"/>
      <c r="AA32" s="67"/>
      <c r="AB32" s="21"/>
      <c r="AC32" s="20"/>
    </row>
    <row r="33" spans="1:29" ht="15" thickBot="1" x14ac:dyDescent="0.35">
      <c r="A33" s="18"/>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0"/>
    </row>
    <row r="34" spans="1:29" ht="15" thickBot="1" x14ac:dyDescent="0.35">
      <c r="A34" s="18"/>
      <c r="B34" s="21"/>
      <c r="C34" s="21"/>
      <c r="D34" s="21"/>
      <c r="E34" s="21"/>
      <c r="F34" s="21"/>
      <c r="G34" s="21"/>
      <c r="H34" s="21"/>
      <c r="I34" s="21"/>
      <c r="J34" s="21"/>
      <c r="K34" s="21"/>
      <c r="L34" s="475" t="s">
        <v>3391</v>
      </c>
      <c r="M34" s="475"/>
      <c r="N34" s="475"/>
      <c r="O34" s="475"/>
      <c r="P34" s="475"/>
      <c r="Q34" s="475"/>
      <c r="R34" s="475"/>
      <c r="S34" s="475"/>
      <c r="T34" s="21"/>
      <c r="U34" s="21"/>
      <c r="V34" s="21"/>
      <c r="W34" s="21"/>
      <c r="X34" s="530" t="s">
        <v>118</v>
      </c>
      <c r="Y34" s="531"/>
      <c r="Z34" s="21"/>
      <c r="AA34" s="21"/>
      <c r="AB34" s="21"/>
      <c r="AC34" s="20"/>
    </row>
    <row r="35" spans="1:29" x14ac:dyDescent="0.3">
      <c r="A35" s="18"/>
      <c r="B35" s="21"/>
      <c r="C35" s="21"/>
      <c r="D35" s="21"/>
      <c r="E35" s="21"/>
      <c r="F35" s="21"/>
      <c r="G35" s="21"/>
      <c r="H35" s="21"/>
      <c r="I35" s="21"/>
      <c r="J35" s="21"/>
      <c r="K35" s="21"/>
      <c r="L35" s="3" t="str">
        <f t="array" ref="L35:S44">_xll.U.VAGGREGATE(B7:I20,,,X36:Y40)</f>
        <v>Symbol</v>
      </c>
      <c r="M35" s="3" t="str">
        <v>Broker</v>
      </c>
      <c r="N35" s="3" t="str">
        <v>Side</v>
      </c>
      <c r="O35" s="3" t="str">
        <v>Quantity</v>
      </c>
      <c r="P35" s="3" t="str">
        <v>Trade Price</v>
      </c>
      <c r="Q35" s="3" t="str">
        <v>Current Price</v>
      </c>
      <c r="R35" s="3" t="str">
        <v>P&amp;L</v>
      </c>
      <c r="S35" s="3" t="str">
        <v>Current Delta</v>
      </c>
      <c r="T35" s="21"/>
      <c r="U35" s="21"/>
      <c r="V35" s="21"/>
      <c r="W35" s="21"/>
      <c r="X35" s="63" t="s">
        <v>116</v>
      </c>
      <c r="Y35" s="64" t="s">
        <v>117</v>
      </c>
      <c r="Z35" s="21"/>
      <c r="AA35" s="21"/>
      <c r="AB35" s="21"/>
      <c r="AC35" s="20"/>
    </row>
    <row r="36" spans="1:29" x14ac:dyDescent="0.3">
      <c r="A36" s="18"/>
      <c r="B36" s="21"/>
      <c r="C36" s="21"/>
      <c r="D36" s="21"/>
      <c r="E36" s="21"/>
      <c r="F36" s="21"/>
      <c r="G36" s="21"/>
      <c r="H36" s="21"/>
      <c r="I36" s="21"/>
      <c r="J36" s="21"/>
      <c r="K36" s="21"/>
      <c r="L36" s="30" t="str">
        <v>AAPL Jun17 140P</v>
      </c>
      <c r="M36" s="30" t="str">
        <v>BROKER_B</v>
      </c>
      <c r="N36" s="30" t="str">
        <v>B</v>
      </c>
      <c r="O36" s="36">
        <v>100</v>
      </c>
      <c r="P36" s="35">
        <v>4.3</v>
      </c>
      <c r="Q36" s="35">
        <v>4.3099999999999996</v>
      </c>
      <c r="R36" s="66">
        <v>99.999999999997868</v>
      </c>
      <c r="S36" s="36">
        <v>-3215</v>
      </c>
      <c r="T36" s="21"/>
      <c r="U36" s="21"/>
      <c r="V36" s="21"/>
      <c r="W36" s="21"/>
      <c r="X36" s="74" t="s">
        <v>103</v>
      </c>
      <c r="Y36" s="75" t="s">
        <v>62</v>
      </c>
      <c r="Z36" s="21"/>
      <c r="AA36" s="21"/>
      <c r="AB36" s="21"/>
      <c r="AC36" s="20"/>
    </row>
    <row r="37" spans="1:29" x14ac:dyDescent="0.3">
      <c r="A37" s="18"/>
      <c r="B37" s="21"/>
      <c r="C37" s="21"/>
      <c r="D37" s="21"/>
      <c r="E37" s="21"/>
      <c r="F37" s="21"/>
      <c r="G37" s="21"/>
      <c r="H37" s="21"/>
      <c r="I37" s="21"/>
      <c r="J37" s="21"/>
      <c r="K37" s="21"/>
      <c r="L37" s="30" t="str">
        <v>IBM Jun17 160C</v>
      </c>
      <c r="M37" s="30" t="str">
        <v>BOB_THE_BROKER</v>
      </c>
      <c r="N37" s="30" t="str">
        <v>B</v>
      </c>
      <c r="O37" s="36">
        <v>50</v>
      </c>
      <c r="P37" s="35">
        <v>2.65</v>
      </c>
      <c r="Q37" s="35">
        <v>2.6</v>
      </c>
      <c r="R37" s="66">
        <v>-249.99999999999912</v>
      </c>
      <c r="S37" s="36">
        <v>2879</v>
      </c>
      <c r="T37" s="21"/>
      <c r="U37" s="21"/>
      <c r="V37" s="21"/>
      <c r="W37" s="21"/>
      <c r="X37" s="74" t="s">
        <v>104</v>
      </c>
      <c r="Y37" s="75"/>
      <c r="Z37" s="21"/>
      <c r="AA37" s="21"/>
      <c r="AB37" s="21"/>
      <c r="AC37" s="20"/>
    </row>
    <row r="38" spans="1:29" x14ac:dyDescent="0.3">
      <c r="A38" s="18"/>
      <c r="B38" s="21"/>
      <c r="C38" s="21"/>
      <c r="D38" s="21"/>
      <c r="E38" s="21"/>
      <c r="F38" s="21"/>
      <c r="G38" s="21"/>
      <c r="H38" s="21"/>
      <c r="I38" s="21"/>
      <c r="J38" s="21"/>
      <c r="K38" s="21"/>
      <c r="L38" s="30" t="str">
        <v>IBM</v>
      </c>
      <c r="M38" s="30" t="str">
        <v>BROKER_A</v>
      </c>
      <c r="N38" s="30" t="str">
        <v>S</v>
      </c>
      <c r="O38" s="36">
        <v>-3100</v>
      </c>
      <c r="P38" s="35">
        <v>159.49032258064517</v>
      </c>
      <c r="Q38" s="35">
        <v>159.37</v>
      </c>
      <c r="R38" s="66">
        <v>373.00000000001319</v>
      </c>
      <c r="S38" s="36">
        <v>-3100</v>
      </c>
      <c r="T38" s="21"/>
      <c r="U38" s="21"/>
      <c r="V38" s="21"/>
      <c r="W38" s="21"/>
      <c r="X38" s="74"/>
      <c r="Y38" s="75"/>
      <c r="Z38" s="21"/>
      <c r="AA38" s="21"/>
      <c r="AB38" s="21"/>
      <c r="AC38" s="20"/>
    </row>
    <row r="39" spans="1:29" x14ac:dyDescent="0.3">
      <c r="A39" s="18"/>
      <c r="B39" s="21"/>
      <c r="C39" s="21"/>
      <c r="D39" s="21"/>
      <c r="E39" s="21"/>
      <c r="F39" s="21"/>
      <c r="G39" s="21"/>
      <c r="H39" s="21"/>
      <c r="I39" s="21"/>
      <c r="J39" s="21"/>
      <c r="K39" s="21"/>
      <c r="L39" s="30" t="str">
        <v>AAPL</v>
      </c>
      <c r="M39" s="30" t="str">
        <v>BROKER_B</v>
      </c>
      <c r="N39" s="30" t="str">
        <v>B</v>
      </c>
      <c r="O39" s="36">
        <v>3200</v>
      </c>
      <c r="P39" s="35">
        <v>142.01124999999999</v>
      </c>
      <c r="Q39" s="35">
        <v>141.97</v>
      </c>
      <c r="R39" s="66">
        <v>-132.00000000002206</v>
      </c>
      <c r="S39" s="36">
        <v>3200</v>
      </c>
      <c r="T39" s="21"/>
      <c r="U39" s="21"/>
      <c r="V39" s="21"/>
      <c r="W39" s="21"/>
      <c r="X39" s="74"/>
      <c r="Y39" s="75"/>
      <c r="Z39" s="21"/>
      <c r="AA39" s="21"/>
      <c r="AB39" s="21"/>
      <c r="AC39" s="20"/>
    </row>
    <row r="40" spans="1:29" ht="15" thickBot="1" x14ac:dyDescent="0.35">
      <c r="A40" s="18"/>
      <c r="B40" s="21"/>
      <c r="C40" s="21"/>
      <c r="D40" s="21"/>
      <c r="E40" s="21"/>
      <c r="F40" s="21"/>
      <c r="G40" s="21"/>
      <c r="H40" s="21"/>
      <c r="I40" s="21"/>
      <c r="J40" s="21"/>
      <c r="K40" s="21"/>
      <c r="L40" s="30" t="str">
        <v>IBM</v>
      </c>
      <c r="M40" s="30" t="str">
        <v>BROKER_A</v>
      </c>
      <c r="N40" s="30" t="str">
        <v>B</v>
      </c>
      <c r="O40" s="36">
        <v>200</v>
      </c>
      <c r="P40" s="35">
        <v>159.4</v>
      </c>
      <c r="Q40" s="35">
        <v>159.37</v>
      </c>
      <c r="R40" s="66">
        <v>-6.0000000000002274</v>
      </c>
      <c r="S40" s="36">
        <v>200</v>
      </c>
      <c r="T40" s="21"/>
      <c r="U40" s="21"/>
      <c r="V40" s="21"/>
      <c r="W40" s="21"/>
      <c r="X40" s="77"/>
      <c r="Y40" s="78"/>
      <c r="Z40" s="21"/>
      <c r="AA40" s="21"/>
      <c r="AB40" s="21"/>
      <c r="AC40" s="20"/>
    </row>
    <row r="41" spans="1:29" x14ac:dyDescent="0.3">
      <c r="A41" s="18"/>
      <c r="B41" s="21"/>
      <c r="C41" s="21"/>
      <c r="D41" s="21"/>
      <c r="E41" s="21"/>
      <c r="F41" s="21"/>
      <c r="G41" s="21"/>
      <c r="H41" s="21"/>
      <c r="I41" s="21"/>
      <c r="J41" s="21"/>
      <c r="K41" s="21"/>
      <c r="L41" s="30" t="str">
        <v>IBM Jun17 160C</v>
      </c>
      <c r="M41" s="30" t="str">
        <v>BOB_THE_BROKER</v>
      </c>
      <c r="N41" s="30" t="str">
        <v>S</v>
      </c>
      <c r="O41" s="36">
        <v>-50</v>
      </c>
      <c r="P41" s="35">
        <v>2.6120000000000001</v>
      </c>
      <c r="Q41" s="35">
        <v>2.6</v>
      </c>
      <c r="R41" s="66">
        <v>59.999999999999162</v>
      </c>
      <c r="S41" s="36">
        <v>-2879</v>
      </c>
      <c r="T41" s="21"/>
      <c r="U41" s="21"/>
      <c r="V41" s="21"/>
      <c r="W41" s="21"/>
      <c r="X41" s="21"/>
      <c r="Y41" s="21"/>
      <c r="Z41" s="21"/>
      <c r="AA41" s="21"/>
      <c r="AB41" s="21"/>
      <c r="AC41" s="20"/>
    </row>
    <row r="42" spans="1:29" x14ac:dyDescent="0.3">
      <c r="A42" s="18"/>
      <c r="B42" s="21"/>
      <c r="C42" s="21"/>
      <c r="D42" s="21"/>
      <c r="E42" s="21"/>
      <c r="F42" s="21"/>
      <c r="G42" s="21"/>
      <c r="H42" s="21"/>
      <c r="I42" s="21"/>
      <c r="J42" s="21"/>
      <c r="K42" s="21"/>
      <c r="L42" s="30" t="e">
        <v>#N/A</v>
      </c>
      <c r="M42" s="30" t="e">
        <v>#N/A</v>
      </c>
      <c r="N42" s="30" t="e">
        <v>#N/A</v>
      </c>
      <c r="O42" s="36" t="e">
        <v>#N/A</v>
      </c>
      <c r="P42" s="35" t="e">
        <v>#N/A</v>
      </c>
      <c r="Q42" s="35" t="e">
        <v>#N/A</v>
      </c>
      <c r="R42" s="66" t="e">
        <v>#N/A</v>
      </c>
      <c r="S42" s="36" t="e">
        <v>#N/A</v>
      </c>
      <c r="T42" s="21"/>
      <c r="U42" s="21"/>
      <c r="V42" s="21"/>
      <c r="W42" s="21"/>
      <c r="X42" s="21"/>
      <c r="Y42" s="21"/>
      <c r="Z42" s="21"/>
      <c r="AA42" s="21"/>
      <c r="AB42" s="21"/>
      <c r="AC42" s="20"/>
    </row>
    <row r="43" spans="1:29" x14ac:dyDescent="0.3">
      <c r="A43" s="18"/>
      <c r="B43" s="21"/>
      <c r="C43" s="21"/>
      <c r="D43" s="21"/>
      <c r="E43" s="21"/>
      <c r="F43" s="21"/>
      <c r="G43" s="21"/>
      <c r="H43" s="21"/>
      <c r="I43" s="21"/>
      <c r="J43" s="21"/>
      <c r="K43" s="21"/>
      <c r="L43" s="30" t="e">
        <v>#N/A</v>
      </c>
      <c r="M43" s="30" t="e">
        <v>#N/A</v>
      </c>
      <c r="N43" s="30" t="e">
        <v>#N/A</v>
      </c>
      <c r="O43" s="36" t="e">
        <v>#N/A</v>
      </c>
      <c r="P43" s="35" t="e">
        <v>#N/A</v>
      </c>
      <c r="Q43" s="35" t="e">
        <v>#N/A</v>
      </c>
      <c r="R43" s="66" t="e">
        <v>#N/A</v>
      </c>
      <c r="S43" s="36" t="e">
        <v>#N/A</v>
      </c>
      <c r="T43" s="21"/>
      <c r="U43" s="21"/>
      <c r="V43" s="21"/>
      <c r="W43" s="21"/>
      <c r="X43" s="21"/>
      <c r="Y43" s="21"/>
      <c r="Z43" s="21"/>
      <c r="AA43" s="21"/>
      <c r="AB43" s="21"/>
      <c r="AC43" s="20"/>
    </row>
    <row r="44" spans="1:29" x14ac:dyDescent="0.3">
      <c r="A44" s="18"/>
      <c r="B44" s="21"/>
      <c r="C44" s="21"/>
      <c r="D44" s="21"/>
      <c r="E44" s="21"/>
      <c r="F44" s="21"/>
      <c r="G44" s="21"/>
      <c r="H44" s="21"/>
      <c r="I44" s="21"/>
      <c r="J44" s="21"/>
      <c r="K44" s="21"/>
      <c r="L44" s="30" t="e">
        <v>#N/A</v>
      </c>
      <c r="M44" s="30" t="e">
        <v>#N/A</v>
      </c>
      <c r="N44" s="30" t="e">
        <v>#N/A</v>
      </c>
      <c r="O44" s="36" t="e">
        <v>#N/A</v>
      </c>
      <c r="P44" s="35" t="e">
        <v>#N/A</v>
      </c>
      <c r="Q44" s="35" t="e">
        <v>#N/A</v>
      </c>
      <c r="R44" s="66" t="e">
        <v>#N/A</v>
      </c>
      <c r="S44" s="36" t="e">
        <v>#N/A</v>
      </c>
      <c r="T44" s="21"/>
      <c r="U44" s="21"/>
      <c r="V44" s="21"/>
      <c r="W44" s="21"/>
      <c r="X44" s="21"/>
      <c r="Y44" s="21"/>
      <c r="Z44" s="21"/>
      <c r="AA44" s="21"/>
      <c r="AB44" s="21"/>
      <c r="AC44" s="20"/>
    </row>
    <row r="45" spans="1:29" x14ac:dyDescent="0.3">
      <c r="A45" s="18"/>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0"/>
    </row>
    <row r="46" spans="1:29" x14ac:dyDescent="0.3">
      <c r="A46" s="18"/>
      <c r="B46" s="21"/>
      <c r="C46" s="21"/>
      <c r="D46" s="21"/>
      <c r="E46" s="21"/>
      <c r="F46" s="21"/>
      <c r="G46" s="21"/>
      <c r="H46" s="21"/>
      <c r="I46" s="21"/>
      <c r="J46" s="21"/>
      <c r="K46" s="21"/>
      <c r="L46" s="67"/>
      <c r="M46" s="67"/>
      <c r="N46" s="67"/>
      <c r="O46" s="67"/>
      <c r="P46" s="67"/>
      <c r="Q46" s="67"/>
      <c r="R46" s="67"/>
      <c r="S46" s="67"/>
      <c r="T46" s="67"/>
      <c r="U46" s="67"/>
      <c r="V46" s="67"/>
      <c r="W46" s="67"/>
      <c r="X46" s="67"/>
      <c r="Y46" s="67"/>
      <c r="Z46" s="67"/>
      <c r="AA46" s="67"/>
      <c r="AB46" s="21"/>
      <c r="AC46" s="20"/>
    </row>
    <row r="47" spans="1:29" ht="15" thickBot="1" x14ac:dyDescent="0.35">
      <c r="A47" s="18"/>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0"/>
    </row>
    <row r="48" spans="1:29" ht="15" thickBot="1" x14ac:dyDescent="0.35">
      <c r="A48" s="18"/>
      <c r="B48" s="21"/>
      <c r="C48" s="21"/>
      <c r="D48" s="21"/>
      <c r="E48" s="21"/>
      <c r="F48" s="21"/>
      <c r="G48" s="21"/>
      <c r="H48" s="21"/>
      <c r="I48" s="21"/>
      <c r="J48" s="21"/>
      <c r="K48" s="21"/>
      <c r="L48" s="492" t="s">
        <v>3391</v>
      </c>
      <c r="M48" s="529"/>
      <c r="N48" s="493"/>
      <c r="O48" s="21"/>
      <c r="P48" s="21"/>
      <c r="Q48" s="492" t="s">
        <v>3391</v>
      </c>
      <c r="R48" s="529"/>
      <c r="S48" s="493"/>
      <c r="T48" s="21"/>
      <c r="U48" s="21"/>
      <c r="V48" s="21"/>
      <c r="W48" s="21"/>
      <c r="X48" s="530" t="s">
        <v>118</v>
      </c>
      <c r="Y48" s="531"/>
      <c r="Z48" s="21"/>
      <c r="AA48" s="21"/>
      <c r="AB48" s="21"/>
      <c r="AC48" s="20"/>
    </row>
    <row r="49" spans="1:29" x14ac:dyDescent="0.3">
      <c r="A49" s="18"/>
      <c r="B49" s="21"/>
      <c r="C49" s="21"/>
      <c r="D49" s="21"/>
      <c r="E49" s="21"/>
      <c r="F49" s="21"/>
      <c r="G49" s="21"/>
      <c r="H49" s="21"/>
      <c r="I49" s="21"/>
      <c r="J49" s="21"/>
      <c r="K49" s="21"/>
      <c r="L49" s="3" t="str">
        <f t="array" ref="L49:N58">_xll.U.VAGGREGATE(B7:I20,X50:X54,Y50:Y54,,,TRUE,TRUE)</f>
        <v>Broker</v>
      </c>
      <c r="M49" s="3" t="str">
        <v>Quantity</v>
      </c>
      <c r="N49" s="3" t="str">
        <v>Num Aggregated</v>
      </c>
      <c r="O49" s="21"/>
      <c r="P49" s="21"/>
      <c r="Q49" s="3" t="str">
        <f t="array" ref="Q49:S58">_xll.U.PAD(_xll.U.VAGGREGATE(B7:I20,X50:X54,Y50:Y54,,,TRUE,TRUE))</f>
        <v>Broker</v>
      </c>
      <c r="R49" s="3" t="str">
        <v>Quantity</v>
      </c>
      <c r="S49" s="3" t="str">
        <v>Num Aggregated</v>
      </c>
      <c r="T49" s="21"/>
      <c r="U49" s="21"/>
      <c r="V49" s="21"/>
      <c r="W49" s="21"/>
      <c r="X49" s="62" t="s">
        <v>114</v>
      </c>
      <c r="Y49" s="62" t="s">
        <v>115</v>
      </c>
      <c r="Z49" s="21"/>
      <c r="AA49" s="21"/>
      <c r="AB49" s="21"/>
      <c r="AC49" s="20"/>
    </row>
    <row r="50" spans="1:29" x14ac:dyDescent="0.3">
      <c r="A50" s="18"/>
      <c r="B50" s="21"/>
      <c r="C50" s="21"/>
      <c r="D50" s="21"/>
      <c r="E50" s="21"/>
      <c r="F50" s="21"/>
      <c r="G50" s="21"/>
      <c r="H50" s="21"/>
      <c r="I50" s="21"/>
      <c r="J50" s="21"/>
      <c r="K50" s="21"/>
      <c r="L50" s="30" t="str">
        <v>BROKER_B</v>
      </c>
      <c r="M50" s="36">
        <v>3300</v>
      </c>
      <c r="N50" s="36">
        <v>6</v>
      </c>
      <c r="O50" s="21"/>
      <c r="P50" s="21"/>
      <c r="Q50" s="30" t="str">
        <v>BROKER_B</v>
      </c>
      <c r="R50" s="36">
        <v>3300</v>
      </c>
      <c r="S50" s="36">
        <v>6</v>
      </c>
      <c r="T50" s="21"/>
      <c r="U50" s="21"/>
      <c r="V50" s="21"/>
      <c r="W50" s="21"/>
      <c r="X50" s="73" t="s">
        <v>101</v>
      </c>
      <c r="Y50" s="73" t="s">
        <v>62</v>
      </c>
      <c r="Z50" s="21"/>
      <c r="AA50" s="21"/>
      <c r="AB50" s="21"/>
      <c r="AC50" s="20"/>
    </row>
    <row r="51" spans="1:29" x14ac:dyDescent="0.3">
      <c r="A51" s="18"/>
      <c r="B51" s="21"/>
      <c r="C51" s="21"/>
      <c r="D51" s="21"/>
      <c r="E51" s="21"/>
      <c r="F51" s="21"/>
      <c r="G51" s="21"/>
      <c r="H51" s="21"/>
      <c r="I51" s="21"/>
      <c r="J51" s="21"/>
      <c r="K51" s="21"/>
      <c r="L51" s="30" t="str">
        <v>BOB_THE_BROKER</v>
      </c>
      <c r="M51" s="36">
        <v>0</v>
      </c>
      <c r="N51" s="36">
        <v>3</v>
      </c>
      <c r="O51" s="21"/>
      <c r="P51" s="21"/>
      <c r="Q51" s="30" t="str">
        <v>BOB_THE_BROKER</v>
      </c>
      <c r="R51" s="36">
        <v>0</v>
      </c>
      <c r="S51" s="36">
        <v>3</v>
      </c>
      <c r="T51" s="21"/>
      <c r="U51" s="21"/>
      <c r="V51" s="21"/>
      <c r="W51" s="21"/>
      <c r="X51" s="73"/>
      <c r="Y51" s="73"/>
      <c r="Z51" s="21"/>
      <c r="AA51" s="21"/>
      <c r="AB51" s="21"/>
      <c r="AC51" s="20"/>
    </row>
    <row r="52" spans="1:29" x14ac:dyDescent="0.3">
      <c r="A52" s="18"/>
      <c r="B52" s="21"/>
      <c r="C52" s="21"/>
      <c r="D52" s="21"/>
      <c r="E52" s="21"/>
      <c r="F52" s="21"/>
      <c r="G52" s="21"/>
      <c r="H52" s="21"/>
      <c r="I52" s="21"/>
      <c r="J52" s="21"/>
      <c r="K52" s="21"/>
      <c r="L52" s="30" t="str">
        <v>BROKER_A</v>
      </c>
      <c r="M52" s="36">
        <v>-2900</v>
      </c>
      <c r="N52" s="36">
        <v>4</v>
      </c>
      <c r="O52" s="21"/>
      <c r="P52" s="21"/>
      <c r="Q52" s="30" t="str">
        <v>BROKER_A</v>
      </c>
      <c r="R52" s="36">
        <v>-2900</v>
      </c>
      <c r="S52" s="36">
        <v>4</v>
      </c>
      <c r="T52" s="21"/>
      <c r="U52" s="21"/>
      <c r="V52" s="21"/>
      <c r="W52" s="21"/>
      <c r="X52" s="73"/>
      <c r="Y52" s="73"/>
      <c r="Z52" s="21"/>
      <c r="AA52" s="21"/>
      <c r="AB52" s="21"/>
      <c r="AC52" s="20"/>
    </row>
    <row r="53" spans="1:29" x14ac:dyDescent="0.3">
      <c r="A53" s="18"/>
      <c r="B53" s="21"/>
      <c r="C53" s="21"/>
      <c r="D53" s="21"/>
      <c r="E53" s="21"/>
      <c r="F53" s="21"/>
      <c r="G53" s="21"/>
      <c r="H53" s="21"/>
      <c r="I53" s="21"/>
      <c r="J53" s="21"/>
      <c r="K53" s="21"/>
      <c r="L53" s="30" t="e">
        <v>#N/A</v>
      </c>
      <c r="M53" s="36" t="e">
        <v>#N/A</v>
      </c>
      <c r="N53" s="36" t="e">
        <v>#N/A</v>
      </c>
      <c r="O53" s="21"/>
      <c r="P53" s="21"/>
      <c r="Q53" s="30" t="str">
        <v/>
      </c>
      <c r="R53" s="36" t="str">
        <v/>
      </c>
      <c r="S53" s="36" t="str">
        <v/>
      </c>
      <c r="T53" s="21"/>
      <c r="U53" s="21"/>
      <c r="V53" s="21"/>
      <c r="W53" s="21"/>
      <c r="X53" s="73"/>
      <c r="Y53" s="73"/>
      <c r="Z53" s="21"/>
      <c r="AA53" s="21"/>
      <c r="AB53" s="21"/>
      <c r="AC53" s="20"/>
    </row>
    <row r="54" spans="1:29" ht="15" thickBot="1" x14ac:dyDescent="0.35">
      <c r="A54" s="18"/>
      <c r="B54" s="21"/>
      <c r="C54" s="21"/>
      <c r="D54" s="21"/>
      <c r="E54" s="21"/>
      <c r="F54" s="21"/>
      <c r="G54" s="21"/>
      <c r="H54" s="21"/>
      <c r="I54" s="21"/>
      <c r="J54" s="21"/>
      <c r="K54" s="21"/>
      <c r="L54" s="30" t="e">
        <v>#N/A</v>
      </c>
      <c r="M54" s="36" t="e">
        <v>#N/A</v>
      </c>
      <c r="N54" s="36" t="e">
        <v>#N/A</v>
      </c>
      <c r="O54" s="21"/>
      <c r="P54" s="21"/>
      <c r="Q54" s="30" t="str">
        <v/>
      </c>
      <c r="R54" s="36" t="str">
        <v/>
      </c>
      <c r="S54" s="36" t="str">
        <v/>
      </c>
      <c r="T54" s="21"/>
      <c r="U54" s="21"/>
      <c r="V54" s="21"/>
      <c r="W54" s="21"/>
      <c r="X54" s="76"/>
      <c r="Y54" s="76"/>
      <c r="Z54" s="21"/>
      <c r="AA54" s="21"/>
      <c r="AB54" s="21"/>
      <c r="AC54" s="20"/>
    </row>
    <row r="55" spans="1:29" x14ac:dyDescent="0.3">
      <c r="A55" s="18"/>
      <c r="B55" s="21"/>
      <c r="C55" s="21"/>
      <c r="D55" s="21"/>
      <c r="E55" s="21"/>
      <c r="F55" s="21"/>
      <c r="G55" s="21"/>
      <c r="H55" s="21"/>
      <c r="I55" s="21"/>
      <c r="J55" s="21"/>
      <c r="K55" s="21"/>
      <c r="L55" s="30" t="e">
        <v>#N/A</v>
      </c>
      <c r="M55" s="36" t="e">
        <v>#N/A</v>
      </c>
      <c r="N55" s="36" t="e">
        <v>#N/A</v>
      </c>
      <c r="O55" s="21"/>
      <c r="P55" s="21"/>
      <c r="Q55" s="30" t="str">
        <v/>
      </c>
      <c r="R55" s="36" t="str">
        <v/>
      </c>
      <c r="S55" s="36" t="str">
        <v/>
      </c>
      <c r="T55" s="21"/>
      <c r="U55" s="21"/>
      <c r="V55" s="21"/>
      <c r="W55" s="21"/>
      <c r="X55" s="21"/>
      <c r="Y55" s="21"/>
      <c r="Z55" s="21"/>
      <c r="AA55" s="21"/>
      <c r="AB55" s="21"/>
      <c r="AC55" s="20"/>
    </row>
    <row r="56" spans="1:29" x14ac:dyDescent="0.3">
      <c r="A56" s="18"/>
      <c r="B56" s="21"/>
      <c r="C56" s="21"/>
      <c r="D56" s="21"/>
      <c r="E56" s="21"/>
      <c r="F56" s="21"/>
      <c r="G56" s="21"/>
      <c r="H56" s="21"/>
      <c r="I56" s="21"/>
      <c r="J56" s="21"/>
      <c r="K56" s="21"/>
      <c r="L56" s="30" t="e">
        <v>#N/A</v>
      </c>
      <c r="M56" s="36" t="e">
        <v>#N/A</v>
      </c>
      <c r="N56" s="36" t="e">
        <v>#N/A</v>
      </c>
      <c r="O56" s="21"/>
      <c r="P56" s="21"/>
      <c r="Q56" s="30" t="str">
        <v/>
      </c>
      <c r="R56" s="36" t="str">
        <v/>
      </c>
      <c r="S56" s="36" t="str">
        <v/>
      </c>
      <c r="T56" s="21"/>
      <c r="U56" s="21"/>
      <c r="V56" s="21"/>
      <c r="W56" s="21"/>
      <c r="X56" s="21"/>
      <c r="Y56" s="21"/>
      <c r="Z56" s="21"/>
      <c r="AA56" s="21"/>
      <c r="AB56" s="21"/>
      <c r="AC56" s="20"/>
    </row>
    <row r="57" spans="1:29" x14ac:dyDescent="0.3">
      <c r="A57" s="18"/>
      <c r="B57" s="21"/>
      <c r="C57" s="21"/>
      <c r="D57" s="21"/>
      <c r="E57" s="21"/>
      <c r="F57" s="21"/>
      <c r="G57" s="21"/>
      <c r="H57" s="21"/>
      <c r="I57" s="21"/>
      <c r="J57" s="21"/>
      <c r="K57" s="21"/>
      <c r="L57" s="30" t="e">
        <v>#N/A</v>
      </c>
      <c r="M57" s="36" t="e">
        <v>#N/A</v>
      </c>
      <c r="N57" s="36" t="e">
        <v>#N/A</v>
      </c>
      <c r="O57" s="21"/>
      <c r="P57" s="21"/>
      <c r="Q57" s="30" t="str">
        <v/>
      </c>
      <c r="R57" s="36" t="str">
        <v/>
      </c>
      <c r="S57" s="36" t="str">
        <v/>
      </c>
      <c r="T57" s="21"/>
      <c r="U57" s="21"/>
      <c r="V57" s="21"/>
      <c r="W57" s="21"/>
      <c r="X57" s="21"/>
      <c r="Y57" s="21"/>
      <c r="Z57" s="21"/>
      <c r="AA57" s="21"/>
      <c r="AB57" s="21"/>
      <c r="AC57" s="20"/>
    </row>
    <row r="58" spans="1:29" x14ac:dyDescent="0.3">
      <c r="A58" s="18"/>
      <c r="B58" s="21"/>
      <c r="C58" s="21"/>
      <c r="D58" s="21"/>
      <c r="E58" s="21"/>
      <c r="F58" s="21"/>
      <c r="G58" s="21"/>
      <c r="H58" s="21"/>
      <c r="I58" s="21"/>
      <c r="J58" s="21"/>
      <c r="K58" s="21"/>
      <c r="L58" s="30" t="e">
        <v>#N/A</v>
      </c>
      <c r="M58" s="36" t="e">
        <v>#N/A</v>
      </c>
      <c r="N58" s="36" t="e">
        <v>#N/A</v>
      </c>
      <c r="O58" s="21"/>
      <c r="P58" s="21"/>
      <c r="Q58" s="30" t="str">
        <v/>
      </c>
      <c r="R58" s="36" t="str">
        <v/>
      </c>
      <c r="S58" s="36" t="str">
        <v/>
      </c>
      <c r="T58" s="21"/>
      <c r="U58" s="21"/>
      <c r="V58" s="21"/>
      <c r="W58" s="21"/>
      <c r="X58" s="21"/>
      <c r="Y58" s="21"/>
      <c r="Z58" s="21"/>
      <c r="AA58" s="21"/>
      <c r="AB58" s="21"/>
      <c r="AC58" s="20"/>
    </row>
    <row r="59" spans="1:29" x14ac:dyDescent="0.3">
      <c r="A59" s="18"/>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0"/>
    </row>
    <row r="60" spans="1:29" x14ac:dyDescent="0.3">
      <c r="A60" s="18"/>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0"/>
    </row>
    <row r="61" spans="1:29" x14ac:dyDescent="0.3">
      <c r="A61" s="18"/>
      <c r="B61" s="21"/>
      <c r="C61" s="21"/>
      <c r="D61" s="21"/>
      <c r="E61" s="21"/>
      <c r="F61" s="21"/>
      <c r="G61" s="21"/>
      <c r="H61" s="21"/>
      <c r="I61" s="21"/>
      <c r="J61" s="21"/>
      <c r="K61" s="21"/>
      <c r="L61" s="67"/>
      <c r="M61" s="67"/>
      <c r="N61" s="67"/>
      <c r="O61" s="67"/>
      <c r="P61" s="67"/>
      <c r="Q61" s="67"/>
      <c r="R61" s="67"/>
      <c r="S61" s="67"/>
      <c r="T61" s="67"/>
      <c r="U61" s="67"/>
      <c r="V61" s="67"/>
      <c r="W61" s="67"/>
      <c r="X61" s="67"/>
      <c r="Y61" s="67"/>
      <c r="Z61" s="67"/>
      <c r="AA61" s="67"/>
      <c r="AB61" s="21"/>
      <c r="AC61" s="20"/>
    </row>
    <row r="62" spans="1:29" ht="15" thickBot="1" x14ac:dyDescent="0.35">
      <c r="A62" s="18"/>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0"/>
    </row>
    <row r="63" spans="1:29" ht="15" thickBot="1" x14ac:dyDescent="0.35">
      <c r="A63" s="18"/>
      <c r="B63" s="21"/>
      <c r="C63" s="21"/>
      <c r="D63" s="21"/>
      <c r="E63" s="21"/>
      <c r="F63" s="21"/>
      <c r="G63" s="21"/>
      <c r="H63" s="21"/>
      <c r="I63" s="21"/>
      <c r="J63" s="21"/>
      <c r="K63" s="21"/>
      <c r="L63" s="475" t="s">
        <v>3391</v>
      </c>
      <c r="M63" s="475"/>
      <c r="N63" s="475"/>
      <c r="O63" s="475"/>
      <c r="P63" s="475"/>
      <c r="Q63" s="475"/>
      <c r="R63" s="475"/>
      <c r="S63" s="475"/>
      <c r="T63" s="475"/>
      <c r="U63" s="21"/>
      <c r="V63" s="532" t="s">
        <v>118</v>
      </c>
      <c r="W63" s="533"/>
      <c r="X63" s="533"/>
      <c r="Y63" s="534"/>
      <c r="Z63" s="21"/>
      <c r="AA63" s="21"/>
      <c r="AB63" s="21"/>
      <c r="AC63" s="20"/>
    </row>
    <row r="64" spans="1:29" x14ac:dyDescent="0.3">
      <c r="A64" s="18"/>
      <c r="B64" s="21"/>
      <c r="C64" s="21"/>
      <c r="D64" s="21"/>
      <c r="E64" s="21"/>
      <c r="F64" s="21"/>
      <c r="G64" s="21"/>
      <c r="H64" s="21"/>
      <c r="I64" s="21"/>
      <c r="J64" s="21"/>
      <c r="K64" s="21"/>
      <c r="L64" s="3" t="str">
        <f t="array" ref="L64:T73">_xll.U.VAGGREGATE(B7:I20,V65:V69,W65:W69,X65:Y69,,,TRUE)</f>
        <v>Symbol</v>
      </c>
      <c r="M64" s="3" t="str">
        <v>Broker</v>
      </c>
      <c r="N64" s="3" t="str">
        <v>Side</v>
      </c>
      <c r="O64" s="3" t="str">
        <v>Quantity</v>
      </c>
      <c r="P64" s="3" t="str">
        <v>Trade Price</v>
      </c>
      <c r="Q64" s="3" t="str">
        <v>Current Price</v>
      </c>
      <c r="R64" s="3" t="str">
        <v>P&amp;L</v>
      </c>
      <c r="S64" s="3" t="str">
        <v>Current Delta</v>
      </c>
      <c r="T64" s="3" t="str">
        <v>Num Aggregated</v>
      </c>
      <c r="U64" s="21"/>
      <c r="V64" s="62" t="s">
        <v>114</v>
      </c>
      <c r="W64" s="62" t="s">
        <v>115</v>
      </c>
      <c r="X64" s="63" t="s">
        <v>116</v>
      </c>
      <c r="Y64" s="64" t="s">
        <v>117</v>
      </c>
      <c r="Z64" s="21"/>
      <c r="AA64" s="21"/>
      <c r="AB64" s="21"/>
      <c r="AC64" s="20"/>
    </row>
    <row r="65" spans="1:29" x14ac:dyDescent="0.3">
      <c r="A65" s="18"/>
      <c r="B65" s="21"/>
      <c r="C65" s="21"/>
      <c r="D65" s="21"/>
      <c r="E65" s="21"/>
      <c r="F65" s="21"/>
      <c r="G65" s="21"/>
      <c r="H65" s="21"/>
      <c r="I65" s="21"/>
      <c r="J65" s="21"/>
      <c r="K65" s="21"/>
      <c r="L65" s="30" t="str">
        <v>AAPL Jun17 140P</v>
      </c>
      <c r="M65" s="30" t="str">
        <v>BROKER_B</v>
      </c>
      <c r="N65" s="30" t="str">
        <v>B</v>
      </c>
      <c r="O65" s="36">
        <v>100</v>
      </c>
      <c r="P65" s="35">
        <v>4.3</v>
      </c>
      <c r="Q65" s="35">
        <v>4.3099999999999996</v>
      </c>
      <c r="R65" s="66">
        <v>99.999999999997868</v>
      </c>
      <c r="S65" s="36">
        <v>-3215</v>
      </c>
      <c r="T65" s="36">
        <v>1</v>
      </c>
      <c r="U65" s="21"/>
      <c r="V65" s="73" t="s">
        <v>2</v>
      </c>
      <c r="W65" s="73" t="s">
        <v>62</v>
      </c>
      <c r="X65" s="74" t="s">
        <v>103</v>
      </c>
      <c r="Y65" s="75" t="s">
        <v>62</v>
      </c>
      <c r="Z65" s="21"/>
      <c r="AA65" s="21"/>
      <c r="AB65" s="21"/>
      <c r="AC65" s="20"/>
    </row>
    <row r="66" spans="1:29" x14ac:dyDescent="0.3">
      <c r="A66" s="18"/>
      <c r="B66" s="21"/>
      <c r="C66" s="21"/>
      <c r="D66" s="21"/>
      <c r="E66" s="21"/>
      <c r="F66" s="21"/>
      <c r="G66" s="21"/>
      <c r="H66" s="21"/>
      <c r="I66" s="21"/>
      <c r="J66" s="21"/>
      <c r="K66" s="21"/>
      <c r="L66" s="30" t="str">
        <v>IBM Jun17 160C</v>
      </c>
      <c r="M66" s="30" t="str">
        <v>BOB_THE_BROKER</v>
      </c>
      <c r="N66" s="30" t="str">
        <v>B</v>
      </c>
      <c r="O66" s="36">
        <v>50</v>
      </c>
      <c r="P66" s="35">
        <v>2.65</v>
      </c>
      <c r="Q66" s="35">
        <v>2.6</v>
      </c>
      <c r="R66" s="66">
        <v>-249.99999999999912</v>
      </c>
      <c r="S66" s="36">
        <v>2879</v>
      </c>
      <c r="T66" s="36">
        <v>1</v>
      </c>
      <c r="U66" s="21"/>
      <c r="V66" s="73" t="s">
        <v>101</v>
      </c>
      <c r="W66" s="73" t="s">
        <v>105</v>
      </c>
      <c r="X66" s="74"/>
      <c r="Y66" s="75"/>
      <c r="Z66" s="21"/>
      <c r="AA66" s="21"/>
      <c r="AB66" s="21"/>
      <c r="AC66" s="20"/>
    </row>
    <row r="67" spans="1:29" x14ac:dyDescent="0.3">
      <c r="A67" s="18"/>
      <c r="B67" s="21"/>
      <c r="C67" s="21"/>
      <c r="D67" s="21"/>
      <c r="E67" s="21"/>
      <c r="F67" s="21"/>
      <c r="G67" s="21"/>
      <c r="H67" s="21"/>
      <c r="I67" s="21"/>
      <c r="J67" s="21"/>
      <c r="K67" s="21"/>
      <c r="L67" s="30" t="str">
        <v>IBM</v>
      </c>
      <c r="M67" s="30" t="str">
        <v>BROKER_A</v>
      </c>
      <c r="N67" s="30" t="str">
        <v>S</v>
      </c>
      <c r="O67" s="36">
        <v>-3100</v>
      </c>
      <c r="P67" s="35">
        <v>159.49032258064517</v>
      </c>
      <c r="Q67" s="35">
        <v>159.37</v>
      </c>
      <c r="R67" s="66">
        <v>373.00000000001319</v>
      </c>
      <c r="S67" s="36">
        <v>-3100</v>
      </c>
      <c r="T67" s="36">
        <v>2</v>
      </c>
      <c r="U67" s="21"/>
      <c r="V67" s="73" t="s">
        <v>194</v>
      </c>
      <c r="W67" s="73" t="s">
        <v>102</v>
      </c>
      <c r="X67" s="74"/>
      <c r="Y67" s="75"/>
      <c r="Z67" s="21"/>
      <c r="AA67" s="21"/>
      <c r="AB67" s="21"/>
      <c r="AC67" s="20"/>
    </row>
    <row r="68" spans="1:29" x14ac:dyDescent="0.3">
      <c r="A68" s="18"/>
      <c r="B68" s="21"/>
      <c r="C68" s="21"/>
      <c r="D68" s="21"/>
      <c r="E68" s="21"/>
      <c r="F68" s="21"/>
      <c r="G68" s="21"/>
      <c r="H68" s="21"/>
      <c r="I68" s="21"/>
      <c r="J68" s="21"/>
      <c r="K68" s="21"/>
      <c r="L68" s="30" t="str">
        <v>AAPL</v>
      </c>
      <c r="M68" s="30" t="str">
        <v>BROKER_B</v>
      </c>
      <c r="N68" s="30" t="str">
        <v>B</v>
      </c>
      <c r="O68" s="36">
        <v>3200</v>
      </c>
      <c r="P68" s="35">
        <v>142.01124999999999</v>
      </c>
      <c r="Q68" s="35">
        <v>141.97</v>
      </c>
      <c r="R68" s="66">
        <v>-132.00000000002206</v>
      </c>
      <c r="S68" s="36">
        <v>3200</v>
      </c>
      <c r="T68" s="36">
        <v>5</v>
      </c>
      <c r="U68" s="21"/>
      <c r="V68" s="73"/>
      <c r="W68" s="73"/>
      <c r="X68" s="74"/>
      <c r="Y68" s="75"/>
      <c r="Z68" s="21"/>
      <c r="AA68" s="21"/>
      <c r="AB68" s="21"/>
      <c r="AC68" s="20"/>
    </row>
    <row r="69" spans="1:29" ht="15" thickBot="1" x14ac:dyDescent="0.35">
      <c r="A69" s="18"/>
      <c r="B69" s="21"/>
      <c r="C69" s="21"/>
      <c r="D69" s="21"/>
      <c r="E69" s="21"/>
      <c r="F69" s="21"/>
      <c r="G69" s="21"/>
      <c r="H69" s="21"/>
      <c r="I69" s="21"/>
      <c r="J69" s="21"/>
      <c r="K69" s="21"/>
      <c r="L69" s="30" t="str">
        <v>IBM</v>
      </c>
      <c r="M69" s="30" t="str">
        <v>BROKER_A</v>
      </c>
      <c r="N69" s="30" t="str">
        <v>B</v>
      </c>
      <c r="O69" s="36">
        <v>200</v>
      </c>
      <c r="P69" s="35">
        <v>159.4</v>
      </c>
      <c r="Q69" s="35">
        <v>159.37</v>
      </c>
      <c r="R69" s="66">
        <v>-6.0000000000002274</v>
      </c>
      <c r="S69" s="36">
        <v>200</v>
      </c>
      <c r="T69" s="36">
        <v>2</v>
      </c>
      <c r="U69" s="21"/>
      <c r="V69" s="76"/>
      <c r="W69" s="76"/>
      <c r="X69" s="77"/>
      <c r="Y69" s="78"/>
      <c r="Z69" s="21"/>
      <c r="AA69" s="21"/>
      <c r="AB69" s="21"/>
      <c r="AC69" s="20"/>
    </row>
    <row r="70" spans="1:29" x14ac:dyDescent="0.3">
      <c r="A70" s="18"/>
      <c r="B70" s="21"/>
      <c r="C70" s="21"/>
      <c r="D70" s="21"/>
      <c r="E70" s="21"/>
      <c r="F70" s="21"/>
      <c r="G70" s="21"/>
      <c r="H70" s="21"/>
      <c r="I70" s="21"/>
      <c r="J70" s="21"/>
      <c r="K70" s="21"/>
      <c r="L70" s="30" t="str">
        <v>IBM Jun17 160C</v>
      </c>
      <c r="M70" s="30" t="str">
        <v>BOB_THE_BROKER</v>
      </c>
      <c r="N70" s="30" t="str">
        <v>S</v>
      </c>
      <c r="O70" s="36">
        <v>-50</v>
      </c>
      <c r="P70" s="35">
        <v>2.6120000000000001</v>
      </c>
      <c r="Q70" s="35">
        <v>2.6</v>
      </c>
      <c r="R70" s="66">
        <v>59.999999999999162</v>
      </c>
      <c r="S70" s="36">
        <v>-2879</v>
      </c>
      <c r="T70" s="36">
        <v>2</v>
      </c>
      <c r="U70" s="21"/>
      <c r="V70" s="21"/>
      <c r="W70" s="21"/>
      <c r="X70" s="21"/>
      <c r="Y70" s="21"/>
      <c r="Z70" s="21"/>
      <c r="AA70" s="21"/>
      <c r="AB70" s="21"/>
      <c r="AC70" s="20"/>
    </row>
    <row r="71" spans="1:29" x14ac:dyDescent="0.3">
      <c r="A71" s="18"/>
      <c r="B71" s="21"/>
      <c r="C71" s="21"/>
      <c r="D71" s="21"/>
      <c r="E71" s="21"/>
      <c r="F71" s="21"/>
      <c r="G71" s="21"/>
      <c r="H71" s="21"/>
      <c r="I71" s="21"/>
      <c r="J71" s="21"/>
      <c r="K71" s="21"/>
      <c r="L71" s="30" t="e">
        <v>#N/A</v>
      </c>
      <c r="M71" s="30" t="e">
        <v>#N/A</v>
      </c>
      <c r="N71" s="30" t="e">
        <v>#N/A</v>
      </c>
      <c r="O71" s="36" t="e">
        <v>#N/A</v>
      </c>
      <c r="P71" s="35" t="e">
        <v>#N/A</v>
      </c>
      <c r="Q71" s="35" t="e">
        <v>#N/A</v>
      </c>
      <c r="R71" s="66" t="e">
        <v>#N/A</v>
      </c>
      <c r="S71" s="36" t="e">
        <v>#N/A</v>
      </c>
      <c r="T71" s="36" t="e">
        <v>#N/A</v>
      </c>
      <c r="U71" s="21"/>
      <c r="V71" s="21"/>
      <c r="W71" s="21"/>
      <c r="X71" s="21"/>
      <c r="Y71" s="21"/>
      <c r="Z71" s="21"/>
      <c r="AA71" s="21"/>
      <c r="AB71" s="21"/>
      <c r="AC71" s="20"/>
    </row>
    <row r="72" spans="1:29" x14ac:dyDescent="0.3">
      <c r="A72" s="18"/>
      <c r="B72" s="21"/>
      <c r="C72" s="21"/>
      <c r="D72" s="21"/>
      <c r="E72" s="21"/>
      <c r="F72" s="21"/>
      <c r="G72" s="21"/>
      <c r="H72" s="21"/>
      <c r="I72" s="21"/>
      <c r="J72" s="21"/>
      <c r="K72" s="21"/>
      <c r="L72" s="30" t="e">
        <v>#N/A</v>
      </c>
      <c r="M72" s="30" t="e">
        <v>#N/A</v>
      </c>
      <c r="N72" s="30" t="e">
        <v>#N/A</v>
      </c>
      <c r="O72" s="36" t="e">
        <v>#N/A</v>
      </c>
      <c r="P72" s="35" t="e">
        <v>#N/A</v>
      </c>
      <c r="Q72" s="35" t="e">
        <v>#N/A</v>
      </c>
      <c r="R72" s="66" t="e">
        <v>#N/A</v>
      </c>
      <c r="S72" s="36" t="e">
        <v>#N/A</v>
      </c>
      <c r="T72" s="36" t="e">
        <v>#N/A</v>
      </c>
      <c r="U72" s="21"/>
      <c r="V72" s="21"/>
      <c r="W72" s="21"/>
      <c r="X72" s="21"/>
      <c r="Y72" s="21"/>
      <c r="Z72" s="21"/>
      <c r="AA72" s="21"/>
      <c r="AB72" s="21"/>
      <c r="AC72" s="20"/>
    </row>
    <row r="73" spans="1:29" x14ac:dyDescent="0.3">
      <c r="A73" s="18"/>
      <c r="B73" s="21"/>
      <c r="C73" s="21"/>
      <c r="D73" s="21"/>
      <c r="E73" s="21"/>
      <c r="F73" s="21"/>
      <c r="G73" s="21"/>
      <c r="H73" s="21"/>
      <c r="I73" s="21"/>
      <c r="J73" s="21"/>
      <c r="K73" s="21"/>
      <c r="L73" s="30" t="e">
        <v>#N/A</v>
      </c>
      <c r="M73" s="30" t="e">
        <v>#N/A</v>
      </c>
      <c r="N73" s="30" t="e">
        <v>#N/A</v>
      </c>
      <c r="O73" s="36" t="e">
        <v>#N/A</v>
      </c>
      <c r="P73" s="35" t="e">
        <v>#N/A</v>
      </c>
      <c r="Q73" s="35" t="e">
        <v>#N/A</v>
      </c>
      <c r="R73" s="66" t="e">
        <v>#N/A</v>
      </c>
      <c r="S73" s="36" t="e">
        <v>#N/A</v>
      </c>
      <c r="T73" s="36" t="e">
        <v>#N/A</v>
      </c>
      <c r="U73" s="21"/>
      <c r="V73" s="21"/>
      <c r="W73" s="21"/>
      <c r="X73" s="21"/>
      <c r="Y73" s="21"/>
      <c r="Z73" s="21"/>
      <c r="AA73" s="21"/>
      <c r="AB73" s="21"/>
      <c r="AC73" s="20"/>
    </row>
    <row r="74" spans="1:29" x14ac:dyDescent="0.3">
      <c r="A74" s="18"/>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0"/>
    </row>
    <row r="75" spans="1:29" x14ac:dyDescent="0.3">
      <c r="A75" s="18"/>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0"/>
    </row>
    <row r="76" spans="1:29" x14ac:dyDescent="0.3">
      <c r="A76" s="18"/>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0"/>
    </row>
    <row r="77" spans="1:29" x14ac:dyDescent="0.3">
      <c r="A77" s="18"/>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0"/>
    </row>
    <row r="78" spans="1:29" x14ac:dyDescent="0.3">
      <c r="A78" s="18"/>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0"/>
    </row>
    <row r="79" spans="1:29" x14ac:dyDescent="0.3">
      <c r="A79" s="1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0"/>
    </row>
    <row r="80" spans="1:29" x14ac:dyDescent="0.3">
      <c r="A80" s="18"/>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0"/>
    </row>
    <row r="81" spans="1:29" x14ac:dyDescent="0.3">
      <c r="A81" s="18"/>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0"/>
    </row>
    <row r="82" spans="1:29" x14ac:dyDescent="0.3">
      <c r="A82" s="18"/>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21"/>
      <c r="AC82" s="20"/>
    </row>
    <row r="83" spans="1:29" x14ac:dyDescent="0.3">
      <c r="A83" s="18"/>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0"/>
    </row>
    <row r="84" spans="1:29" x14ac:dyDescent="0.3">
      <c r="A84" s="18"/>
      <c r="B84" s="21"/>
      <c r="C84" s="21"/>
      <c r="D84" s="21"/>
      <c r="E84" s="21"/>
      <c r="F84" s="21"/>
      <c r="G84" s="21"/>
      <c r="H84" s="21"/>
      <c r="I84" s="2" t="s">
        <v>11</v>
      </c>
      <c r="J84" s="79" t="s">
        <v>120</v>
      </c>
      <c r="K84" s="21"/>
      <c r="L84" s="2" t="s">
        <v>123</v>
      </c>
      <c r="M84" s="71" t="str">
        <f t="array" ref="M84">_xll.U.SUBSCRIBE(J84,J85)</f>
        <v>U/TEST/TRADES | 2026-04-19 14:17:41.713</v>
      </c>
      <c r="N84" s="21"/>
      <c r="O84" s="21"/>
      <c r="P84" s="21"/>
      <c r="Q84" s="21"/>
      <c r="R84" s="21"/>
      <c r="S84" s="21"/>
      <c r="T84" s="21"/>
      <c r="U84" s="21"/>
      <c r="V84" s="21"/>
      <c r="W84" s="21"/>
      <c r="X84" s="21"/>
      <c r="Y84" s="21"/>
      <c r="Z84" s="21"/>
      <c r="AA84" s="21"/>
      <c r="AB84" s="21"/>
      <c r="AC84" s="20"/>
    </row>
    <row r="85" spans="1:29" ht="15" thickBot="1" x14ac:dyDescent="0.35">
      <c r="A85" s="18"/>
      <c r="B85" s="21"/>
      <c r="C85" s="21"/>
      <c r="D85" s="21"/>
      <c r="E85" s="21"/>
      <c r="F85" s="21"/>
      <c r="G85" s="21"/>
      <c r="H85" s="21"/>
      <c r="I85" s="2" t="s">
        <v>12</v>
      </c>
      <c r="J85" s="79" t="s">
        <v>121</v>
      </c>
      <c r="K85" s="21"/>
      <c r="L85" s="21"/>
      <c r="M85" s="21"/>
      <c r="N85" s="21"/>
      <c r="O85" s="21"/>
      <c r="P85" s="21"/>
      <c r="Q85" s="21"/>
      <c r="R85" s="21"/>
      <c r="S85" s="21"/>
      <c r="T85" s="21"/>
      <c r="U85" s="21"/>
      <c r="V85" s="21"/>
      <c r="W85" s="21"/>
      <c r="X85" s="21"/>
      <c r="Y85" s="21"/>
      <c r="Z85" s="21"/>
      <c r="AA85" s="21"/>
      <c r="AB85" s="21"/>
      <c r="AC85" s="20"/>
    </row>
    <row r="86" spans="1:29" ht="15" thickBot="1" x14ac:dyDescent="0.35">
      <c r="A86" s="18"/>
      <c r="B86" s="21"/>
      <c r="C86" s="21"/>
      <c r="D86" s="21"/>
      <c r="E86" s="21"/>
      <c r="F86" s="21"/>
      <c r="G86" s="21"/>
      <c r="H86" s="21"/>
      <c r="I86" s="21"/>
      <c r="J86" s="21"/>
      <c r="K86" s="21"/>
      <c r="L86" s="475" t="s">
        <v>3391</v>
      </c>
      <c r="M86" s="475"/>
      <c r="N86" s="475"/>
      <c r="O86" s="475"/>
      <c r="P86" s="475"/>
      <c r="Q86" s="475"/>
      <c r="R86" s="475"/>
      <c r="S86" s="475"/>
      <c r="T86" s="475"/>
      <c r="U86" s="21"/>
      <c r="V86" s="532" t="s">
        <v>118</v>
      </c>
      <c r="W86" s="533"/>
      <c r="X86" s="533"/>
      <c r="Y86" s="534"/>
      <c r="Z86" s="21"/>
      <c r="AA86" s="21"/>
      <c r="AB86" s="21"/>
      <c r="AC86" s="20"/>
    </row>
    <row r="87" spans="1:29" x14ac:dyDescent="0.3">
      <c r="A87" s="18"/>
      <c r="B87" s="21"/>
      <c r="C87" s="21"/>
      <c r="D87" s="21"/>
      <c r="E87" s="21"/>
      <c r="F87" s="21"/>
      <c r="G87" s="21"/>
      <c r="H87" s="21"/>
      <c r="I87" s="2" t="s">
        <v>122</v>
      </c>
      <c r="J87" s="71" cm="1">
        <f t="array" ref="J87">_xll.U.PUBLISH(J84,J85,B7:I20)</f>
        <v>46072.453155590279</v>
      </c>
      <c r="K87" s="21"/>
      <c r="L87" s="3" t="str">
        <f t="array" ref="L87:T96">_xll.U.VAGGREGATE(M84,V88:V92,W88:W92,X88:Y92,,,TRUE)</f>
        <v>Symbol</v>
      </c>
      <c r="M87" s="3" t="str">
        <v>Broker</v>
      </c>
      <c r="N87" s="3" t="str">
        <v>Side</v>
      </c>
      <c r="O87" s="3" t="str">
        <v>Quantity</v>
      </c>
      <c r="P87" s="3" t="str">
        <v>Trade Price</v>
      </c>
      <c r="Q87" s="3" t="str">
        <v>Current Price</v>
      </c>
      <c r="R87" s="3" t="str">
        <v>P&amp;L</v>
      </c>
      <c r="S87" s="3" t="str">
        <v>Current Delta</v>
      </c>
      <c r="T87" s="3" t="str">
        <v>Num Aggregated</v>
      </c>
      <c r="U87" s="21"/>
      <c r="V87" s="62" t="s">
        <v>114</v>
      </c>
      <c r="W87" s="62" t="s">
        <v>115</v>
      </c>
      <c r="X87" s="63" t="s">
        <v>116</v>
      </c>
      <c r="Y87" s="64" t="s">
        <v>117</v>
      </c>
      <c r="Z87" s="21"/>
      <c r="AA87" s="21"/>
      <c r="AB87" s="21"/>
      <c r="AC87" s="20"/>
    </row>
    <row r="88" spans="1:29" x14ac:dyDescent="0.3">
      <c r="A88" s="18"/>
      <c r="B88" s="21"/>
      <c r="C88" s="21"/>
      <c r="D88" s="21"/>
      <c r="E88" s="21"/>
      <c r="F88" s="21"/>
      <c r="G88" s="21"/>
      <c r="H88" s="21"/>
      <c r="I88" s="21"/>
      <c r="J88" s="21"/>
      <c r="K88" s="21"/>
      <c r="L88" s="30" t="str">
        <v>AAPL Jun17 140P</v>
      </c>
      <c r="M88" s="30" t="str">
        <v>BROKER_B</v>
      </c>
      <c r="N88" s="30" t="str">
        <v>B</v>
      </c>
      <c r="O88" s="36">
        <v>100</v>
      </c>
      <c r="P88" s="35">
        <v>4.3</v>
      </c>
      <c r="Q88" s="35">
        <v>4.3099999999999996</v>
      </c>
      <c r="R88" s="66">
        <v>99.999999999997897</v>
      </c>
      <c r="S88" s="36">
        <v>-3215</v>
      </c>
      <c r="T88" s="36">
        <v>1</v>
      </c>
      <c r="U88" s="21"/>
      <c r="V88" s="73" t="s">
        <v>2</v>
      </c>
      <c r="W88" s="73" t="s">
        <v>62</v>
      </c>
      <c r="X88" s="74" t="s">
        <v>103</v>
      </c>
      <c r="Y88" s="75" t="s">
        <v>62</v>
      </c>
      <c r="Z88" s="21"/>
      <c r="AA88" s="21"/>
      <c r="AB88" s="21"/>
      <c r="AC88" s="20"/>
    </row>
    <row r="89" spans="1:29" x14ac:dyDescent="0.3">
      <c r="A89" s="18"/>
      <c r="B89" s="21"/>
      <c r="C89" s="21"/>
      <c r="D89" s="21"/>
      <c r="E89" s="21"/>
      <c r="F89" s="21"/>
      <c r="G89" s="21"/>
      <c r="H89" s="21"/>
      <c r="I89" s="21"/>
      <c r="J89" s="21"/>
      <c r="K89" s="21"/>
      <c r="L89" s="30" t="str">
        <v>IBM Jun17 160C</v>
      </c>
      <c r="M89" s="30" t="str">
        <v>BOB_THE_BROKER</v>
      </c>
      <c r="N89" s="30" t="str">
        <v>B</v>
      </c>
      <c r="O89" s="36">
        <v>50</v>
      </c>
      <c r="P89" s="35">
        <v>2.65</v>
      </c>
      <c r="Q89" s="35">
        <v>2.6</v>
      </c>
      <c r="R89" s="66">
        <v>-249.99999999999901</v>
      </c>
      <c r="S89" s="36">
        <v>2879</v>
      </c>
      <c r="T89" s="36">
        <v>1</v>
      </c>
      <c r="U89" s="21"/>
      <c r="V89" s="73" t="s">
        <v>101</v>
      </c>
      <c r="W89" s="73" t="s">
        <v>105</v>
      </c>
      <c r="X89" s="74"/>
      <c r="Y89" s="75"/>
      <c r="Z89" s="21"/>
      <c r="AA89" s="21"/>
      <c r="AB89" s="21"/>
      <c r="AC89" s="20"/>
    </row>
    <row r="90" spans="1:29" x14ac:dyDescent="0.3">
      <c r="A90" s="18"/>
      <c r="B90" s="21"/>
      <c r="C90" s="21"/>
      <c r="D90" s="21"/>
      <c r="E90" s="21"/>
      <c r="F90" s="21"/>
      <c r="G90" s="21"/>
      <c r="H90" s="21"/>
      <c r="I90" s="21"/>
      <c r="J90" s="21"/>
      <c r="K90" s="21"/>
      <c r="L90" s="30" t="str">
        <v>IBM</v>
      </c>
      <c r="M90" s="30" t="str">
        <v>BROKER_A</v>
      </c>
      <c r="N90" s="30" t="str">
        <v>S</v>
      </c>
      <c r="O90" s="36">
        <v>-3100</v>
      </c>
      <c r="P90" s="35">
        <v>159.49032258064517</v>
      </c>
      <c r="Q90" s="35">
        <v>159.37</v>
      </c>
      <c r="R90" s="66">
        <v>373.00000000001347</v>
      </c>
      <c r="S90" s="36">
        <v>-3100</v>
      </c>
      <c r="T90" s="36">
        <v>2</v>
      </c>
      <c r="U90" s="21"/>
      <c r="V90" s="73" t="s">
        <v>111</v>
      </c>
      <c r="W90" s="73" t="s">
        <v>102</v>
      </c>
      <c r="X90" s="74"/>
      <c r="Y90" s="75"/>
      <c r="Z90" s="21"/>
      <c r="AA90" s="21"/>
      <c r="AB90" s="21"/>
      <c r="AC90" s="20"/>
    </row>
    <row r="91" spans="1:29" x14ac:dyDescent="0.3">
      <c r="A91" s="18"/>
      <c r="B91" s="21"/>
      <c r="C91" s="21"/>
      <c r="D91" s="21"/>
      <c r="E91" s="21"/>
      <c r="F91" s="21"/>
      <c r="G91" s="21"/>
      <c r="H91" s="21"/>
      <c r="I91" s="21"/>
      <c r="J91" s="21"/>
      <c r="K91" s="21"/>
      <c r="L91" s="30" t="str">
        <v>AAPL</v>
      </c>
      <c r="M91" s="30" t="str">
        <v>BROKER_B</v>
      </c>
      <c r="N91" s="30" t="str">
        <v>B</v>
      </c>
      <c r="O91" s="36">
        <v>3200</v>
      </c>
      <c r="P91" s="35">
        <v>142.01124999999999</v>
      </c>
      <c r="Q91" s="35">
        <v>141.97</v>
      </c>
      <c r="R91" s="66">
        <v>-132.00000000002206</v>
      </c>
      <c r="S91" s="36">
        <v>3200</v>
      </c>
      <c r="T91" s="36">
        <v>5</v>
      </c>
      <c r="U91" s="21"/>
      <c r="V91" s="73"/>
      <c r="W91" s="73"/>
      <c r="X91" s="74"/>
      <c r="Y91" s="75"/>
      <c r="Z91" s="21"/>
      <c r="AA91" s="21"/>
      <c r="AB91" s="21"/>
      <c r="AC91" s="20"/>
    </row>
    <row r="92" spans="1:29" ht="15" thickBot="1" x14ac:dyDescent="0.35">
      <c r="A92" s="18"/>
      <c r="B92" s="21"/>
      <c r="C92" s="21"/>
      <c r="D92" s="21"/>
      <c r="E92" s="21"/>
      <c r="F92" s="21"/>
      <c r="G92" s="21"/>
      <c r="H92" s="21"/>
      <c r="I92" s="21"/>
      <c r="J92" s="21"/>
      <c r="K92" s="21"/>
      <c r="L92" s="30" t="str">
        <v>IBM</v>
      </c>
      <c r="M92" s="30" t="str">
        <v>BROKER_A</v>
      </c>
      <c r="N92" s="30" t="str">
        <v>B</v>
      </c>
      <c r="O92" s="36">
        <v>200</v>
      </c>
      <c r="P92" s="35">
        <v>159.4</v>
      </c>
      <c r="Q92" s="35">
        <v>159.37</v>
      </c>
      <c r="R92" s="66">
        <v>-6.0000000000002203</v>
      </c>
      <c r="S92" s="36">
        <v>200</v>
      </c>
      <c r="T92" s="36">
        <v>2</v>
      </c>
      <c r="U92" s="21"/>
      <c r="V92" s="76"/>
      <c r="W92" s="76"/>
      <c r="X92" s="77"/>
      <c r="Y92" s="78"/>
      <c r="Z92" s="21"/>
      <c r="AA92" s="21"/>
      <c r="AB92" s="21"/>
      <c r="AC92" s="20"/>
    </row>
    <row r="93" spans="1:29" x14ac:dyDescent="0.3">
      <c r="A93" s="18"/>
      <c r="B93" s="21"/>
      <c r="C93" s="21"/>
      <c r="D93" s="21"/>
      <c r="E93" s="21"/>
      <c r="F93" s="21"/>
      <c r="G93" s="21"/>
      <c r="H93" s="21"/>
      <c r="I93" s="21"/>
      <c r="J93" s="21"/>
      <c r="K93" s="21"/>
      <c r="L93" s="30" t="str">
        <v>IBM Jun17 160C</v>
      </c>
      <c r="M93" s="30" t="str">
        <v>BOB_THE_BROKER</v>
      </c>
      <c r="N93" s="30" t="str">
        <v>S</v>
      </c>
      <c r="O93" s="36">
        <v>-50</v>
      </c>
      <c r="P93" s="35">
        <v>2.6120000000000001</v>
      </c>
      <c r="Q93" s="35">
        <v>2.6</v>
      </c>
      <c r="R93" s="66">
        <v>59.999999999999098</v>
      </c>
      <c r="S93" s="36">
        <v>-2879</v>
      </c>
      <c r="T93" s="36">
        <v>2</v>
      </c>
      <c r="U93" s="21"/>
      <c r="V93" s="21"/>
      <c r="W93" s="21"/>
      <c r="X93" s="21"/>
      <c r="Y93" s="21"/>
      <c r="Z93" s="21"/>
      <c r="AA93" s="21"/>
      <c r="AB93" s="21"/>
      <c r="AC93" s="20"/>
    </row>
    <row r="94" spans="1:29" x14ac:dyDescent="0.3">
      <c r="A94" s="18"/>
      <c r="B94" s="21"/>
      <c r="C94" s="21"/>
      <c r="D94" s="21"/>
      <c r="E94" s="21"/>
      <c r="F94" s="21"/>
      <c r="G94" s="21"/>
      <c r="H94" s="21"/>
      <c r="I94" s="21"/>
      <c r="J94" s="21"/>
      <c r="K94" s="21"/>
      <c r="L94" s="30" t="e">
        <v>#N/A</v>
      </c>
      <c r="M94" s="30" t="e">
        <v>#N/A</v>
      </c>
      <c r="N94" s="30" t="e">
        <v>#N/A</v>
      </c>
      <c r="O94" s="36" t="e">
        <v>#N/A</v>
      </c>
      <c r="P94" s="35" t="e">
        <v>#N/A</v>
      </c>
      <c r="Q94" s="35" t="e">
        <v>#N/A</v>
      </c>
      <c r="R94" s="66" t="e">
        <v>#N/A</v>
      </c>
      <c r="S94" s="36" t="e">
        <v>#N/A</v>
      </c>
      <c r="T94" s="36" t="e">
        <v>#N/A</v>
      </c>
      <c r="U94" s="21"/>
      <c r="V94" s="21"/>
      <c r="W94" s="21"/>
      <c r="X94" s="21"/>
      <c r="Y94" s="21"/>
      <c r="Z94" s="21"/>
      <c r="AA94" s="21"/>
      <c r="AB94" s="21"/>
      <c r="AC94" s="20"/>
    </row>
    <row r="95" spans="1:29" x14ac:dyDescent="0.3">
      <c r="A95" s="18"/>
      <c r="B95" s="21"/>
      <c r="C95" s="21"/>
      <c r="D95" s="21"/>
      <c r="E95" s="21"/>
      <c r="F95" s="21"/>
      <c r="G95" s="21"/>
      <c r="H95" s="21"/>
      <c r="I95" s="21"/>
      <c r="J95" s="21"/>
      <c r="K95" s="21"/>
      <c r="L95" s="30" t="e">
        <v>#N/A</v>
      </c>
      <c r="M95" s="30" t="e">
        <v>#N/A</v>
      </c>
      <c r="N95" s="30" t="e">
        <v>#N/A</v>
      </c>
      <c r="O95" s="36" t="e">
        <v>#N/A</v>
      </c>
      <c r="P95" s="35" t="e">
        <v>#N/A</v>
      </c>
      <c r="Q95" s="35" t="e">
        <v>#N/A</v>
      </c>
      <c r="R95" s="66" t="e">
        <v>#N/A</v>
      </c>
      <c r="S95" s="36" t="e">
        <v>#N/A</v>
      </c>
      <c r="T95" s="36" t="e">
        <v>#N/A</v>
      </c>
      <c r="U95" s="21"/>
      <c r="V95" s="21"/>
      <c r="W95" s="21"/>
      <c r="X95" s="21"/>
      <c r="Y95" s="21"/>
      <c r="Z95" s="21"/>
      <c r="AA95" s="21"/>
      <c r="AB95" s="21"/>
      <c r="AC95" s="20"/>
    </row>
    <row r="96" spans="1:29" x14ac:dyDescent="0.3">
      <c r="A96" s="18"/>
      <c r="B96" s="21"/>
      <c r="C96" s="21"/>
      <c r="D96" s="21"/>
      <c r="E96" s="21"/>
      <c r="F96" s="21"/>
      <c r="G96" s="21"/>
      <c r="H96" s="21"/>
      <c r="I96" s="21"/>
      <c r="J96" s="21"/>
      <c r="K96" s="21"/>
      <c r="L96" s="30" t="e">
        <v>#N/A</v>
      </c>
      <c r="M96" s="30" t="e">
        <v>#N/A</v>
      </c>
      <c r="N96" s="30" t="e">
        <v>#N/A</v>
      </c>
      <c r="O96" s="36" t="e">
        <v>#N/A</v>
      </c>
      <c r="P96" s="35" t="e">
        <v>#N/A</v>
      </c>
      <c r="Q96" s="35" t="e">
        <v>#N/A</v>
      </c>
      <c r="R96" s="66" t="e">
        <v>#N/A</v>
      </c>
      <c r="S96" s="36" t="e">
        <v>#N/A</v>
      </c>
      <c r="T96" s="36" t="e">
        <v>#N/A</v>
      </c>
      <c r="U96" s="21"/>
      <c r="V96" s="21"/>
      <c r="W96" s="21"/>
      <c r="X96" s="21"/>
      <c r="Y96" s="21"/>
      <c r="Z96" s="21"/>
      <c r="AA96" s="21"/>
      <c r="AB96" s="21"/>
      <c r="AC96" s="20"/>
    </row>
    <row r="97" spans="1:29" x14ac:dyDescent="0.3">
      <c r="A97" s="18"/>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0"/>
    </row>
    <row r="98" spans="1:29" x14ac:dyDescent="0.3">
      <c r="A98" s="18"/>
      <c r="B98" s="67"/>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21"/>
      <c r="AC98" s="20"/>
    </row>
    <row r="99" spans="1:29" ht="15" thickBot="1" x14ac:dyDescent="0.35">
      <c r="A99" s="18"/>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0"/>
    </row>
    <row r="100" spans="1:29" ht="15" thickBot="1" x14ac:dyDescent="0.35">
      <c r="A100" s="18"/>
      <c r="B100" s="492" t="s">
        <v>65</v>
      </c>
      <c r="C100" s="529"/>
      <c r="D100" s="529"/>
      <c r="E100" s="529"/>
      <c r="F100" s="529"/>
      <c r="G100" s="529"/>
      <c r="H100" s="529"/>
      <c r="I100" s="493"/>
      <c r="J100" s="21"/>
      <c r="K100" s="21"/>
      <c r="L100" s="475" t="s">
        <v>3391</v>
      </c>
      <c r="M100" s="475"/>
      <c r="N100" s="475"/>
      <c r="O100" s="475"/>
      <c r="P100" s="475"/>
      <c r="Q100" s="475"/>
      <c r="R100" s="475"/>
      <c r="S100" s="475"/>
      <c r="T100" s="475"/>
      <c r="U100" s="21"/>
      <c r="V100" s="532" t="s">
        <v>118</v>
      </c>
      <c r="W100" s="533"/>
      <c r="X100" s="533"/>
      <c r="Y100" s="534"/>
      <c r="Z100" s="21"/>
      <c r="AA100" s="21"/>
      <c r="AB100" s="21"/>
      <c r="AC100" s="20"/>
    </row>
    <row r="101" spans="1:29" x14ac:dyDescent="0.3">
      <c r="A101" s="18"/>
      <c r="B101" s="59" t="s">
        <v>2</v>
      </c>
      <c r="C101" s="60" t="s">
        <v>101</v>
      </c>
      <c r="D101" s="60" t="s">
        <v>111</v>
      </c>
      <c r="E101" s="60" t="s">
        <v>62</v>
      </c>
      <c r="F101" s="60" t="s">
        <v>103</v>
      </c>
      <c r="G101" s="60" t="s">
        <v>104</v>
      </c>
      <c r="H101" s="60" t="s">
        <v>105</v>
      </c>
      <c r="I101" s="60" t="s">
        <v>102</v>
      </c>
      <c r="J101" s="21"/>
      <c r="K101" s="21"/>
      <c r="L101" s="3" t="str">
        <f t="array" ref="L101:T110">_xll.U.VAGGREGATE(B101:I114,V102:V106,W102:W106,X102:Y106,,,TRUE)</f>
        <v>Symbol</v>
      </c>
      <c r="M101" s="3" t="str">
        <v>Broker</v>
      </c>
      <c r="N101" s="3" t="str">
        <v>Side</v>
      </c>
      <c r="O101" s="3" t="str">
        <v>Quantity</v>
      </c>
      <c r="P101" s="3" t="str">
        <v>Trade Price</v>
      </c>
      <c r="Q101" s="3" t="str">
        <v>Current Price</v>
      </c>
      <c r="R101" s="3" t="str">
        <v>P&amp;L</v>
      </c>
      <c r="S101" s="3" t="str">
        <v>Current Delta</v>
      </c>
      <c r="T101" s="3" t="str">
        <v>Num Aggregated</v>
      </c>
      <c r="U101" s="21"/>
      <c r="V101" s="62" t="s">
        <v>114</v>
      </c>
      <c r="W101" s="62" t="s">
        <v>115</v>
      </c>
      <c r="X101" s="63" t="s">
        <v>116</v>
      </c>
      <c r="Y101" s="64" t="s">
        <v>117</v>
      </c>
      <c r="Z101" s="21"/>
      <c r="AA101" s="21"/>
      <c r="AB101" s="21"/>
      <c r="AC101" s="20"/>
    </row>
    <row r="102" spans="1:29" x14ac:dyDescent="0.3">
      <c r="A102" s="18"/>
      <c r="B102" s="42" t="s">
        <v>112</v>
      </c>
      <c r="C102" s="42" t="s">
        <v>113</v>
      </c>
      <c r="D102" s="42" t="str">
        <f t="shared" ref="D102:D114" si="2">IF(E102&gt;0,"B","S")</f>
        <v>B</v>
      </c>
      <c r="E102" s="44">
        <v>100</v>
      </c>
      <c r="F102" s="61">
        <v>4.3</v>
      </c>
      <c r="G102" s="61">
        <v>4.3099999999999996</v>
      </c>
      <c r="H102" s="65">
        <f t="shared" ref="H102:H114" si="3">(G102-F102)*E102*IF(ISERROR(FIND(" ",B102)),1,100)</f>
        <v>99.999999999997868</v>
      </c>
      <c r="I102" s="44">
        <v>-3215</v>
      </c>
      <c r="J102" s="21"/>
      <c r="K102" s="21"/>
      <c r="L102" s="30" t="str">
        <v>AAPL Jun17 140P</v>
      </c>
      <c r="M102" s="30" t="str">
        <v>BROKER_B</v>
      </c>
      <c r="N102" s="30" t="str">
        <v>B</v>
      </c>
      <c r="O102" s="36">
        <v>100</v>
      </c>
      <c r="P102" s="35">
        <v>4.3</v>
      </c>
      <c r="Q102" s="35">
        <v>4.3099999999999996</v>
      </c>
      <c r="R102" s="66">
        <v>99.999999999997868</v>
      </c>
      <c r="S102" s="36">
        <v>-3215</v>
      </c>
      <c r="T102" s="36">
        <v>1</v>
      </c>
      <c r="U102" s="21"/>
      <c r="V102" s="73" t="s">
        <v>2</v>
      </c>
      <c r="W102" s="73" t="s">
        <v>62</v>
      </c>
      <c r="X102" s="74" t="s">
        <v>103</v>
      </c>
      <c r="Y102" s="75" t="s">
        <v>62</v>
      </c>
      <c r="Z102" s="21"/>
      <c r="AA102" s="21"/>
      <c r="AB102" s="21"/>
      <c r="AC102" s="20"/>
    </row>
    <row r="103" spans="1:29" x14ac:dyDescent="0.3">
      <c r="A103" s="18"/>
      <c r="B103" s="42" t="s">
        <v>108</v>
      </c>
      <c r="C103" s="42" t="s">
        <v>110</v>
      </c>
      <c r="D103" s="42" t="str">
        <f t="shared" si="2"/>
        <v>B</v>
      </c>
      <c r="E103" s="44">
        <v>50</v>
      </c>
      <c r="F103" s="61">
        <v>2.65</v>
      </c>
      <c r="G103" s="61">
        <v>2.6</v>
      </c>
      <c r="H103" s="65">
        <f t="shared" si="3"/>
        <v>-249.99999999999912</v>
      </c>
      <c r="I103" s="44">
        <v>2879</v>
      </c>
      <c r="J103" s="21"/>
      <c r="K103" s="21"/>
      <c r="L103" s="30" t="str">
        <v>IBM Jun17 160C</v>
      </c>
      <c r="M103" s="30" t="str">
        <v>BOB_THE_BROKER</v>
      </c>
      <c r="N103" s="30" t="str">
        <v>B</v>
      </c>
      <c r="O103" s="36">
        <v>50</v>
      </c>
      <c r="P103" s="35">
        <v>2.65</v>
      </c>
      <c r="Q103" s="35">
        <v>2.6</v>
      </c>
      <c r="R103" s="66">
        <v>-249.99999999999912</v>
      </c>
      <c r="S103" s="36">
        <v>2879</v>
      </c>
      <c r="T103" s="36">
        <v>1</v>
      </c>
      <c r="U103" s="21"/>
      <c r="V103" s="73" t="s">
        <v>140</v>
      </c>
      <c r="W103" s="73" t="s">
        <v>105</v>
      </c>
      <c r="X103" s="74" t="s">
        <v>104</v>
      </c>
      <c r="Y103" s="75"/>
      <c r="Z103" s="21"/>
      <c r="AA103" s="21"/>
      <c r="AB103" s="21"/>
      <c r="AC103" s="20"/>
    </row>
    <row r="104" spans="1:29" x14ac:dyDescent="0.3">
      <c r="A104" s="18"/>
      <c r="B104" s="42" t="s">
        <v>107</v>
      </c>
      <c r="C104" s="42" t="s">
        <v>109</v>
      </c>
      <c r="D104" s="42" t="str">
        <f t="shared" si="2"/>
        <v>S</v>
      </c>
      <c r="E104" s="44">
        <v>-3000</v>
      </c>
      <c r="F104" s="61">
        <v>159.49</v>
      </c>
      <c r="G104" s="61">
        <v>159.37</v>
      </c>
      <c r="H104" s="65">
        <f t="shared" si="3"/>
        <v>360.00000000001364</v>
      </c>
      <c r="I104" s="44">
        <v>-3000</v>
      </c>
      <c r="J104" s="21"/>
      <c r="K104" s="21"/>
      <c r="L104" s="30" t="str">
        <v>IBM</v>
      </c>
      <c r="M104" s="30" t="str">
        <v>BROKER_A</v>
      </c>
      <c r="N104" s="30" t="str">
        <v>S</v>
      </c>
      <c r="O104" s="36">
        <v>-3100</v>
      </c>
      <c r="P104" s="35">
        <v>159.49032258064517</v>
      </c>
      <c r="Q104" s="35">
        <v>159.37</v>
      </c>
      <c r="R104" s="66">
        <v>373.00000000001319</v>
      </c>
      <c r="S104" s="36">
        <v>-3100</v>
      </c>
      <c r="T104" s="36">
        <v>2</v>
      </c>
      <c r="U104" s="21"/>
      <c r="V104" s="73"/>
      <c r="W104" s="73" t="s">
        <v>102</v>
      </c>
      <c r="X104" s="74"/>
      <c r="Y104" s="75"/>
      <c r="Z104" s="21"/>
      <c r="AA104" s="21"/>
      <c r="AB104" s="21"/>
      <c r="AC104" s="20"/>
    </row>
    <row r="105" spans="1:29" x14ac:dyDescent="0.3">
      <c r="A105" s="18"/>
      <c r="B105" s="42" t="s">
        <v>107</v>
      </c>
      <c r="C105" s="42" t="s">
        <v>109</v>
      </c>
      <c r="D105" s="42" t="str">
        <f t="shared" si="2"/>
        <v>S</v>
      </c>
      <c r="E105" s="44">
        <v>-100</v>
      </c>
      <c r="F105" s="61">
        <v>159.5</v>
      </c>
      <c r="G105" s="61">
        <v>159.37</v>
      </c>
      <c r="H105" s="65">
        <f t="shared" si="3"/>
        <v>12.999999999999545</v>
      </c>
      <c r="I105" s="44">
        <v>-100</v>
      </c>
      <c r="J105" s="21"/>
      <c r="K105" s="21"/>
      <c r="L105" s="30" t="str">
        <v>AAPL</v>
      </c>
      <c r="M105" s="30" t="str">
        <v>BROKER_B</v>
      </c>
      <c r="N105" s="30" t="str">
        <v>B</v>
      </c>
      <c r="O105" s="4">
        <v>3200</v>
      </c>
      <c r="P105" s="34">
        <v>142.01124999999999</v>
      </c>
      <c r="Q105" s="34">
        <v>141.97</v>
      </c>
      <c r="R105" s="72">
        <v>-132.00000000002206</v>
      </c>
      <c r="S105" s="36">
        <v>3200</v>
      </c>
      <c r="T105" s="36">
        <v>5</v>
      </c>
      <c r="U105" s="21"/>
      <c r="V105" s="73"/>
      <c r="W105" s="73"/>
      <c r="X105" s="74"/>
      <c r="Y105" s="75"/>
      <c r="Z105" s="21"/>
      <c r="AA105" s="21"/>
      <c r="AB105" s="21"/>
      <c r="AC105" s="20"/>
    </row>
    <row r="106" spans="1:29" ht="15" thickBot="1" x14ac:dyDescent="0.35">
      <c r="A106" s="18"/>
      <c r="B106" s="42" t="s">
        <v>106</v>
      </c>
      <c r="C106" s="42" t="s">
        <v>113</v>
      </c>
      <c r="D106" s="42" t="str">
        <f t="shared" si="2"/>
        <v>B</v>
      </c>
      <c r="E106" s="44">
        <v>1500</v>
      </c>
      <c r="F106" s="61">
        <v>142.02000000000001</v>
      </c>
      <c r="G106" s="61">
        <v>141.97</v>
      </c>
      <c r="H106" s="65">
        <f t="shared" si="3"/>
        <v>-75.000000000017053</v>
      </c>
      <c r="I106" s="44">
        <v>1500</v>
      </c>
      <c r="J106" s="21"/>
      <c r="K106" s="21"/>
      <c r="L106" s="30" t="str">
        <v>IBM</v>
      </c>
      <c r="M106" s="30" t="str">
        <v>BROKER_A</v>
      </c>
      <c r="N106" s="30" t="str">
        <v>B</v>
      </c>
      <c r="O106" s="68" t="e">
        <v>#VALUE!</v>
      </c>
      <c r="P106" s="69" t="e">
        <v>#VALUE!</v>
      </c>
      <c r="Q106" s="34">
        <v>159.37</v>
      </c>
      <c r="R106" s="70" t="e">
        <v>#VALUE!</v>
      </c>
      <c r="S106" s="36">
        <v>200</v>
      </c>
      <c r="T106" s="36">
        <v>2</v>
      </c>
      <c r="U106" s="21"/>
      <c r="V106" s="76"/>
      <c r="W106" s="76"/>
      <c r="X106" s="77"/>
      <c r="Y106" s="78"/>
      <c r="Z106" s="21"/>
      <c r="AA106" s="21"/>
      <c r="AB106" s="21"/>
      <c r="AC106" s="20"/>
    </row>
    <row r="107" spans="1:29" x14ac:dyDescent="0.3">
      <c r="A107" s="18"/>
      <c r="B107" s="42" t="s">
        <v>106</v>
      </c>
      <c r="C107" s="42" t="s">
        <v>113</v>
      </c>
      <c r="D107" s="42" t="str">
        <f t="shared" si="2"/>
        <v>B</v>
      </c>
      <c r="E107" s="44">
        <v>100</v>
      </c>
      <c r="F107" s="61">
        <v>142.02000000000001</v>
      </c>
      <c r="G107" s="61">
        <v>141.97</v>
      </c>
      <c r="H107" s="65">
        <f t="shared" si="3"/>
        <v>-5.0000000000011369</v>
      </c>
      <c r="I107" s="44">
        <v>100</v>
      </c>
      <c r="J107" s="21"/>
      <c r="K107" s="21"/>
      <c r="L107" s="30" t="str">
        <v>IBM Jun17 160C</v>
      </c>
      <c r="M107" s="30" t="str">
        <v>BOB_THE_BROKER</v>
      </c>
      <c r="N107" s="30" t="str">
        <v>S</v>
      </c>
      <c r="O107" s="4">
        <v>-50</v>
      </c>
      <c r="P107" s="34">
        <v>2.6120000000000001</v>
      </c>
      <c r="Q107" s="34">
        <v>2.6</v>
      </c>
      <c r="R107" s="72">
        <v>59.999999999999162</v>
      </c>
      <c r="S107" s="36">
        <v>-2879</v>
      </c>
      <c r="T107" s="36">
        <v>2</v>
      </c>
      <c r="U107" s="21"/>
      <c r="V107" s="21"/>
      <c r="W107" s="21"/>
      <c r="X107" s="21"/>
      <c r="Y107" s="21"/>
      <c r="Z107" s="21"/>
      <c r="AA107" s="21"/>
      <c r="AB107" s="21"/>
      <c r="AC107" s="20"/>
    </row>
    <row r="108" spans="1:29" x14ac:dyDescent="0.3">
      <c r="A108" s="18"/>
      <c r="B108" s="42" t="s">
        <v>106</v>
      </c>
      <c r="C108" s="42" t="s">
        <v>113</v>
      </c>
      <c r="D108" s="42" t="str">
        <f t="shared" si="2"/>
        <v>B</v>
      </c>
      <c r="E108" s="44">
        <v>300</v>
      </c>
      <c r="F108" s="61">
        <v>142.02000000000001</v>
      </c>
      <c r="G108" s="61">
        <v>141.97</v>
      </c>
      <c r="H108" s="65">
        <f t="shared" si="3"/>
        <v>-15.000000000003411</v>
      </c>
      <c r="I108" s="44">
        <v>300</v>
      </c>
      <c r="J108" s="21"/>
      <c r="K108" s="21"/>
      <c r="L108" s="30" t="e">
        <v>#N/A</v>
      </c>
      <c r="M108" s="30" t="e">
        <v>#N/A</v>
      </c>
      <c r="N108" s="30" t="e">
        <v>#N/A</v>
      </c>
      <c r="O108" s="36" t="e">
        <v>#N/A</v>
      </c>
      <c r="P108" s="35" t="e">
        <v>#N/A</v>
      </c>
      <c r="Q108" s="35" t="e">
        <v>#N/A</v>
      </c>
      <c r="R108" s="66" t="e">
        <v>#N/A</v>
      </c>
      <c r="S108" s="36" t="e">
        <v>#N/A</v>
      </c>
      <c r="T108" s="36" t="e">
        <v>#N/A</v>
      </c>
      <c r="U108" s="21"/>
      <c r="V108" s="21"/>
      <c r="W108" s="21"/>
      <c r="X108" s="21"/>
      <c r="Y108" s="21"/>
      <c r="Z108" s="21"/>
      <c r="AA108" s="21"/>
      <c r="AB108" s="21"/>
      <c r="AC108" s="20"/>
    </row>
    <row r="109" spans="1:29" x14ac:dyDescent="0.3">
      <c r="A109" s="18"/>
      <c r="B109" s="42" t="s">
        <v>107</v>
      </c>
      <c r="C109" s="42" t="s">
        <v>109</v>
      </c>
      <c r="D109" s="42" t="str">
        <f t="shared" si="2"/>
        <v>B</v>
      </c>
      <c r="E109" s="44" t="s">
        <v>119</v>
      </c>
      <c r="F109" s="61">
        <v>159.4</v>
      </c>
      <c r="G109" s="61">
        <v>159.37</v>
      </c>
      <c r="H109" s="65" t="e">
        <f t="shared" si="3"/>
        <v>#VALUE!</v>
      </c>
      <c r="I109" s="44">
        <v>100</v>
      </c>
      <c r="J109" s="21"/>
      <c r="K109" s="21"/>
      <c r="L109" s="30" t="e">
        <v>#N/A</v>
      </c>
      <c r="M109" s="30" t="e">
        <v>#N/A</v>
      </c>
      <c r="N109" s="30" t="e">
        <v>#N/A</v>
      </c>
      <c r="O109" s="36" t="e">
        <v>#N/A</v>
      </c>
      <c r="P109" s="35" t="e">
        <v>#N/A</v>
      </c>
      <c r="Q109" s="35" t="e">
        <v>#N/A</v>
      </c>
      <c r="R109" s="66" t="e">
        <v>#N/A</v>
      </c>
      <c r="S109" s="36" t="e">
        <v>#N/A</v>
      </c>
      <c r="T109" s="36" t="e">
        <v>#N/A</v>
      </c>
      <c r="U109" s="21"/>
      <c r="V109" s="21"/>
      <c r="W109" s="21"/>
      <c r="X109" s="21"/>
      <c r="Y109" s="21"/>
      <c r="Z109" s="21"/>
      <c r="AA109" s="21"/>
      <c r="AB109" s="21"/>
      <c r="AC109" s="20"/>
    </row>
    <row r="110" spans="1:29" x14ac:dyDescent="0.3">
      <c r="A110" s="18"/>
      <c r="B110" s="42" t="s">
        <v>106</v>
      </c>
      <c r="C110" s="42" t="s">
        <v>113</v>
      </c>
      <c r="D110" s="42" t="str">
        <f t="shared" si="2"/>
        <v>B</v>
      </c>
      <c r="E110" s="44">
        <v>600</v>
      </c>
      <c r="F110" s="61">
        <v>142.02000000000001</v>
      </c>
      <c r="G110" s="61">
        <v>141.97</v>
      </c>
      <c r="H110" s="65">
        <f t="shared" si="3"/>
        <v>-30.000000000006821</v>
      </c>
      <c r="I110" s="44">
        <v>600</v>
      </c>
      <c r="J110" s="21"/>
      <c r="K110" s="21"/>
      <c r="L110" s="30" t="e">
        <v>#N/A</v>
      </c>
      <c r="M110" s="30" t="e">
        <v>#N/A</v>
      </c>
      <c r="N110" s="30" t="e">
        <v>#N/A</v>
      </c>
      <c r="O110" s="36" t="e">
        <v>#N/A</v>
      </c>
      <c r="P110" s="35" t="e">
        <v>#N/A</v>
      </c>
      <c r="Q110" s="35" t="e">
        <v>#N/A</v>
      </c>
      <c r="R110" s="66" t="e">
        <v>#N/A</v>
      </c>
      <c r="S110" s="36" t="e">
        <v>#N/A</v>
      </c>
      <c r="T110" s="36" t="e">
        <v>#N/A</v>
      </c>
      <c r="U110" s="21"/>
      <c r="V110" s="21"/>
      <c r="W110" s="21"/>
      <c r="X110" s="21"/>
      <c r="Y110" s="21"/>
      <c r="Z110" s="21"/>
      <c r="AA110" s="21"/>
      <c r="AB110" s="21"/>
      <c r="AC110" s="20"/>
    </row>
    <row r="111" spans="1:29" x14ac:dyDescent="0.3">
      <c r="A111" s="18"/>
      <c r="B111" s="42" t="s">
        <v>107</v>
      </c>
      <c r="C111" s="42" t="s">
        <v>109</v>
      </c>
      <c r="D111" s="42" t="str">
        <f t="shared" si="2"/>
        <v>B</v>
      </c>
      <c r="E111" s="44">
        <v>100</v>
      </c>
      <c r="F111" s="61">
        <v>159.4</v>
      </c>
      <c r="G111" s="61">
        <v>159.37</v>
      </c>
      <c r="H111" s="65">
        <f t="shared" si="3"/>
        <v>-3.0000000000001137</v>
      </c>
      <c r="I111" s="44">
        <v>100</v>
      </c>
      <c r="J111" s="21"/>
      <c r="K111" s="21"/>
      <c r="L111" s="21"/>
      <c r="M111" s="21"/>
      <c r="N111" s="21"/>
      <c r="O111" s="21"/>
      <c r="P111" s="21"/>
      <c r="Q111" s="21"/>
      <c r="R111" s="21"/>
      <c r="S111" s="21"/>
      <c r="T111" s="21"/>
      <c r="U111" s="21"/>
      <c r="V111" s="21"/>
      <c r="W111" s="21"/>
      <c r="X111" s="21"/>
      <c r="Y111" s="21"/>
      <c r="Z111" s="21"/>
      <c r="AA111" s="21"/>
      <c r="AB111" s="21"/>
      <c r="AC111" s="20"/>
    </row>
    <row r="112" spans="1:29" x14ac:dyDescent="0.3">
      <c r="A112" s="18"/>
      <c r="B112" s="42" t="s">
        <v>108</v>
      </c>
      <c r="C112" s="42" t="s">
        <v>110</v>
      </c>
      <c r="D112" s="42" t="str">
        <f t="shared" si="2"/>
        <v>S</v>
      </c>
      <c r="E112" s="44">
        <v>-10</v>
      </c>
      <c r="F112" s="61">
        <v>2.62</v>
      </c>
      <c r="G112" s="61">
        <v>2.6</v>
      </c>
      <c r="H112" s="65">
        <f t="shared" si="3"/>
        <v>20.000000000000018</v>
      </c>
      <c r="I112" s="44">
        <v>-575.79999999999995</v>
      </c>
      <c r="J112" s="21"/>
      <c r="K112" s="21"/>
      <c r="L112" s="475" t="s">
        <v>3391</v>
      </c>
      <c r="M112" s="475"/>
      <c r="N112" s="475"/>
      <c r="O112" s="475"/>
      <c r="P112" s="475"/>
      <c r="Q112" s="475"/>
      <c r="R112" s="475"/>
      <c r="S112" s="475"/>
      <c r="T112" s="475"/>
      <c r="U112" s="21"/>
      <c r="V112" s="21"/>
      <c r="W112" s="21"/>
      <c r="X112" s="21"/>
      <c r="Y112" s="21"/>
      <c r="Z112" s="21"/>
      <c r="AA112" s="21"/>
      <c r="AB112" s="21"/>
      <c r="AC112" s="20"/>
    </row>
    <row r="113" spans="1:29" x14ac:dyDescent="0.3">
      <c r="A113" s="18"/>
      <c r="B113" s="42" t="s">
        <v>106</v>
      </c>
      <c r="C113" s="42" t="s">
        <v>113</v>
      </c>
      <c r="D113" s="42" t="str">
        <f t="shared" si="2"/>
        <v>B</v>
      </c>
      <c r="E113" s="44">
        <v>700</v>
      </c>
      <c r="F113" s="61">
        <v>141.97999999999999</v>
      </c>
      <c r="G113" s="61">
        <v>141.97</v>
      </c>
      <c r="H113" s="65">
        <f t="shared" si="3"/>
        <v>-6.9999999999936335</v>
      </c>
      <c r="I113" s="44">
        <v>700</v>
      </c>
      <c r="J113" s="21"/>
      <c r="K113" s="21"/>
      <c r="L113" s="3" t="str">
        <f t="array" ref="L113:T122">_xll.U.PAD(_xll.U.VAGGREGATE(B101:I114,{"symbol";"broker";"side"},"quantity,p&amp;l,current delta",{"Trade Price","Quantity";"Current Price",""},TRUE,,TRUE))</f>
        <v>Symbol</v>
      </c>
      <c r="M113" s="3" t="str">
        <v>Broker</v>
      </c>
      <c r="N113" s="3" t="str">
        <v>Side</v>
      </c>
      <c r="O113" s="3" t="str">
        <v>Quantity</v>
      </c>
      <c r="P113" s="3" t="str">
        <v>Trade Price</v>
      </c>
      <c r="Q113" s="3" t="str">
        <v>Current Price</v>
      </c>
      <c r="R113" s="3" t="str">
        <v>P&amp;L</v>
      </c>
      <c r="S113" s="3" t="str">
        <v>Current Delta</v>
      </c>
      <c r="T113" s="3" t="str">
        <v>Num Aggregated</v>
      </c>
      <c r="U113" s="21"/>
      <c r="V113" s="21"/>
      <c r="W113" s="21"/>
      <c r="X113" s="21"/>
      <c r="Y113" s="21"/>
      <c r="Z113" s="21"/>
      <c r="AA113" s="21"/>
      <c r="AB113" s="21"/>
      <c r="AC113" s="20"/>
    </row>
    <row r="114" spans="1:29" x14ac:dyDescent="0.3">
      <c r="A114" s="18"/>
      <c r="B114" s="42" t="s">
        <v>108</v>
      </c>
      <c r="C114" s="42" t="s">
        <v>110</v>
      </c>
      <c r="D114" s="42" t="str">
        <f t="shared" si="2"/>
        <v>S</v>
      </c>
      <c r="E114" s="44">
        <v>-40</v>
      </c>
      <c r="F114" s="61">
        <v>2.61</v>
      </c>
      <c r="G114" s="61">
        <v>2.6</v>
      </c>
      <c r="H114" s="65">
        <f t="shared" si="3"/>
        <v>39.999999999999147</v>
      </c>
      <c r="I114" s="44">
        <v>-2303.1999999999998</v>
      </c>
      <c r="J114" s="21"/>
      <c r="K114" s="21"/>
      <c r="L114" s="30" t="str">
        <v>AAPL Jun17 140P</v>
      </c>
      <c r="M114" s="30" t="str">
        <v>BROKER_B</v>
      </c>
      <c r="N114" s="30" t="str">
        <v>B</v>
      </c>
      <c r="O114" s="36">
        <v>100</v>
      </c>
      <c r="P114" s="35">
        <v>4.3</v>
      </c>
      <c r="Q114" s="35">
        <v>4.3099999999999996</v>
      </c>
      <c r="R114" s="66">
        <v>99.999999999997868</v>
      </c>
      <c r="S114" s="36">
        <v>-3215</v>
      </c>
      <c r="T114" s="36">
        <v>1</v>
      </c>
      <c r="U114" s="21"/>
      <c r="V114" s="21"/>
      <c r="W114" s="21"/>
      <c r="X114" s="21"/>
      <c r="Y114" s="21"/>
      <c r="Z114" s="21"/>
      <c r="AA114" s="21"/>
      <c r="AB114" s="21"/>
      <c r="AC114" s="20"/>
    </row>
    <row r="115" spans="1:29" x14ac:dyDescent="0.3">
      <c r="A115" s="18"/>
      <c r="B115" s="21"/>
      <c r="C115" s="21"/>
      <c r="D115" s="21"/>
      <c r="E115" s="21"/>
      <c r="F115" s="21"/>
      <c r="G115" s="21"/>
      <c r="H115" s="21"/>
      <c r="I115" s="21"/>
      <c r="J115" s="21"/>
      <c r="K115" s="21"/>
      <c r="L115" s="30" t="str">
        <v>IBM Jun17 160C</v>
      </c>
      <c r="M115" s="30" t="str">
        <v>BOB_THE_BROKER</v>
      </c>
      <c r="N115" s="30" t="str">
        <v>B</v>
      </c>
      <c r="O115" s="36">
        <v>50</v>
      </c>
      <c r="P115" s="35">
        <v>2.65</v>
      </c>
      <c r="Q115" s="35">
        <v>2.6</v>
      </c>
      <c r="R115" s="66">
        <v>-249.99999999999912</v>
      </c>
      <c r="S115" s="36">
        <v>2879</v>
      </c>
      <c r="T115" s="36">
        <v>1</v>
      </c>
      <c r="U115" s="21"/>
      <c r="V115" s="21"/>
      <c r="W115" s="21"/>
      <c r="X115" s="21"/>
      <c r="Y115" s="21"/>
      <c r="Z115" s="21"/>
      <c r="AA115" s="21"/>
      <c r="AB115" s="21"/>
      <c r="AC115" s="20"/>
    </row>
    <row r="116" spans="1:29" x14ac:dyDescent="0.3">
      <c r="A116" s="18"/>
      <c r="B116" s="21"/>
      <c r="C116" s="21"/>
      <c r="D116" s="21"/>
      <c r="E116" s="21"/>
      <c r="F116" s="21"/>
      <c r="G116" s="21"/>
      <c r="H116" s="21"/>
      <c r="I116" s="21"/>
      <c r="J116" s="21"/>
      <c r="K116" s="21"/>
      <c r="L116" s="30" t="str">
        <v>IBM</v>
      </c>
      <c r="M116" s="30" t="str">
        <v>BROKER_A</v>
      </c>
      <c r="N116" s="30" t="str">
        <v>S</v>
      </c>
      <c r="O116" s="36">
        <v>-3100</v>
      </c>
      <c r="P116" s="35">
        <v>159.49032258064517</v>
      </c>
      <c r="Q116" s="35">
        <v>159.37</v>
      </c>
      <c r="R116" s="66">
        <v>373.00000000001319</v>
      </c>
      <c r="S116" s="36">
        <v>-3100</v>
      </c>
      <c r="T116" s="36">
        <v>2</v>
      </c>
      <c r="U116" s="21"/>
      <c r="V116" s="21"/>
      <c r="W116" s="21"/>
      <c r="X116" s="21"/>
      <c r="Y116" s="21"/>
      <c r="Z116" s="21"/>
      <c r="AA116" s="21"/>
      <c r="AB116" s="21"/>
      <c r="AC116" s="20"/>
    </row>
    <row r="117" spans="1:29" x14ac:dyDescent="0.3">
      <c r="A117" s="18"/>
      <c r="B117" s="21"/>
      <c r="C117" s="21"/>
      <c r="D117" s="21"/>
      <c r="E117" s="21"/>
      <c r="F117" s="21"/>
      <c r="G117" s="21"/>
      <c r="H117" s="21"/>
      <c r="I117" s="21"/>
      <c r="J117" s="21"/>
      <c r="K117" s="21"/>
      <c r="L117" s="30" t="str">
        <v>AAPL</v>
      </c>
      <c r="M117" s="30" t="str">
        <v>BROKER_B</v>
      </c>
      <c r="N117" s="1" t="str">
        <v>B</v>
      </c>
      <c r="O117" s="4">
        <v>3200</v>
      </c>
      <c r="P117" s="34">
        <v>142.01124999999999</v>
      </c>
      <c r="Q117" s="34">
        <v>141.97</v>
      </c>
      <c r="R117" s="72">
        <v>-132.00000000002206</v>
      </c>
      <c r="S117" s="4">
        <v>3200</v>
      </c>
      <c r="T117" s="36">
        <v>5</v>
      </c>
      <c r="U117" s="21"/>
      <c r="V117" s="21"/>
      <c r="W117" s="21"/>
      <c r="X117" s="21"/>
      <c r="Y117" s="21"/>
      <c r="Z117" s="21"/>
      <c r="AA117" s="21"/>
      <c r="AB117" s="21"/>
      <c r="AC117" s="20"/>
    </row>
    <row r="118" spans="1:29" x14ac:dyDescent="0.3">
      <c r="A118" s="18"/>
      <c r="B118" s="21"/>
      <c r="C118" s="21"/>
      <c r="D118" s="21"/>
      <c r="E118" s="21"/>
      <c r="F118" s="21"/>
      <c r="G118" s="21"/>
      <c r="H118" s="21"/>
      <c r="I118" s="21"/>
      <c r="J118" s="21"/>
      <c r="K118" s="21"/>
      <c r="L118" s="30" t="str">
        <v>IBM</v>
      </c>
      <c r="M118" s="30" t="str">
        <v>BROKER_A</v>
      </c>
      <c r="N118" s="1" t="str">
        <v>B</v>
      </c>
      <c r="O118" s="68">
        <v>100</v>
      </c>
      <c r="P118" s="69">
        <v>159.4</v>
      </c>
      <c r="Q118" s="34">
        <v>159.37</v>
      </c>
      <c r="R118" s="70">
        <v>-3.0000000000001137</v>
      </c>
      <c r="S118" s="4">
        <v>200</v>
      </c>
      <c r="T118" s="36">
        <v>2</v>
      </c>
      <c r="U118" s="21"/>
      <c r="V118" s="21"/>
      <c r="W118" s="21"/>
      <c r="X118" s="21"/>
      <c r="Y118" s="21"/>
      <c r="Z118" s="21"/>
      <c r="AA118" s="21"/>
      <c r="AB118" s="21"/>
      <c r="AC118" s="20"/>
    </row>
    <row r="119" spans="1:29" x14ac:dyDescent="0.3">
      <c r="A119" s="18"/>
      <c r="B119" s="21"/>
      <c r="C119" s="21"/>
      <c r="D119" s="21"/>
      <c r="E119" s="21"/>
      <c r="F119" s="21"/>
      <c r="G119" s="21"/>
      <c r="H119" s="21"/>
      <c r="I119" s="21"/>
      <c r="J119" s="21"/>
      <c r="K119" s="21"/>
      <c r="L119" s="30" t="str">
        <v>IBM Jun17 160C</v>
      </c>
      <c r="M119" s="30" t="str">
        <v>BOB_THE_BROKER</v>
      </c>
      <c r="N119" s="1" t="str">
        <v>S</v>
      </c>
      <c r="O119" s="4">
        <v>-50</v>
      </c>
      <c r="P119" s="34">
        <v>2.6120000000000001</v>
      </c>
      <c r="Q119" s="34">
        <v>2.6</v>
      </c>
      <c r="R119" s="72">
        <v>59.999999999999162</v>
      </c>
      <c r="S119" s="4">
        <v>-2879</v>
      </c>
      <c r="T119" s="36">
        <v>2</v>
      </c>
      <c r="U119" s="21"/>
      <c r="V119" s="21"/>
      <c r="W119" s="21"/>
      <c r="X119" s="21"/>
      <c r="Y119" s="21"/>
      <c r="Z119" s="21"/>
      <c r="AA119" s="21"/>
      <c r="AB119" s="21"/>
      <c r="AC119" s="20"/>
    </row>
    <row r="120" spans="1:29" x14ac:dyDescent="0.3">
      <c r="A120" s="18"/>
      <c r="B120" s="21"/>
      <c r="C120" s="21"/>
      <c r="D120" s="21"/>
      <c r="E120" s="21"/>
      <c r="F120" s="21"/>
      <c r="G120" s="21"/>
      <c r="H120" s="21"/>
      <c r="I120" s="21"/>
      <c r="J120" s="21"/>
      <c r="K120" s="21"/>
      <c r="L120" s="30" t="str">
        <v/>
      </c>
      <c r="M120" s="30" t="str">
        <v/>
      </c>
      <c r="N120" s="30" t="str">
        <v/>
      </c>
      <c r="O120" s="36" t="str">
        <v/>
      </c>
      <c r="P120" s="35" t="str">
        <v/>
      </c>
      <c r="Q120" s="35" t="str">
        <v/>
      </c>
      <c r="R120" s="66" t="str">
        <v/>
      </c>
      <c r="S120" s="36" t="str">
        <v/>
      </c>
      <c r="T120" s="36" t="str">
        <v/>
      </c>
      <c r="U120" s="21"/>
      <c r="V120" s="21"/>
      <c r="W120" s="21"/>
      <c r="X120" s="21"/>
      <c r="Y120" s="21"/>
      <c r="Z120" s="21"/>
      <c r="AA120" s="21"/>
      <c r="AB120" s="21"/>
      <c r="AC120" s="20"/>
    </row>
    <row r="121" spans="1:29" x14ac:dyDescent="0.3">
      <c r="A121" s="18"/>
      <c r="B121" s="21"/>
      <c r="C121" s="21"/>
      <c r="D121" s="21"/>
      <c r="E121" s="21"/>
      <c r="F121" s="21"/>
      <c r="G121" s="21"/>
      <c r="H121" s="21"/>
      <c r="I121" s="21"/>
      <c r="J121" s="21"/>
      <c r="K121" s="21"/>
      <c r="L121" s="30" t="str">
        <v/>
      </c>
      <c r="M121" s="30" t="str">
        <v/>
      </c>
      <c r="N121" s="30" t="str">
        <v/>
      </c>
      <c r="O121" s="36" t="str">
        <v/>
      </c>
      <c r="P121" s="35" t="str">
        <v/>
      </c>
      <c r="Q121" s="35" t="str">
        <v/>
      </c>
      <c r="R121" s="66" t="str">
        <v/>
      </c>
      <c r="S121" s="36" t="str">
        <v/>
      </c>
      <c r="T121" s="36" t="str">
        <v/>
      </c>
      <c r="U121" s="21"/>
      <c r="V121" s="21"/>
      <c r="W121" s="21"/>
      <c r="X121" s="21"/>
      <c r="Y121" s="21"/>
      <c r="Z121" s="21"/>
      <c r="AA121" s="21"/>
      <c r="AB121" s="21"/>
      <c r="AC121" s="20"/>
    </row>
    <row r="122" spans="1:29" x14ac:dyDescent="0.3">
      <c r="A122" s="18"/>
      <c r="B122" s="21"/>
      <c r="C122" s="21"/>
      <c r="D122" s="21"/>
      <c r="E122" s="21"/>
      <c r="F122" s="21"/>
      <c r="G122" s="21"/>
      <c r="H122" s="21"/>
      <c r="I122" s="21"/>
      <c r="J122" s="21"/>
      <c r="K122" s="21"/>
      <c r="L122" s="30" t="str">
        <v/>
      </c>
      <c r="M122" s="30" t="str">
        <v/>
      </c>
      <c r="N122" s="30" t="str">
        <v/>
      </c>
      <c r="O122" s="36" t="str">
        <v/>
      </c>
      <c r="P122" s="35" t="str">
        <v/>
      </c>
      <c r="Q122" s="35" t="str">
        <v/>
      </c>
      <c r="R122" s="66" t="str">
        <v/>
      </c>
      <c r="S122" s="36" t="str">
        <v/>
      </c>
      <c r="T122" s="36" t="str">
        <v/>
      </c>
      <c r="U122" s="21"/>
      <c r="V122" s="21"/>
      <c r="W122" s="21"/>
      <c r="X122" s="21"/>
      <c r="Y122" s="21"/>
      <c r="Z122" s="21"/>
      <c r="AA122" s="21"/>
      <c r="AB122" s="21"/>
      <c r="AC122" s="20"/>
    </row>
    <row r="123" spans="1:29" x14ac:dyDescent="0.3">
      <c r="A123" s="18"/>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0"/>
    </row>
    <row r="124" spans="1:29" x14ac:dyDescent="0.3">
      <c r="A124" s="18"/>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0"/>
    </row>
    <row r="125" spans="1:29" x14ac:dyDescent="0.3">
      <c r="A125" s="18"/>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21"/>
      <c r="AC125" s="20"/>
    </row>
    <row r="126" spans="1:29" x14ac:dyDescent="0.3">
      <c r="A126" s="18"/>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0"/>
    </row>
    <row r="127" spans="1:29" x14ac:dyDescent="0.3">
      <c r="A127" s="18"/>
      <c r="B127" s="492" t="s">
        <v>65</v>
      </c>
      <c r="C127" s="529"/>
      <c r="D127" s="529"/>
      <c r="E127" s="529"/>
      <c r="F127" s="529"/>
      <c r="G127" s="529"/>
      <c r="H127" s="529"/>
      <c r="I127" s="493"/>
      <c r="J127" s="21"/>
      <c r="K127" s="21"/>
      <c r="L127" s="492" t="s">
        <v>3391</v>
      </c>
      <c r="M127" s="529"/>
      <c r="N127" s="529"/>
      <c r="O127" s="529"/>
      <c r="P127" s="529"/>
      <c r="Q127" s="529"/>
      <c r="R127" s="529"/>
      <c r="S127" s="493"/>
      <c r="T127" s="21"/>
      <c r="U127" s="21"/>
      <c r="V127" s="21"/>
      <c r="W127" s="21"/>
      <c r="X127" s="21"/>
      <c r="Y127" s="21"/>
      <c r="Z127" s="21"/>
      <c r="AA127" s="21"/>
      <c r="AB127" s="21"/>
      <c r="AC127" s="20"/>
    </row>
    <row r="128" spans="1:29" x14ac:dyDescent="0.3">
      <c r="A128" s="18"/>
      <c r="B128" s="59" t="s">
        <v>2</v>
      </c>
      <c r="C128" s="60" t="s">
        <v>101</v>
      </c>
      <c r="D128" s="60" t="s">
        <v>111</v>
      </c>
      <c r="E128" s="60" t="s">
        <v>62</v>
      </c>
      <c r="F128" s="60" t="s">
        <v>103</v>
      </c>
      <c r="G128" s="60" t="s">
        <v>104</v>
      </c>
      <c r="H128" s="60" t="s">
        <v>105</v>
      </c>
      <c r="I128" s="60" t="s">
        <v>102</v>
      </c>
      <c r="J128" s="21"/>
      <c r="K128" s="21"/>
      <c r="L128" s="3" t="str">
        <f t="array" ref="L128:S137">_xll.U.VAGGREGATE(B128:I141)</f>
        <v>Symbol</v>
      </c>
      <c r="M128" s="3" t="str">
        <v>Broker</v>
      </c>
      <c r="N128" s="3" t="str">
        <v>Side</v>
      </c>
      <c r="O128" s="3" t="str">
        <v>Quantity</v>
      </c>
      <c r="P128" s="3" t="str">
        <v>Trade Price</v>
      </c>
      <c r="Q128" s="3" t="str">
        <v>Current Price</v>
      </c>
      <c r="R128" s="3" t="str">
        <v>P&amp;L</v>
      </c>
      <c r="S128" s="3" t="str">
        <v>Current Delta</v>
      </c>
      <c r="T128" s="21"/>
      <c r="U128" s="21"/>
      <c r="V128" s="21"/>
      <c r="W128" s="21"/>
      <c r="X128" s="21"/>
      <c r="Y128" s="21"/>
      <c r="Z128" s="21"/>
      <c r="AA128" s="21"/>
      <c r="AB128" s="21"/>
      <c r="AC128" s="20"/>
    </row>
    <row r="129" spans="1:29" x14ac:dyDescent="0.3">
      <c r="A129" s="18"/>
      <c r="B129" s="42" t="s">
        <v>112</v>
      </c>
      <c r="C129" s="42" t="s">
        <v>113</v>
      </c>
      <c r="D129" s="42" t="str">
        <f t="shared" ref="D129:D141" si="4">IF(E129&gt;0,"B","S")</f>
        <v>B</v>
      </c>
      <c r="E129" s="44">
        <v>100</v>
      </c>
      <c r="F129" s="61">
        <v>4.3</v>
      </c>
      <c r="G129" s="61">
        <v>4.3099999999999996</v>
      </c>
      <c r="H129" s="65">
        <f t="shared" ref="H129:H141" si="5">(G129-F129)*E129*IF(ISERROR(FIND(" ",B129)),1,100)</f>
        <v>99.999999999997868</v>
      </c>
      <c r="I129" s="44">
        <v>-3215</v>
      </c>
      <c r="J129" s="21"/>
      <c r="K129" s="21"/>
      <c r="L129" s="30" t="str">
        <v>AAPL Jun17 140P</v>
      </c>
      <c r="M129" s="30" t="str">
        <v>BROKER_B</v>
      </c>
      <c r="N129" s="30" t="str">
        <v>B</v>
      </c>
      <c r="O129" s="36">
        <v>100</v>
      </c>
      <c r="P129" s="35">
        <v>4.3</v>
      </c>
      <c r="Q129" s="35">
        <v>4.3099999999999996</v>
      </c>
      <c r="R129" s="66">
        <v>99.999999999997868</v>
      </c>
      <c r="S129" s="36">
        <v>-3215</v>
      </c>
      <c r="T129" s="21"/>
      <c r="U129" s="21"/>
      <c r="V129" s="21"/>
      <c r="W129" s="21"/>
      <c r="X129" s="21"/>
      <c r="Y129" s="21"/>
      <c r="Z129" s="21"/>
      <c r="AA129" s="21"/>
      <c r="AB129" s="21"/>
      <c r="AC129" s="20"/>
    </row>
    <row r="130" spans="1:29" x14ac:dyDescent="0.3">
      <c r="A130" s="18"/>
      <c r="B130" s="42" t="s">
        <v>108</v>
      </c>
      <c r="C130" s="42" t="s">
        <v>110</v>
      </c>
      <c r="D130" s="42" t="str">
        <f t="shared" si="4"/>
        <v>B</v>
      </c>
      <c r="E130" s="44">
        <v>50</v>
      </c>
      <c r="F130" s="61">
        <v>2.65</v>
      </c>
      <c r="G130" s="61">
        <v>2.6</v>
      </c>
      <c r="H130" s="65">
        <f t="shared" si="5"/>
        <v>-249.99999999999912</v>
      </c>
      <c r="I130" s="44">
        <v>2879</v>
      </c>
      <c r="J130" s="21"/>
      <c r="K130" s="21"/>
      <c r="L130" s="30" t="str">
        <v>IBM Jun17 160C</v>
      </c>
      <c r="M130" s="30" t="str">
        <v>BOB_THE_BROKER</v>
      </c>
      <c r="N130" s="30" t="str">
        <v>B</v>
      </c>
      <c r="O130" s="36">
        <v>50</v>
      </c>
      <c r="P130" s="35">
        <v>2.65</v>
      </c>
      <c r="Q130" s="35">
        <v>2.6</v>
      </c>
      <c r="R130" s="66">
        <v>-249.99999999999912</v>
      </c>
      <c r="S130" s="36">
        <v>2879</v>
      </c>
      <c r="T130" s="21"/>
      <c r="U130" s="21"/>
      <c r="V130" s="21"/>
      <c r="W130" s="21"/>
      <c r="X130" s="21"/>
      <c r="Y130" s="21"/>
      <c r="Z130" s="21"/>
      <c r="AA130" s="21"/>
      <c r="AB130" s="21"/>
      <c r="AC130" s="20"/>
    </row>
    <row r="131" spans="1:29" x14ac:dyDescent="0.3">
      <c r="A131" s="18"/>
      <c r="B131" s="42" t="s">
        <v>107</v>
      </c>
      <c r="C131" s="42" t="s">
        <v>109</v>
      </c>
      <c r="D131" s="42" t="str">
        <f t="shared" si="4"/>
        <v>S</v>
      </c>
      <c r="E131" s="44">
        <v>-3000</v>
      </c>
      <c r="F131" s="61">
        <v>159.49</v>
      </c>
      <c r="G131" s="61">
        <v>159.37</v>
      </c>
      <c r="H131" s="65">
        <f t="shared" si="5"/>
        <v>360.00000000001364</v>
      </c>
      <c r="I131" s="44">
        <v>-3000</v>
      </c>
      <c r="J131" s="21"/>
      <c r="K131" s="21"/>
      <c r="L131" s="30" t="str">
        <v>IBM</v>
      </c>
      <c r="M131" s="30" t="str">
        <v>BROKER_A</v>
      </c>
      <c r="N131" s="30" t="str">
        <v>S</v>
      </c>
      <c r="O131" s="36">
        <v>-3100</v>
      </c>
      <c r="P131" s="35">
        <v>318.99</v>
      </c>
      <c r="Q131" s="35">
        <v>318.74</v>
      </c>
      <c r="R131" s="66">
        <v>373.00000000001319</v>
      </c>
      <c r="S131" s="36">
        <v>-3100</v>
      </c>
      <c r="T131" s="21"/>
      <c r="U131" s="21"/>
      <c r="V131" s="21"/>
      <c r="W131" s="21"/>
      <c r="X131" s="21"/>
      <c r="Y131" s="21"/>
      <c r="Z131" s="21"/>
      <c r="AA131" s="21"/>
      <c r="AB131" s="21"/>
      <c r="AC131" s="20"/>
    </row>
    <row r="132" spans="1:29" x14ac:dyDescent="0.3">
      <c r="A132" s="18"/>
      <c r="B132" s="42" t="s">
        <v>107</v>
      </c>
      <c r="C132" s="42" t="s">
        <v>109</v>
      </c>
      <c r="D132" s="42" t="str">
        <f t="shared" si="4"/>
        <v>S</v>
      </c>
      <c r="E132" s="44">
        <v>-100</v>
      </c>
      <c r="F132" s="61">
        <v>159.5</v>
      </c>
      <c r="G132" s="61">
        <v>159.37</v>
      </c>
      <c r="H132" s="65">
        <f t="shared" si="5"/>
        <v>12.999999999999545</v>
      </c>
      <c r="I132" s="44">
        <v>-100</v>
      </c>
      <c r="J132" s="21"/>
      <c r="K132" s="21"/>
      <c r="L132" s="30" t="str">
        <v>AAPL</v>
      </c>
      <c r="M132" s="30" t="str">
        <v>BROKER_B</v>
      </c>
      <c r="N132" s="30" t="str">
        <v>B</v>
      </c>
      <c r="O132" s="4">
        <v>3200</v>
      </c>
      <c r="P132" s="34">
        <v>710.06000000000006</v>
      </c>
      <c r="Q132" s="34">
        <v>709.85</v>
      </c>
      <c r="R132" s="72">
        <v>-132.00000000002206</v>
      </c>
      <c r="S132" s="36">
        <v>3200</v>
      </c>
      <c r="T132" s="21"/>
      <c r="U132" s="21"/>
      <c r="V132" s="21"/>
      <c r="W132" s="21"/>
      <c r="X132" s="21"/>
      <c r="Y132" s="21"/>
      <c r="Z132" s="21"/>
      <c r="AA132" s="21"/>
      <c r="AB132" s="21"/>
      <c r="AC132" s="20"/>
    </row>
    <row r="133" spans="1:29" x14ac:dyDescent="0.3">
      <c r="A133" s="18"/>
      <c r="B133" s="42" t="s">
        <v>106</v>
      </c>
      <c r="C133" s="42" t="s">
        <v>113</v>
      </c>
      <c r="D133" s="42" t="str">
        <f t="shared" si="4"/>
        <v>B</v>
      </c>
      <c r="E133" s="44">
        <v>1500</v>
      </c>
      <c r="F133" s="61">
        <v>142.02000000000001</v>
      </c>
      <c r="G133" s="61">
        <v>141.97</v>
      </c>
      <c r="H133" s="65">
        <f t="shared" si="5"/>
        <v>-75.000000000017053</v>
      </c>
      <c r="I133" s="44">
        <v>1500</v>
      </c>
      <c r="J133" s="21"/>
      <c r="K133" s="21"/>
      <c r="L133" s="30" t="str">
        <v>IBM</v>
      </c>
      <c r="M133" s="30" t="str">
        <v>BROKER_A</v>
      </c>
      <c r="N133" s="30" t="str">
        <v>B</v>
      </c>
      <c r="O133" s="4">
        <v>200</v>
      </c>
      <c r="P133" s="34">
        <v>318.8</v>
      </c>
      <c r="Q133" s="34">
        <v>318.74</v>
      </c>
      <c r="R133" s="72">
        <v>-6.0000000000002274</v>
      </c>
      <c r="S133" s="36">
        <v>200</v>
      </c>
      <c r="T133" s="21"/>
      <c r="U133" s="21"/>
      <c r="V133" s="21"/>
      <c r="W133" s="21"/>
      <c r="X133" s="21"/>
      <c r="Y133" s="21"/>
      <c r="Z133" s="21"/>
      <c r="AA133" s="21"/>
      <c r="AB133" s="21"/>
      <c r="AC133" s="20"/>
    </row>
    <row r="134" spans="1:29" x14ac:dyDescent="0.3">
      <c r="A134" s="18"/>
      <c r="B134" s="42" t="s">
        <v>106</v>
      </c>
      <c r="C134" s="42" t="s">
        <v>113</v>
      </c>
      <c r="D134" s="42" t="str">
        <f t="shared" si="4"/>
        <v>B</v>
      </c>
      <c r="E134" s="44">
        <v>100</v>
      </c>
      <c r="F134" s="61">
        <v>142.02000000000001</v>
      </c>
      <c r="G134" s="61">
        <v>141.97</v>
      </c>
      <c r="H134" s="65">
        <f t="shared" si="5"/>
        <v>-5.0000000000011369</v>
      </c>
      <c r="I134" s="44">
        <v>100</v>
      </c>
      <c r="J134" s="21"/>
      <c r="K134" s="21"/>
      <c r="L134" s="30" t="str">
        <v>IBM Jun17 160C</v>
      </c>
      <c r="M134" s="30" t="str">
        <v>BOB_THE_BROKER</v>
      </c>
      <c r="N134" s="30" t="str">
        <v>S</v>
      </c>
      <c r="O134" s="4">
        <v>-50</v>
      </c>
      <c r="P134" s="34">
        <v>5.23</v>
      </c>
      <c r="Q134" s="34">
        <v>5.2</v>
      </c>
      <c r="R134" s="72">
        <v>59.999999999999162</v>
      </c>
      <c r="S134" s="36">
        <v>-2879</v>
      </c>
      <c r="T134" s="21"/>
      <c r="U134" s="21"/>
      <c r="V134" s="21"/>
      <c r="W134" s="21"/>
      <c r="X134" s="21"/>
      <c r="Y134" s="21"/>
      <c r="Z134" s="21"/>
      <c r="AA134" s="21"/>
      <c r="AB134" s="21"/>
      <c r="AC134" s="20"/>
    </row>
    <row r="135" spans="1:29" x14ac:dyDescent="0.3">
      <c r="A135" s="18"/>
      <c r="B135" s="42" t="s">
        <v>106</v>
      </c>
      <c r="C135" s="42" t="s">
        <v>113</v>
      </c>
      <c r="D135" s="42" t="str">
        <f t="shared" si="4"/>
        <v>B</v>
      </c>
      <c r="E135" s="44">
        <v>300</v>
      </c>
      <c r="F135" s="61">
        <v>142.02000000000001</v>
      </c>
      <c r="G135" s="61">
        <v>141.97</v>
      </c>
      <c r="H135" s="65">
        <f t="shared" si="5"/>
        <v>-15.000000000003411</v>
      </c>
      <c r="I135" s="44">
        <v>300</v>
      </c>
      <c r="J135" s="21"/>
      <c r="K135" s="21"/>
      <c r="L135" s="30" t="e">
        <v>#N/A</v>
      </c>
      <c r="M135" s="30" t="e">
        <v>#N/A</v>
      </c>
      <c r="N135" s="30" t="e">
        <v>#N/A</v>
      </c>
      <c r="O135" s="4" t="e">
        <v>#N/A</v>
      </c>
      <c r="P135" s="34" t="e">
        <v>#N/A</v>
      </c>
      <c r="Q135" s="34" t="e">
        <v>#N/A</v>
      </c>
      <c r="R135" s="72" t="e">
        <v>#N/A</v>
      </c>
      <c r="S135" s="36" t="e">
        <v>#N/A</v>
      </c>
      <c r="T135" s="21"/>
      <c r="U135" s="21"/>
      <c r="V135" s="21"/>
      <c r="W135" s="21"/>
      <c r="X135" s="21"/>
      <c r="Y135" s="21"/>
      <c r="Z135" s="21"/>
      <c r="AA135" s="21"/>
      <c r="AB135" s="21"/>
      <c r="AC135" s="20"/>
    </row>
    <row r="136" spans="1:29" x14ac:dyDescent="0.3">
      <c r="A136" s="18"/>
      <c r="B136" s="42" t="s">
        <v>107</v>
      </c>
      <c r="C136" s="42" t="s">
        <v>109</v>
      </c>
      <c r="D136" s="42" t="str">
        <f t="shared" si="4"/>
        <v>B</v>
      </c>
      <c r="E136" s="44">
        <v>100</v>
      </c>
      <c r="F136" s="61">
        <v>159.4</v>
      </c>
      <c r="G136" s="61">
        <v>159.37</v>
      </c>
      <c r="H136" s="65">
        <f t="shared" si="5"/>
        <v>-3.0000000000001137</v>
      </c>
      <c r="I136" s="44">
        <v>100</v>
      </c>
      <c r="J136" s="21"/>
      <c r="K136" s="21"/>
      <c r="L136" s="30" t="e">
        <v>#N/A</v>
      </c>
      <c r="M136" s="30" t="e">
        <v>#N/A</v>
      </c>
      <c r="N136" s="30" t="e">
        <v>#N/A</v>
      </c>
      <c r="O136" s="36" t="e">
        <v>#N/A</v>
      </c>
      <c r="P136" s="35" t="e">
        <v>#N/A</v>
      </c>
      <c r="Q136" s="35" t="e">
        <v>#N/A</v>
      </c>
      <c r="R136" s="66" t="e">
        <v>#N/A</v>
      </c>
      <c r="S136" s="36" t="e">
        <v>#N/A</v>
      </c>
      <c r="T136" s="21"/>
      <c r="U136" s="21"/>
      <c r="V136" s="21"/>
      <c r="W136" s="21"/>
      <c r="X136" s="21"/>
      <c r="Y136" s="21"/>
      <c r="Z136" s="21"/>
      <c r="AA136" s="21"/>
      <c r="AB136" s="21"/>
      <c r="AC136" s="20"/>
    </row>
    <row r="137" spans="1:29" x14ac:dyDescent="0.3">
      <c r="A137" s="18"/>
      <c r="B137" s="42" t="s">
        <v>106</v>
      </c>
      <c r="C137" s="42" t="s">
        <v>113</v>
      </c>
      <c r="D137" s="42" t="str">
        <f t="shared" si="4"/>
        <v>B</v>
      </c>
      <c r="E137" s="44">
        <v>600</v>
      </c>
      <c r="F137" s="61">
        <v>142.02000000000001</v>
      </c>
      <c r="G137" s="61">
        <v>141.97</v>
      </c>
      <c r="H137" s="65">
        <f t="shared" si="5"/>
        <v>-30.000000000006821</v>
      </c>
      <c r="I137" s="44">
        <v>600</v>
      </c>
      <c r="J137" s="21"/>
      <c r="K137" s="21"/>
      <c r="L137" s="30" t="e">
        <v>#N/A</v>
      </c>
      <c r="M137" s="30" t="e">
        <v>#N/A</v>
      </c>
      <c r="N137" s="30" t="e">
        <v>#N/A</v>
      </c>
      <c r="O137" s="36" t="e">
        <v>#N/A</v>
      </c>
      <c r="P137" s="35" t="e">
        <v>#N/A</v>
      </c>
      <c r="Q137" s="35" t="e">
        <v>#N/A</v>
      </c>
      <c r="R137" s="66" t="e">
        <v>#N/A</v>
      </c>
      <c r="S137" s="36" t="e">
        <v>#N/A</v>
      </c>
      <c r="T137" s="21"/>
      <c r="U137" s="21"/>
      <c r="V137" s="21"/>
      <c r="W137" s="21"/>
      <c r="X137" s="21"/>
      <c r="Y137" s="21"/>
      <c r="Z137" s="21"/>
      <c r="AA137" s="21"/>
      <c r="AB137" s="21"/>
      <c r="AC137" s="20"/>
    </row>
    <row r="138" spans="1:29" x14ac:dyDescent="0.3">
      <c r="A138" s="18"/>
      <c r="B138" s="42" t="s">
        <v>107</v>
      </c>
      <c r="C138" s="42" t="s">
        <v>109</v>
      </c>
      <c r="D138" s="42" t="str">
        <f t="shared" si="4"/>
        <v>B</v>
      </c>
      <c r="E138" s="44">
        <v>100</v>
      </c>
      <c r="F138" s="61">
        <v>159.4</v>
      </c>
      <c r="G138" s="61">
        <v>159.37</v>
      </c>
      <c r="H138" s="65">
        <f t="shared" si="5"/>
        <v>-3.0000000000001137</v>
      </c>
      <c r="I138" s="44">
        <v>100</v>
      </c>
      <c r="J138" s="21"/>
      <c r="K138" s="21"/>
      <c r="L138" s="21"/>
      <c r="M138" s="21"/>
      <c r="N138" s="21"/>
      <c r="O138" s="21"/>
      <c r="P138" s="21"/>
      <c r="Q138" s="21"/>
      <c r="R138" s="21"/>
      <c r="S138" s="21"/>
      <c r="T138" s="21"/>
      <c r="U138" s="21"/>
      <c r="V138" s="21"/>
      <c r="W138" s="21"/>
      <c r="X138" s="21"/>
      <c r="Y138" s="21"/>
      <c r="Z138" s="21"/>
      <c r="AA138" s="21"/>
      <c r="AB138" s="21"/>
      <c r="AC138" s="20"/>
    </row>
    <row r="139" spans="1:29" x14ac:dyDescent="0.3">
      <c r="A139" s="18"/>
      <c r="B139" s="42" t="s">
        <v>108</v>
      </c>
      <c r="C139" s="42" t="s">
        <v>110</v>
      </c>
      <c r="D139" s="42" t="str">
        <f t="shared" si="4"/>
        <v>S</v>
      </c>
      <c r="E139" s="44">
        <v>-10</v>
      </c>
      <c r="F139" s="61">
        <v>2.62</v>
      </c>
      <c r="G139" s="61">
        <v>2.6</v>
      </c>
      <c r="H139" s="65">
        <f t="shared" si="5"/>
        <v>20.000000000000018</v>
      </c>
      <c r="I139" s="44">
        <v>-575.79999999999995</v>
      </c>
      <c r="J139" s="21"/>
      <c r="K139" s="21"/>
      <c r="L139" s="21"/>
      <c r="M139" s="21"/>
      <c r="N139" s="21"/>
      <c r="O139" s="21"/>
      <c r="P139" s="21"/>
      <c r="Q139" s="21"/>
      <c r="R139" s="21"/>
      <c r="S139" s="21"/>
      <c r="T139" s="21"/>
      <c r="U139" s="21"/>
      <c r="V139" s="21"/>
      <c r="W139" s="21"/>
      <c r="X139" s="21"/>
      <c r="Y139" s="21"/>
      <c r="Z139" s="21"/>
      <c r="AA139" s="21"/>
      <c r="AB139" s="21"/>
      <c r="AC139" s="20"/>
    </row>
    <row r="140" spans="1:29" x14ac:dyDescent="0.3">
      <c r="A140" s="18"/>
      <c r="B140" s="42" t="s">
        <v>106</v>
      </c>
      <c r="C140" s="42" t="s">
        <v>113</v>
      </c>
      <c r="D140" s="42" t="str">
        <f t="shared" si="4"/>
        <v>B</v>
      </c>
      <c r="E140" s="44">
        <v>700</v>
      </c>
      <c r="F140" s="61">
        <v>141.97999999999999</v>
      </c>
      <c r="G140" s="61">
        <v>141.97</v>
      </c>
      <c r="H140" s="65">
        <f t="shared" si="5"/>
        <v>-6.9999999999936335</v>
      </c>
      <c r="I140" s="44">
        <v>700</v>
      </c>
      <c r="J140" s="21"/>
      <c r="K140" s="21"/>
      <c r="L140" s="21"/>
      <c r="M140" s="21"/>
      <c r="N140" s="21"/>
      <c r="O140" s="21"/>
      <c r="P140" s="21"/>
      <c r="Q140" s="21"/>
      <c r="R140" s="21"/>
      <c r="S140" s="21"/>
      <c r="T140" s="21"/>
      <c r="U140" s="21"/>
      <c r="V140" s="21"/>
      <c r="W140" s="21"/>
      <c r="X140" s="21"/>
      <c r="Y140" s="21"/>
      <c r="Z140" s="21"/>
      <c r="AA140" s="21"/>
      <c r="AB140" s="21"/>
      <c r="AC140" s="20"/>
    </row>
    <row r="141" spans="1:29" x14ac:dyDescent="0.3">
      <c r="A141" s="18"/>
      <c r="B141" s="42" t="s">
        <v>108</v>
      </c>
      <c r="C141" s="42" t="s">
        <v>110</v>
      </c>
      <c r="D141" s="42" t="str">
        <f t="shared" si="4"/>
        <v>S</v>
      </c>
      <c r="E141" s="44">
        <v>-40</v>
      </c>
      <c r="F141" s="61">
        <v>2.61</v>
      </c>
      <c r="G141" s="61">
        <v>2.6</v>
      </c>
      <c r="H141" s="65">
        <f t="shared" si="5"/>
        <v>39.999999999999147</v>
      </c>
      <c r="I141" s="44">
        <v>-2303.1999999999998</v>
      </c>
      <c r="J141" s="21"/>
      <c r="K141" s="21"/>
      <c r="L141" s="21"/>
      <c r="M141" s="21"/>
      <c r="N141" s="21"/>
      <c r="O141" s="21"/>
      <c r="P141" s="21"/>
      <c r="Q141" s="21"/>
      <c r="R141" s="21"/>
      <c r="S141" s="21"/>
      <c r="T141" s="21"/>
      <c r="U141" s="21"/>
      <c r="V141" s="21"/>
      <c r="W141" s="21"/>
      <c r="X141" s="21"/>
      <c r="Y141" s="21"/>
      <c r="Z141" s="21"/>
      <c r="AA141" s="21"/>
      <c r="AB141" s="21"/>
      <c r="AC141" s="20"/>
    </row>
    <row r="142" spans="1:29" x14ac:dyDescent="0.3">
      <c r="A142" s="18"/>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0"/>
    </row>
    <row r="143" spans="1:29" x14ac:dyDescent="0.3">
      <c r="A143" s="18"/>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0"/>
    </row>
    <row r="144" spans="1:29" x14ac:dyDescent="0.3">
      <c r="A144" s="18"/>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21"/>
      <c r="AC144" s="20"/>
    </row>
    <row r="145" spans="1:29" ht="15" thickBot="1" x14ac:dyDescent="0.35">
      <c r="A145" s="18"/>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0"/>
    </row>
    <row r="146" spans="1:29" ht="15" thickBot="1" x14ac:dyDescent="0.35">
      <c r="A146" s="18"/>
      <c r="B146" s="492" t="s">
        <v>65</v>
      </c>
      <c r="C146" s="529"/>
      <c r="D146" s="529"/>
      <c r="E146" s="529"/>
      <c r="F146" s="529"/>
      <c r="G146" s="529"/>
      <c r="H146" s="529"/>
      <c r="I146" s="493"/>
      <c r="J146" s="21"/>
      <c r="K146" s="21"/>
      <c r="L146" s="492" t="s">
        <v>3391</v>
      </c>
      <c r="M146" s="529"/>
      <c r="N146" s="529"/>
      <c r="O146" s="529"/>
      <c r="P146" s="529"/>
      <c r="Q146" s="529"/>
      <c r="R146" s="529"/>
      <c r="S146" s="529"/>
      <c r="T146" s="493"/>
      <c r="U146" s="21"/>
      <c r="V146" s="532" t="s">
        <v>118</v>
      </c>
      <c r="W146" s="533"/>
      <c r="X146" s="533"/>
      <c r="Y146" s="534"/>
      <c r="Z146" s="21"/>
      <c r="AA146" s="21"/>
      <c r="AB146" s="21"/>
      <c r="AC146" s="20"/>
    </row>
    <row r="147" spans="1:29" x14ac:dyDescent="0.3">
      <c r="A147" s="18"/>
      <c r="B147" s="59" t="s">
        <v>2</v>
      </c>
      <c r="C147" s="60" t="s">
        <v>101</v>
      </c>
      <c r="D147" s="60" t="s">
        <v>111</v>
      </c>
      <c r="E147" s="60" t="s">
        <v>62</v>
      </c>
      <c r="F147" s="60" t="s">
        <v>103</v>
      </c>
      <c r="G147" s="60" t="s">
        <v>104</v>
      </c>
      <c r="H147" s="60" t="s">
        <v>105</v>
      </c>
      <c r="I147" s="60" t="s">
        <v>102</v>
      </c>
      <c r="J147" s="21"/>
      <c r="K147" s="21"/>
      <c r="L147" s="3" t="str">
        <f t="array" ref="L147:T156">_xll.U.VAGGREGATE(B147:I160,V148:V152,W148:W152,X148:Y152,,,TRUE)</f>
        <v>Symbol</v>
      </c>
      <c r="M147" s="3" t="str">
        <v>Broker</v>
      </c>
      <c r="N147" s="3" t="str">
        <v>Side</v>
      </c>
      <c r="O147" s="3" t="str">
        <v>Quantity</v>
      </c>
      <c r="P147" s="3" t="str">
        <v>Trade Price</v>
      </c>
      <c r="Q147" s="3" t="str">
        <v>Current Price</v>
      </c>
      <c r="R147" s="3" t="str">
        <v>P&amp;L</v>
      </c>
      <c r="S147" s="3" t="str">
        <v>Current Delta</v>
      </c>
      <c r="T147" s="3" t="str">
        <v>Num Aggregated</v>
      </c>
      <c r="U147" s="21"/>
      <c r="V147" s="62" t="s">
        <v>114</v>
      </c>
      <c r="W147" s="62" t="s">
        <v>115</v>
      </c>
      <c r="X147" s="63" t="s">
        <v>116</v>
      </c>
      <c r="Y147" s="64" t="s">
        <v>117</v>
      </c>
      <c r="Z147" s="21"/>
      <c r="AA147" s="21"/>
      <c r="AB147" s="21"/>
      <c r="AC147" s="20"/>
    </row>
    <row r="148" spans="1:29" x14ac:dyDescent="0.3">
      <c r="A148" s="18"/>
      <c r="B148" s="42" t="s">
        <v>112</v>
      </c>
      <c r="C148" s="42" t="s">
        <v>113</v>
      </c>
      <c r="D148" s="42" t="str">
        <f t="shared" ref="D148:D160" si="6">IF(E148&gt;0,"B","S")</f>
        <v>B</v>
      </c>
      <c r="E148" s="44">
        <v>100</v>
      </c>
      <c r="F148" s="61">
        <v>4.3</v>
      </c>
      <c r="G148" s="61">
        <v>4.3099999999999996</v>
      </c>
      <c r="H148" s="65">
        <f t="shared" ref="H148:H160" si="7">(G148-F148)*E148*IF(ISERROR(FIND(" ",B148)),1,100)</f>
        <v>99.999999999997868</v>
      </c>
      <c r="I148" s="44">
        <v>-3215</v>
      </c>
      <c r="J148" s="21"/>
      <c r="K148" s="21"/>
      <c r="L148" s="30" t="str">
        <v>AAPL Jun17 140P</v>
      </c>
      <c r="M148" s="30" t="str">
        <v>BROKER_B</v>
      </c>
      <c r="N148" s="30" t="str">
        <v>B</v>
      </c>
      <c r="O148" s="36">
        <v>100</v>
      </c>
      <c r="P148" s="35">
        <v>4.3</v>
      </c>
      <c r="Q148" s="35">
        <v>4.3099999999999996</v>
      </c>
      <c r="R148" s="66">
        <v>99.999999999997868</v>
      </c>
      <c r="S148" s="36">
        <v>-3215</v>
      </c>
      <c r="T148" s="36">
        <v>1</v>
      </c>
      <c r="U148" s="21"/>
      <c r="V148" s="73" t="s">
        <v>2</v>
      </c>
      <c r="W148" s="73" t="s">
        <v>1012</v>
      </c>
      <c r="X148" s="74" t="s">
        <v>103</v>
      </c>
      <c r="Y148" s="75" t="s">
        <v>62</v>
      </c>
      <c r="Z148" s="21"/>
      <c r="AA148" s="21"/>
      <c r="AB148" s="21"/>
      <c r="AC148" s="20"/>
    </row>
    <row r="149" spans="1:29" x14ac:dyDescent="0.3">
      <c r="A149" s="18"/>
      <c r="B149" s="42" t="s">
        <v>108</v>
      </c>
      <c r="C149" s="42" t="s">
        <v>110</v>
      </c>
      <c r="D149" s="42" t="str">
        <f t="shared" si="6"/>
        <v>B</v>
      </c>
      <c r="E149" s="44">
        <v>50</v>
      </c>
      <c r="F149" s="61">
        <v>2.65</v>
      </c>
      <c r="G149" s="61">
        <v>2.6</v>
      </c>
      <c r="H149" s="65">
        <f t="shared" si="7"/>
        <v>-249.99999999999912</v>
      </c>
      <c r="I149" s="44">
        <v>2879</v>
      </c>
      <c r="J149" s="21"/>
      <c r="K149" s="21"/>
      <c r="L149" s="30" t="str">
        <v>IBM Jun17 160C</v>
      </c>
      <c r="M149" s="30" t="str">
        <v>BOB_THE_BROKER</v>
      </c>
      <c r="N149" s="30" t="str">
        <v>B</v>
      </c>
      <c r="O149" s="36">
        <v>50</v>
      </c>
      <c r="P149" s="35">
        <v>2.65</v>
      </c>
      <c r="Q149" s="35">
        <v>2.6</v>
      </c>
      <c r="R149" s="66">
        <v>-249.99999999999912</v>
      </c>
      <c r="S149" s="36">
        <v>2879</v>
      </c>
      <c r="T149" s="36">
        <v>1</v>
      </c>
      <c r="U149" s="21"/>
      <c r="V149" s="73" t="s">
        <v>101</v>
      </c>
      <c r="W149" s="73" t="s">
        <v>1013</v>
      </c>
      <c r="X149" s="74"/>
      <c r="Y149" s="75"/>
      <c r="Z149" s="21"/>
      <c r="AA149" s="21"/>
      <c r="AB149" s="21"/>
      <c r="AC149" s="20"/>
    </row>
    <row r="150" spans="1:29" x14ac:dyDescent="0.3">
      <c r="A150" s="18"/>
      <c r="B150" s="42" t="s">
        <v>107</v>
      </c>
      <c r="C150" s="42" t="s">
        <v>109</v>
      </c>
      <c r="D150" s="42" t="str">
        <f t="shared" si="6"/>
        <v>S</v>
      </c>
      <c r="E150" s="44">
        <v>-3000</v>
      </c>
      <c r="F150" s="61">
        <v>159.49</v>
      </c>
      <c r="G150" s="61">
        <v>159.37</v>
      </c>
      <c r="H150" s="65">
        <f t="shared" si="7"/>
        <v>360.00000000001364</v>
      </c>
      <c r="I150" s="44">
        <v>-3000</v>
      </c>
      <c r="J150" s="21"/>
      <c r="K150" s="21"/>
      <c r="L150" s="30" t="str">
        <v>IBM</v>
      </c>
      <c r="M150" s="30" t="str">
        <v>BROKER_A</v>
      </c>
      <c r="N150" s="30" t="str">
        <v>S</v>
      </c>
      <c r="O150" s="36">
        <v>-3000</v>
      </c>
      <c r="P150" s="35">
        <v>159.49032258064517</v>
      </c>
      <c r="Q150" s="35">
        <v>159.37</v>
      </c>
      <c r="R150" s="66">
        <v>12.999999999999545</v>
      </c>
      <c r="S150" s="36">
        <v>-3100</v>
      </c>
      <c r="T150" s="36">
        <v>2</v>
      </c>
      <c r="U150" s="21"/>
      <c r="V150" s="73" t="s">
        <v>111</v>
      </c>
      <c r="W150" s="73" t="s">
        <v>102</v>
      </c>
      <c r="X150" s="74"/>
      <c r="Y150" s="75"/>
      <c r="Z150" s="21"/>
      <c r="AA150" s="21"/>
      <c r="AB150" s="21"/>
      <c r="AC150" s="20"/>
    </row>
    <row r="151" spans="1:29" x14ac:dyDescent="0.3">
      <c r="A151" s="18"/>
      <c r="B151" s="42" t="s">
        <v>107</v>
      </c>
      <c r="C151" s="42" t="s">
        <v>109</v>
      </c>
      <c r="D151" s="42" t="str">
        <f t="shared" si="6"/>
        <v>S</v>
      </c>
      <c r="E151" s="44">
        <v>-100</v>
      </c>
      <c r="F151" s="61">
        <v>159.5</v>
      </c>
      <c r="G151" s="61">
        <v>159.37</v>
      </c>
      <c r="H151" s="65">
        <f t="shared" si="7"/>
        <v>12.999999999999545</v>
      </c>
      <c r="I151" s="44">
        <v>-100</v>
      </c>
      <c r="J151" s="21"/>
      <c r="K151" s="21"/>
      <c r="L151" s="30" t="str">
        <v>AAPL</v>
      </c>
      <c r="M151" s="30" t="str">
        <v>BROKER_B</v>
      </c>
      <c r="N151" s="30" t="str">
        <v>B</v>
      </c>
      <c r="O151" s="4">
        <v>1500</v>
      </c>
      <c r="P151" s="34">
        <v>142.01124999999999</v>
      </c>
      <c r="Q151" s="34">
        <v>141.97</v>
      </c>
      <c r="R151" s="72">
        <v>-75.000000000017053</v>
      </c>
      <c r="S151" s="36">
        <v>3200</v>
      </c>
      <c r="T151" s="36">
        <v>5</v>
      </c>
      <c r="U151" s="21"/>
      <c r="V151" s="73"/>
      <c r="W151" s="73"/>
      <c r="X151" s="74"/>
      <c r="Y151" s="75"/>
      <c r="Z151" s="21"/>
      <c r="AA151" s="21"/>
      <c r="AB151" s="21"/>
      <c r="AC151" s="20"/>
    </row>
    <row r="152" spans="1:29" ht="15" thickBot="1" x14ac:dyDescent="0.35">
      <c r="A152" s="18"/>
      <c r="B152" s="42" t="s">
        <v>106</v>
      </c>
      <c r="C152" s="42" t="s">
        <v>113</v>
      </c>
      <c r="D152" s="42" t="str">
        <f t="shared" si="6"/>
        <v>B</v>
      </c>
      <c r="E152" s="44">
        <v>1500</v>
      </c>
      <c r="F152" s="61">
        <v>142.02000000000001</v>
      </c>
      <c r="G152" s="61">
        <v>141.97</v>
      </c>
      <c r="H152" s="65">
        <f t="shared" si="7"/>
        <v>-75.000000000017053</v>
      </c>
      <c r="I152" s="44">
        <v>1500</v>
      </c>
      <c r="J152" s="21"/>
      <c r="K152" s="21"/>
      <c r="L152" s="30" t="str">
        <v>IBM</v>
      </c>
      <c r="M152" s="30" t="str">
        <v>BROKER_A</v>
      </c>
      <c r="N152" s="30" t="str">
        <v>B</v>
      </c>
      <c r="O152" s="4">
        <v>100</v>
      </c>
      <c r="P152" s="34">
        <v>159.4</v>
      </c>
      <c r="Q152" s="34">
        <v>159.37</v>
      </c>
      <c r="R152" s="72">
        <v>-3.0000000000001137</v>
      </c>
      <c r="S152" s="36">
        <v>200</v>
      </c>
      <c r="T152" s="36">
        <v>2</v>
      </c>
      <c r="U152" s="21"/>
      <c r="V152" s="76"/>
      <c r="W152" s="76"/>
      <c r="X152" s="77"/>
      <c r="Y152" s="78"/>
      <c r="Z152" s="21"/>
      <c r="AA152" s="21"/>
      <c r="AB152" s="21"/>
      <c r="AC152" s="20"/>
    </row>
    <row r="153" spans="1:29" x14ac:dyDescent="0.3">
      <c r="A153" s="18"/>
      <c r="B153" s="42" t="s">
        <v>106</v>
      </c>
      <c r="C153" s="42" t="s">
        <v>113</v>
      </c>
      <c r="D153" s="42" t="str">
        <f t="shared" si="6"/>
        <v>B</v>
      </c>
      <c r="E153" s="44">
        <v>100</v>
      </c>
      <c r="F153" s="61">
        <v>142.02000000000001</v>
      </c>
      <c r="G153" s="61">
        <v>141.97</v>
      </c>
      <c r="H153" s="65">
        <f t="shared" si="7"/>
        <v>-5.0000000000011369</v>
      </c>
      <c r="I153" s="44">
        <v>100</v>
      </c>
      <c r="J153" s="21"/>
      <c r="K153" s="21"/>
      <c r="L153" s="30" t="str">
        <v>IBM Jun17 160C</v>
      </c>
      <c r="M153" s="30" t="str">
        <v>BOB_THE_BROKER</v>
      </c>
      <c r="N153" s="30" t="str">
        <v>S</v>
      </c>
      <c r="O153" s="4">
        <v>-40</v>
      </c>
      <c r="P153" s="34">
        <v>2.6120000000000001</v>
      </c>
      <c r="Q153" s="34">
        <v>2.6</v>
      </c>
      <c r="R153" s="72">
        <v>20.000000000000018</v>
      </c>
      <c r="S153" s="36">
        <v>-2879</v>
      </c>
      <c r="T153" s="36">
        <v>2</v>
      </c>
      <c r="U153" s="21"/>
      <c r="V153" s="21"/>
      <c r="W153" s="21"/>
      <c r="X153" s="21"/>
      <c r="Y153" s="21"/>
      <c r="Z153" s="21"/>
      <c r="AA153" s="21"/>
      <c r="AB153" s="21"/>
      <c r="AC153" s="20"/>
    </row>
    <row r="154" spans="1:29" x14ac:dyDescent="0.3">
      <c r="A154" s="18"/>
      <c r="B154" s="42" t="s">
        <v>106</v>
      </c>
      <c r="C154" s="42" t="s">
        <v>113</v>
      </c>
      <c r="D154" s="42" t="str">
        <f t="shared" si="6"/>
        <v>B</v>
      </c>
      <c r="E154" s="44">
        <v>300</v>
      </c>
      <c r="F154" s="61">
        <v>142.02000000000001</v>
      </c>
      <c r="G154" s="61">
        <v>141.97</v>
      </c>
      <c r="H154" s="65">
        <f t="shared" si="7"/>
        <v>-15.000000000003411</v>
      </c>
      <c r="I154" s="44">
        <v>300</v>
      </c>
      <c r="J154" s="21"/>
      <c r="K154" s="21"/>
      <c r="L154" s="30" t="e">
        <v>#N/A</v>
      </c>
      <c r="M154" s="30" t="e">
        <v>#N/A</v>
      </c>
      <c r="N154" s="30" t="e">
        <v>#N/A</v>
      </c>
      <c r="O154" s="4" t="e">
        <v>#N/A</v>
      </c>
      <c r="P154" s="34" t="e">
        <v>#N/A</v>
      </c>
      <c r="Q154" s="34" t="e">
        <v>#N/A</v>
      </c>
      <c r="R154" s="72" t="e">
        <v>#N/A</v>
      </c>
      <c r="S154" s="36" t="e">
        <v>#N/A</v>
      </c>
      <c r="T154" s="36" t="e">
        <v>#N/A</v>
      </c>
      <c r="U154" s="21"/>
      <c r="V154" s="21"/>
      <c r="W154" s="21"/>
      <c r="X154" s="21"/>
      <c r="Y154" s="21"/>
      <c r="Z154" s="21"/>
      <c r="AA154" s="21"/>
      <c r="AB154" s="21"/>
      <c r="AC154" s="20"/>
    </row>
    <row r="155" spans="1:29" x14ac:dyDescent="0.3">
      <c r="A155" s="18"/>
      <c r="B155" s="42" t="s">
        <v>107</v>
      </c>
      <c r="C155" s="42" t="s">
        <v>109</v>
      </c>
      <c r="D155" s="42" t="str">
        <f t="shared" si="6"/>
        <v>B</v>
      </c>
      <c r="E155" s="44">
        <v>100</v>
      </c>
      <c r="F155" s="61">
        <v>159.4</v>
      </c>
      <c r="G155" s="61">
        <v>159.37</v>
      </c>
      <c r="H155" s="65">
        <f t="shared" si="7"/>
        <v>-3.0000000000001137</v>
      </c>
      <c r="I155" s="44">
        <v>100</v>
      </c>
      <c r="J155" s="21"/>
      <c r="K155" s="21"/>
      <c r="L155" s="30" t="e">
        <v>#N/A</v>
      </c>
      <c r="M155" s="30" t="e">
        <v>#N/A</v>
      </c>
      <c r="N155" s="30" t="e">
        <v>#N/A</v>
      </c>
      <c r="O155" s="36" t="e">
        <v>#N/A</v>
      </c>
      <c r="P155" s="35" t="e">
        <v>#N/A</v>
      </c>
      <c r="Q155" s="35" t="e">
        <v>#N/A</v>
      </c>
      <c r="R155" s="66" t="e">
        <v>#N/A</v>
      </c>
      <c r="S155" s="36" t="e">
        <v>#N/A</v>
      </c>
      <c r="T155" s="36" t="e">
        <v>#N/A</v>
      </c>
      <c r="U155" s="21"/>
      <c r="V155" s="21"/>
      <c r="W155" s="21"/>
      <c r="X155" s="21"/>
      <c r="Y155" s="21"/>
      <c r="Z155" s="21"/>
      <c r="AA155" s="21"/>
      <c r="AB155" s="21"/>
      <c r="AC155" s="20"/>
    </row>
    <row r="156" spans="1:29" x14ac:dyDescent="0.3">
      <c r="A156" s="18"/>
      <c r="B156" s="42" t="s">
        <v>106</v>
      </c>
      <c r="C156" s="42" t="s">
        <v>113</v>
      </c>
      <c r="D156" s="42" t="str">
        <f t="shared" si="6"/>
        <v>B</v>
      </c>
      <c r="E156" s="44">
        <v>600</v>
      </c>
      <c r="F156" s="61">
        <v>142.02000000000001</v>
      </c>
      <c r="G156" s="61">
        <v>141.97</v>
      </c>
      <c r="H156" s="65">
        <f t="shared" si="7"/>
        <v>-30.000000000006821</v>
      </c>
      <c r="I156" s="44">
        <v>600</v>
      </c>
      <c r="J156" s="21"/>
      <c r="K156" s="21"/>
      <c r="L156" s="30" t="e">
        <v>#N/A</v>
      </c>
      <c r="M156" s="30" t="e">
        <v>#N/A</v>
      </c>
      <c r="N156" s="30" t="e">
        <v>#N/A</v>
      </c>
      <c r="O156" s="36" t="e">
        <v>#N/A</v>
      </c>
      <c r="P156" s="35" t="e">
        <v>#N/A</v>
      </c>
      <c r="Q156" s="35" t="e">
        <v>#N/A</v>
      </c>
      <c r="R156" s="66" t="e">
        <v>#N/A</v>
      </c>
      <c r="S156" s="36" t="e">
        <v>#N/A</v>
      </c>
      <c r="T156" s="36" t="e">
        <v>#N/A</v>
      </c>
      <c r="U156" s="21"/>
      <c r="V156" s="21"/>
      <c r="W156" s="21"/>
      <c r="X156" s="21"/>
      <c r="Y156" s="21"/>
      <c r="Z156" s="21"/>
      <c r="AA156" s="21"/>
      <c r="AB156" s="21"/>
      <c r="AC156" s="20"/>
    </row>
    <row r="157" spans="1:29" x14ac:dyDescent="0.3">
      <c r="A157" s="18"/>
      <c r="B157" s="42" t="s">
        <v>107</v>
      </c>
      <c r="C157" s="42" t="s">
        <v>109</v>
      </c>
      <c r="D157" s="42" t="str">
        <f t="shared" si="6"/>
        <v>B</v>
      </c>
      <c r="E157" s="44">
        <v>100</v>
      </c>
      <c r="F157" s="61">
        <v>159.4</v>
      </c>
      <c r="G157" s="61">
        <v>159.37</v>
      </c>
      <c r="H157" s="65">
        <f t="shared" si="7"/>
        <v>-3.0000000000001137</v>
      </c>
      <c r="I157" s="44">
        <v>100</v>
      </c>
      <c r="J157" s="21"/>
      <c r="K157" s="21"/>
      <c r="L157" s="21"/>
      <c r="M157" s="21"/>
      <c r="N157" s="21"/>
      <c r="O157" s="21"/>
      <c r="P157" s="21"/>
      <c r="Q157" s="21"/>
      <c r="R157" s="21"/>
      <c r="S157" s="21"/>
      <c r="T157" s="21"/>
      <c r="U157" s="21"/>
      <c r="V157" s="21"/>
      <c r="W157" s="21"/>
      <c r="X157" s="21"/>
      <c r="Y157" s="21"/>
      <c r="Z157" s="21"/>
      <c r="AA157" s="21"/>
      <c r="AB157" s="21"/>
      <c r="AC157" s="20"/>
    </row>
    <row r="158" spans="1:29" x14ac:dyDescent="0.3">
      <c r="A158" s="18"/>
      <c r="B158" s="42" t="s">
        <v>108</v>
      </c>
      <c r="C158" s="42" t="s">
        <v>110</v>
      </c>
      <c r="D158" s="42" t="str">
        <f t="shared" si="6"/>
        <v>S</v>
      </c>
      <c r="E158" s="44">
        <v>-10</v>
      </c>
      <c r="F158" s="61">
        <v>2.62</v>
      </c>
      <c r="G158" s="61">
        <v>2.6</v>
      </c>
      <c r="H158" s="65">
        <f t="shared" si="7"/>
        <v>20.000000000000018</v>
      </c>
      <c r="I158" s="44">
        <v>-575.79999999999995</v>
      </c>
      <c r="J158" s="21"/>
      <c r="K158" s="21"/>
      <c r="L158" s="21"/>
      <c r="M158" s="21"/>
      <c r="N158" s="21"/>
      <c r="O158" s="21"/>
      <c r="P158" s="21"/>
      <c r="Q158" s="21"/>
      <c r="R158" s="21"/>
      <c r="S158" s="21"/>
      <c r="T158" s="21"/>
      <c r="U158" s="21"/>
      <c r="V158" s="21"/>
      <c r="W158" s="21"/>
      <c r="X158" s="21"/>
      <c r="Y158" s="21"/>
      <c r="Z158" s="21"/>
      <c r="AA158" s="21"/>
      <c r="AB158" s="21"/>
      <c r="AC158" s="20"/>
    </row>
    <row r="159" spans="1:29" x14ac:dyDescent="0.3">
      <c r="A159" s="18"/>
      <c r="B159" s="42" t="s">
        <v>106</v>
      </c>
      <c r="C159" s="42" t="s">
        <v>113</v>
      </c>
      <c r="D159" s="42" t="str">
        <f t="shared" si="6"/>
        <v>B</v>
      </c>
      <c r="E159" s="44">
        <v>700</v>
      </c>
      <c r="F159" s="61">
        <v>141.97999999999999</v>
      </c>
      <c r="G159" s="61">
        <v>141.97</v>
      </c>
      <c r="H159" s="65">
        <f t="shared" si="7"/>
        <v>-6.9999999999936335</v>
      </c>
      <c r="I159" s="44">
        <v>700</v>
      </c>
      <c r="J159" s="21"/>
      <c r="K159" s="21"/>
      <c r="L159" s="21"/>
      <c r="M159" s="21"/>
      <c r="N159" s="21"/>
      <c r="O159" s="21"/>
      <c r="P159" s="21"/>
      <c r="Q159" s="21"/>
      <c r="R159" s="21"/>
      <c r="S159" s="21"/>
      <c r="T159" s="21"/>
      <c r="U159" s="21"/>
      <c r="V159" s="21"/>
      <c r="W159" s="21"/>
      <c r="X159" s="21"/>
      <c r="Y159" s="21"/>
      <c r="Z159" s="21"/>
      <c r="AA159" s="21"/>
      <c r="AB159" s="21"/>
      <c r="AC159" s="20"/>
    </row>
    <row r="160" spans="1:29" x14ac:dyDescent="0.3">
      <c r="A160" s="18"/>
      <c r="B160" s="42" t="s">
        <v>108</v>
      </c>
      <c r="C160" s="42" t="s">
        <v>110</v>
      </c>
      <c r="D160" s="42" t="str">
        <f t="shared" si="6"/>
        <v>S</v>
      </c>
      <c r="E160" s="44">
        <v>-40</v>
      </c>
      <c r="F160" s="61">
        <v>2.61</v>
      </c>
      <c r="G160" s="61">
        <v>2.6</v>
      </c>
      <c r="H160" s="65">
        <f t="shared" si="7"/>
        <v>39.999999999999147</v>
      </c>
      <c r="I160" s="44">
        <v>-2303.1999999999998</v>
      </c>
      <c r="J160" s="21"/>
      <c r="K160" s="21"/>
      <c r="L160" s="21"/>
      <c r="M160" s="21"/>
      <c r="N160" s="21"/>
      <c r="O160" s="21"/>
      <c r="P160" s="21"/>
      <c r="Q160" s="21"/>
      <c r="R160" s="21"/>
      <c r="S160" s="21"/>
      <c r="T160" s="21"/>
      <c r="U160" s="21"/>
      <c r="V160" s="21"/>
      <c r="W160" s="21"/>
      <c r="X160" s="21"/>
      <c r="Y160" s="21"/>
      <c r="Z160" s="21"/>
      <c r="AA160" s="21"/>
      <c r="AB160" s="21"/>
      <c r="AC160" s="20"/>
    </row>
    <row r="161" spans="1:29" x14ac:dyDescent="0.3">
      <c r="A161" s="18"/>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0"/>
    </row>
    <row r="162" spans="1:29" x14ac:dyDescent="0.3">
      <c r="A162" s="18"/>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0"/>
    </row>
    <row r="163" spans="1:29" x14ac:dyDescent="0.3">
      <c r="A163" s="18"/>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0"/>
    </row>
    <row r="164" spans="1:29" x14ac:dyDescent="0.3">
      <c r="A164" s="18"/>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0"/>
    </row>
    <row r="165" spans="1:29" x14ac:dyDescent="0.3">
      <c r="A165" s="18"/>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0"/>
    </row>
    <row r="166" spans="1:29" x14ac:dyDescent="0.3">
      <c r="A166" s="18"/>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0"/>
    </row>
    <row r="167" spans="1:29" x14ac:dyDescent="0.3">
      <c r="A167" s="18"/>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0"/>
    </row>
    <row r="168" spans="1:29" x14ac:dyDescent="0.3">
      <c r="A168" s="490" t="s">
        <v>124</v>
      </c>
      <c r="B168" s="491"/>
      <c r="C168" s="491"/>
      <c r="D168" s="491"/>
      <c r="E168" s="491"/>
      <c r="F168" s="491"/>
      <c r="G168" s="491"/>
      <c r="H168" s="491"/>
      <c r="I168" s="491"/>
      <c r="J168" s="491"/>
      <c r="K168" s="491"/>
      <c r="L168" s="491"/>
      <c r="M168" s="491"/>
      <c r="N168" s="491"/>
      <c r="O168" s="491"/>
      <c r="P168" s="491"/>
      <c r="Q168" s="491"/>
      <c r="R168" s="491"/>
      <c r="S168" s="491"/>
      <c r="T168" s="491"/>
      <c r="U168" s="491"/>
      <c r="V168" s="491"/>
      <c r="W168" s="491"/>
      <c r="X168" s="491"/>
      <c r="Y168" s="491"/>
      <c r="Z168" s="491"/>
      <c r="AA168" s="491"/>
      <c r="AB168" s="21"/>
      <c r="AC168" s="20"/>
    </row>
    <row r="169" spans="1:29" x14ac:dyDescent="0.3">
      <c r="A169" s="18"/>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0"/>
    </row>
    <row r="170" spans="1:29" x14ac:dyDescent="0.3">
      <c r="A170" s="18"/>
      <c r="B170" s="535" t="s">
        <v>121</v>
      </c>
      <c r="C170" s="45" t="str">
        <f t="array" ref="C170:P177">TRANSPOSE(B7:I20)</f>
        <v>Symbol</v>
      </c>
      <c r="D170" s="79" t="str">
        <v>AAPL Jun17 140P</v>
      </c>
      <c r="E170" s="79" t="str">
        <v>IBM Jun17 160C</v>
      </c>
      <c r="F170" s="79" t="str">
        <v>IBM</v>
      </c>
      <c r="G170" s="79" t="str">
        <v>IBM</v>
      </c>
      <c r="H170" s="79" t="str">
        <v>AAPL</v>
      </c>
      <c r="I170" s="79" t="str">
        <v>AAPL</v>
      </c>
      <c r="J170" s="79" t="str">
        <v>AAPL</v>
      </c>
      <c r="K170" s="79" t="str">
        <v>IBM</v>
      </c>
      <c r="L170" s="79" t="str">
        <v>AAPL</v>
      </c>
      <c r="M170" s="79" t="str">
        <v>IBM</v>
      </c>
      <c r="N170" s="79" t="str">
        <v>IBM Jun17 160C</v>
      </c>
      <c r="O170" s="79" t="str">
        <v>AAPL</v>
      </c>
      <c r="P170" s="79" t="str">
        <v>IBM Jun17 160C</v>
      </c>
      <c r="Q170" s="21"/>
      <c r="R170" s="21"/>
      <c r="S170" s="21"/>
      <c r="T170" s="21"/>
      <c r="U170" s="21"/>
      <c r="V170" s="21"/>
      <c r="W170" s="21"/>
      <c r="X170" s="21"/>
      <c r="Y170" s="21"/>
      <c r="Z170" s="21"/>
      <c r="AA170" s="21"/>
      <c r="AB170" s="21"/>
      <c r="AC170" s="20"/>
    </row>
    <row r="171" spans="1:29" x14ac:dyDescent="0.3">
      <c r="A171" s="18"/>
      <c r="B171" s="535"/>
      <c r="C171" s="45" t="str">
        <v>Broker</v>
      </c>
      <c r="D171" s="79" t="str">
        <v>BROKER_B</v>
      </c>
      <c r="E171" s="79" t="str">
        <v>BOB_THE_BROKER</v>
      </c>
      <c r="F171" s="79" t="str">
        <v>BROKER_A</v>
      </c>
      <c r="G171" s="79" t="str">
        <v>BROKER_A</v>
      </c>
      <c r="H171" s="79" t="str">
        <v>BROKER_B</v>
      </c>
      <c r="I171" s="79" t="str">
        <v>BROKER_B</v>
      </c>
      <c r="J171" s="79" t="str">
        <v>BROKER_B</v>
      </c>
      <c r="K171" s="79" t="str">
        <v>BROKER_A</v>
      </c>
      <c r="L171" s="79" t="str">
        <v>BROKER_B</v>
      </c>
      <c r="M171" s="79" t="str">
        <v>BROKER_A</v>
      </c>
      <c r="N171" s="79" t="str">
        <v>BOB_THE_BROKER</v>
      </c>
      <c r="O171" s="79" t="str">
        <v>BROKER_B</v>
      </c>
      <c r="P171" s="79" t="str">
        <v>BOB_THE_BROKER</v>
      </c>
      <c r="Q171" s="21"/>
      <c r="R171" s="21"/>
      <c r="S171" s="21"/>
      <c r="T171" s="21"/>
      <c r="U171" s="21"/>
      <c r="V171" s="21"/>
      <c r="W171" s="21"/>
      <c r="X171" s="21"/>
      <c r="Y171" s="21"/>
      <c r="Z171" s="21"/>
      <c r="AA171" s="21"/>
      <c r="AB171" s="21"/>
      <c r="AC171" s="20"/>
    </row>
    <row r="172" spans="1:29" x14ac:dyDescent="0.3">
      <c r="A172" s="18"/>
      <c r="B172" s="535"/>
      <c r="C172" s="45" t="str">
        <v>Side</v>
      </c>
      <c r="D172" s="79" t="str">
        <v>B</v>
      </c>
      <c r="E172" s="79" t="str">
        <v>B</v>
      </c>
      <c r="F172" s="79" t="str">
        <v>S</v>
      </c>
      <c r="G172" s="79" t="str">
        <v>S</v>
      </c>
      <c r="H172" s="79" t="str">
        <v>B</v>
      </c>
      <c r="I172" s="79" t="str">
        <v>B</v>
      </c>
      <c r="J172" s="79" t="str">
        <v>B</v>
      </c>
      <c r="K172" s="79" t="str">
        <v>B</v>
      </c>
      <c r="L172" s="79" t="str">
        <v>B</v>
      </c>
      <c r="M172" s="79" t="str">
        <v>B</v>
      </c>
      <c r="N172" s="79" t="str">
        <v>S</v>
      </c>
      <c r="O172" s="79" t="str">
        <v>B</v>
      </c>
      <c r="P172" s="79" t="str">
        <v>S</v>
      </c>
      <c r="Q172" s="21"/>
      <c r="R172" s="21"/>
      <c r="S172" s="21"/>
      <c r="T172" s="21"/>
      <c r="U172" s="21"/>
      <c r="V172" s="21"/>
      <c r="W172" s="21"/>
      <c r="X172" s="21"/>
      <c r="Y172" s="21"/>
      <c r="Z172" s="21"/>
      <c r="AA172" s="21"/>
      <c r="AB172" s="21"/>
      <c r="AC172" s="20"/>
    </row>
    <row r="173" spans="1:29" x14ac:dyDescent="0.3">
      <c r="A173" s="18"/>
      <c r="B173" s="535"/>
      <c r="C173" s="45" t="str">
        <v>Quantity</v>
      </c>
      <c r="D173" s="80">
        <v>100</v>
      </c>
      <c r="E173" s="80">
        <v>50</v>
      </c>
      <c r="F173" s="80">
        <v>-3000</v>
      </c>
      <c r="G173" s="80">
        <v>-100</v>
      </c>
      <c r="H173" s="80">
        <v>1500</v>
      </c>
      <c r="I173" s="80">
        <v>100</v>
      </c>
      <c r="J173" s="80">
        <v>300</v>
      </c>
      <c r="K173" s="80">
        <v>100</v>
      </c>
      <c r="L173" s="80">
        <v>600</v>
      </c>
      <c r="M173" s="80">
        <v>100</v>
      </c>
      <c r="N173" s="80">
        <v>-10</v>
      </c>
      <c r="O173" s="80">
        <v>700</v>
      </c>
      <c r="P173" s="80">
        <v>-40</v>
      </c>
      <c r="Q173" s="21"/>
      <c r="R173" s="21"/>
      <c r="S173" s="21"/>
      <c r="T173" s="21"/>
      <c r="U173" s="21"/>
      <c r="V173" s="21"/>
      <c r="W173" s="21"/>
      <c r="X173" s="21"/>
      <c r="Y173" s="21"/>
      <c r="Z173" s="21"/>
      <c r="AA173" s="21"/>
      <c r="AB173" s="21"/>
      <c r="AC173" s="20"/>
    </row>
    <row r="174" spans="1:29" x14ac:dyDescent="0.3">
      <c r="A174" s="18"/>
      <c r="B174" s="535"/>
      <c r="C174" s="45" t="str">
        <v>Trade Price</v>
      </c>
      <c r="D174" s="81">
        <v>4.3</v>
      </c>
      <c r="E174" s="81">
        <v>2.65</v>
      </c>
      <c r="F174" s="81">
        <v>159.49</v>
      </c>
      <c r="G174" s="81">
        <v>159.5</v>
      </c>
      <c r="H174" s="81">
        <v>142.02000000000001</v>
      </c>
      <c r="I174" s="81">
        <v>142.02000000000001</v>
      </c>
      <c r="J174" s="81">
        <v>142.02000000000001</v>
      </c>
      <c r="K174" s="81">
        <v>159.4</v>
      </c>
      <c r="L174" s="81">
        <v>142.02000000000001</v>
      </c>
      <c r="M174" s="81">
        <v>159.4</v>
      </c>
      <c r="N174" s="81">
        <v>2.62</v>
      </c>
      <c r="O174" s="81">
        <v>141.97999999999999</v>
      </c>
      <c r="P174" s="81">
        <v>2.61</v>
      </c>
      <c r="Q174" s="21"/>
      <c r="R174" s="21"/>
      <c r="S174" s="21"/>
      <c r="T174" s="21"/>
      <c r="U174" s="21"/>
      <c r="V174" s="21"/>
      <c r="W174" s="21"/>
      <c r="X174" s="21"/>
      <c r="Y174" s="21"/>
      <c r="Z174" s="21"/>
      <c r="AA174" s="21"/>
      <c r="AB174" s="21"/>
      <c r="AC174" s="20"/>
    </row>
    <row r="175" spans="1:29" x14ac:dyDescent="0.3">
      <c r="A175" s="18"/>
      <c r="B175" s="535"/>
      <c r="C175" s="45" t="str">
        <v>Current Price</v>
      </c>
      <c r="D175" s="81">
        <v>4.3099999999999996</v>
      </c>
      <c r="E175" s="81">
        <v>2.6</v>
      </c>
      <c r="F175" s="81">
        <v>159.37</v>
      </c>
      <c r="G175" s="81">
        <v>159.37</v>
      </c>
      <c r="H175" s="81">
        <v>141.97</v>
      </c>
      <c r="I175" s="81">
        <v>141.97</v>
      </c>
      <c r="J175" s="81">
        <v>141.97</v>
      </c>
      <c r="K175" s="81">
        <v>159.37</v>
      </c>
      <c r="L175" s="81">
        <v>141.97</v>
      </c>
      <c r="M175" s="81">
        <v>159.37</v>
      </c>
      <c r="N175" s="81">
        <v>2.6</v>
      </c>
      <c r="O175" s="81">
        <v>141.97</v>
      </c>
      <c r="P175" s="81">
        <v>2.6</v>
      </c>
      <c r="Q175" s="21"/>
      <c r="R175" s="21"/>
      <c r="S175" s="21"/>
      <c r="T175" s="21"/>
      <c r="U175" s="21"/>
      <c r="V175" s="21"/>
      <c r="W175" s="21"/>
      <c r="X175" s="21"/>
      <c r="Y175" s="21"/>
      <c r="Z175" s="21"/>
      <c r="AA175" s="21"/>
      <c r="AB175" s="21"/>
      <c r="AC175" s="20"/>
    </row>
    <row r="176" spans="1:29" x14ac:dyDescent="0.3">
      <c r="A176" s="18"/>
      <c r="B176" s="535"/>
      <c r="C176" s="45" t="str">
        <v>P&amp;L</v>
      </c>
      <c r="D176" s="80">
        <v>99.999999999997868</v>
      </c>
      <c r="E176" s="80">
        <v>-249.99999999999912</v>
      </c>
      <c r="F176" s="80">
        <v>360.00000000001364</v>
      </c>
      <c r="G176" s="80">
        <v>12.999999999999545</v>
      </c>
      <c r="H176" s="80">
        <v>-75.000000000017053</v>
      </c>
      <c r="I176" s="80">
        <v>-5.0000000000011369</v>
      </c>
      <c r="J176" s="80">
        <v>-15.000000000003411</v>
      </c>
      <c r="K176" s="80">
        <v>-3.0000000000001137</v>
      </c>
      <c r="L176" s="80">
        <v>-30.000000000006821</v>
      </c>
      <c r="M176" s="80">
        <v>-3.0000000000001137</v>
      </c>
      <c r="N176" s="80">
        <v>20.000000000000018</v>
      </c>
      <c r="O176" s="80">
        <v>-6.9999999999936335</v>
      </c>
      <c r="P176" s="80">
        <v>39.999999999999147</v>
      </c>
      <c r="Q176" s="21"/>
      <c r="R176" s="21"/>
      <c r="S176" s="21"/>
      <c r="T176" s="21"/>
      <c r="U176" s="21"/>
      <c r="V176" s="21"/>
      <c r="W176" s="21"/>
      <c r="X176" s="21"/>
      <c r="Y176" s="21"/>
      <c r="Z176" s="21"/>
      <c r="AA176" s="21"/>
      <c r="AB176" s="21"/>
      <c r="AC176" s="20"/>
    </row>
    <row r="177" spans="1:29" x14ac:dyDescent="0.3">
      <c r="A177" s="18"/>
      <c r="B177" s="535"/>
      <c r="C177" s="45" t="str">
        <v>Current Delta</v>
      </c>
      <c r="D177" s="80">
        <v>-3215</v>
      </c>
      <c r="E177" s="80">
        <v>2879</v>
      </c>
      <c r="F177" s="80">
        <v>-3000</v>
      </c>
      <c r="G177" s="80">
        <v>-100</v>
      </c>
      <c r="H177" s="80">
        <v>1500</v>
      </c>
      <c r="I177" s="80">
        <v>100</v>
      </c>
      <c r="J177" s="80">
        <v>300</v>
      </c>
      <c r="K177" s="80">
        <v>100</v>
      </c>
      <c r="L177" s="80">
        <v>600</v>
      </c>
      <c r="M177" s="80">
        <v>100</v>
      </c>
      <c r="N177" s="80">
        <v>-575.79999999999995</v>
      </c>
      <c r="O177" s="80">
        <v>700</v>
      </c>
      <c r="P177" s="80">
        <v>-2303.1999999999998</v>
      </c>
      <c r="Q177" s="21"/>
      <c r="R177" s="21"/>
      <c r="S177" s="21"/>
      <c r="T177" s="21"/>
      <c r="U177" s="21"/>
      <c r="V177" s="21"/>
      <c r="W177" s="21"/>
      <c r="X177" s="21"/>
      <c r="Y177" s="21"/>
      <c r="Z177" s="21"/>
      <c r="AA177" s="21"/>
      <c r="AB177" s="21"/>
      <c r="AC177" s="20"/>
    </row>
    <row r="178" spans="1:29" ht="15" thickBot="1" x14ac:dyDescent="0.35">
      <c r="A178" s="18"/>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0"/>
    </row>
    <row r="179" spans="1:29" ht="15" thickBot="1" x14ac:dyDescent="0.35">
      <c r="A179" s="18"/>
      <c r="B179" s="21"/>
      <c r="C179" s="21"/>
      <c r="D179" s="21"/>
      <c r="E179" s="21"/>
      <c r="F179" s="21"/>
      <c r="G179" s="21"/>
      <c r="H179" s="21"/>
      <c r="I179" s="21"/>
      <c r="J179" s="21"/>
      <c r="K179" s="21"/>
      <c r="L179" s="475" t="s">
        <v>3392</v>
      </c>
      <c r="M179" s="475"/>
      <c r="N179" s="475"/>
      <c r="O179" s="475"/>
      <c r="P179" s="475"/>
      <c r="Q179" s="475"/>
      <c r="R179" s="475"/>
      <c r="S179" s="475"/>
      <c r="T179" s="475"/>
      <c r="U179" s="21"/>
      <c r="V179" s="532" t="s">
        <v>118</v>
      </c>
      <c r="W179" s="533"/>
      <c r="X179" s="533"/>
      <c r="Y179" s="534"/>
      <c r="Z179" s="21"/>
      <c r="AA179" s="21"/>
      <c r="AB179" s="21"/>
      <c r="AC179" s="20"/>
    </row>
    <row r="180" spans="1:29" x14ac:dyDescent="0.3">
      <c r="A180" s="18"/>
      <c r="B180" s="21"/>
      <c r="C180" s="21"/>
      <c r="D180" s="21"/>
      <c r="E180" s="21"/>
      <c r="F180" s="21"/>
      <c r="G180" s="21"/>
      <c r="H180" s="21"/>
      <c r="I180" s="21"/>
      <c r="J180" s="21"/>
      <c r="K180" s="21"/>
      <c r="L180" s="3" t="str">
        <f t="array" ref="L180:T188">_xll.U.HAGGREGATE(C170:P177,V181:V185,W181:W185,X181:Y185,,,TRUE)</f>
        <v>Symbol</v>
      </c>
      <c r="M180" s="30" t="str">
        <v>AAPL Jun17 140P</v>
      </c>
      <c r="N180" s="30" t="str">
        <v>IBM Jun17 160C</v>
      </c>
      <c r="O180" s="30" t="str">
        <v>IBM</v>
      </c>
      <c r="P180" s="30" t="str">
        <v>AAPL</v>
      </c>
      <c r="Q180" s="30" t="str">
        <v>IBM</v>
      </c>
      <c r="R180" s="30" t="str">
        <v>IBM Jun17 160C</v>
      </c>
      <c r="S180" s="30" t="e">
        <v>#N/A</v>
      </c>
      <c r="T180" s="30" t="e">
        <v>#N/A</v>
      </c>
      <c r="U180" s="21"/>
      <c r="V180" s="62" t="s">
        <v>114</v>
      </c>
      <c r="W180" s="62" t="s">
        <v>115</v>
      </c>
      <c r="X180" s="63" t="s">
        <v>116</v>
      </c>
      <c r="Y180" s="64" t="s">
        <v>117</v>
      </c>
      <c r="Z180" s="21"/>
      <c r="AA180" s="21"/>
      <c r="AB180" s="21"/>
      <c r="AC180" s="20"/>
    </row>
    <row r="181" spans="1:29" x14ac:dyDescent="0.3">
      <c r="A181" s="18"/>
      <c r="B181" s="21"/>
      <c r="C181" s="21"/>
      <c r="D181" s="21"/>
      <c r="E181" s="21"/>
      <c r="F181" s="21"/>
      <c r="G181" s="21"/>
      <c r="H181" s="21"/>
      <c r="I181" s="21"/>
      <c r="J181" s="21"/>
      <c r="K181" s="21"/>
      <c r="L181" s="3" t="str">
        <v>Broker</v>
      </c>
      <c r="M181" s="30" t="str">
        <v>BROKER_B</v>
      </c>
      <c r="N181" s="30" t="str">
        <v>BOB_THE_BROKER</v>
      </c>
      <c r="O181" s="36" t="str">
        <v>BROKER_A</v>
      </c>
      <c r="P181" s="35" t="str">
        <v>BROKER_B</v>
      </c>
      <c r="Q181" s="35" t="str">
        <v>BROKER_A</v>
      </c>
      <c r="R181" s="66" t="str">
        <v>BOB_THE_BROKER</v>
      </c>
      <c r="S181" s="36" t="e">
        <v>#N/A</v>
      </c>
      <c r="T181" s="36" t="e">
        <v>#N/A</v>
      </c>
      <c r="U181" s="21"/>
      <c r="V181" s="73" t="s">
        <v>2</v>
      </c>
      <c r="W181" s="73" t="s">
        <v>62</v>
      </c>
      <c r="X181" s="74" t="s">
        <v>103</v>
      </c>
      <c r="Y181" s="75" t="s">
        <v>62</v>
      </c>
      <c r="Z181" s="21"/>
      <c r="AA181" s="21"/>
      <c r="AB181" s="21"/>
      <c r="AC181" s="20"/>
    </row>
    <row r="182" spans="1:29" x14ac:dyDescent="0.3">
      <c r="A182" s="18"/>
      <c r="B182" s="21"/>
      <c r="C182" s="21"/>
      <c r="D182" s="21"/>
      <c r="E182" s="21"/>
      <c r="F182" s="21"/>
      <c r="G182" s="21"/>
      <c r="H182" s="21"/>
      <c r="I182" s="21"/>
      <c r="J182" s="21"/>
      <c r="K182" s="21"/>
      <c r="L182" s="3" t="str">
        <v>Side</v>
      </c>
      <c r="M182" s="30" t="str">
        <v>B</v>
      </c>
      <c r="N182" s="30" t="str">
        <v>B</v>
      </c>
      <c r="O182" s="36" t="str">
        <v>S</v>
      </c>
      <c r="P182" s="35" t="str">
        <v>B</v>
      </c>
      <c r="Q182" s="35" t="str">
        <v>B</v>
      </c>
      <c r="R182" s="66" t="str">
        <v>S</v>
      </c>
      <c r="S182" s="36" t="e">
        <v>#N/A</v>
      </c>
      <c r="T182" s="36" t="e">
        <v>#N/A</v>
      </c>
      <c r="U182" s="21"/>
      <c r="V182" s="73" t="s">
        <v>101</v>
      </c>
      <c r="W182" s="73" t="s">
        <v>105</v>
      </c>
      <c r="X182" s="74"/>
      <c r="Y182" s="75"/>
      <c r="Z182" s="21"/>
      <c r="AA182" s="21"/>
      <c r="AB182" s="21"/>
      <c r="AC182" s="20"/>
    </row>
    <row r="183" spans="1:29" x14ac:dyDescent="0.3">
      <c r="A183" s="18"/>
      <c r="B183" s="21"/>
      <c r="C183" s="21"/>
      <c r="D183" s="21"/>
      <c r="E183" s="21"/>
      <c r="F183" s="21"/>
      <c r="G183" s="21"/>
      <c r="H183" s="21"/>
      <c r="I183" s="21"/>
      <c r="J183" s="21"/>
      <c r="K183" s="21"/>
      <c r="L183" s="3" t="str">
        <v>Quantity</v>
      </c>
      <c r="M183" s="30">
        <v>100</v>
      </c>
      <c r="N183" s="30">
        <v>50</v>
      </c>
      <c r="O183" s="36">
        <v>-3100</v>
      </c>
      <c r="P183" s="35">
        <v>3200</v>
      </c>
      <c r="Q183" s="35">
        <v>200</v>
      </c>
      <c r="R183" s="66">
        <v>-50</v>
      </c>
      <c r="S183" s="36" t="e">
        <v>#N/A</v>
      </c>
      <c r="T183" s="36" t="e">
        <v>#N/A</v>
      </c>
      <c r="U183" s="21"/>
      <c r="V183" s="73" t="s">
        <v>111</v>
      </c>
      <c r="W183" s="73" t="s">
        <v>102</v>
      </c>
      <c r="X183" s="74"/>
      <c r="Y183" s="75"/>
      <c r="Z183" s="21"/>
      <c r="AA183" s="21"/>
      <c r="AB183" s="21"/>
      <c r="AC183" s="20"/>
    </row>
    <row r="184" spans="1:29" x14ac:dyDescent="0.3">
      <c r="A184" s="18"/>
      <c r="B184" s="21"/>
      <c r="C184" s="21"/>
      <c r="D184" s="21"/>
      <c r="E184" s="21"/>
      <c r="F184" s="21"/>
      <c r="G184" s="21"/>
      <c r="H184" s="21"/>
      <c r="I184" s="21"/>
      <c r="J184" s="21"/>
      <c r="K184" s="21"/>
      <c r="L184" s="3" t="str">
        <v>Trade Price</v>
      </c>
      <c r="M184" s="30">
        <v>4.3</v>
      </c>
      <c r="N184" s="30">
        <v>2.65</v>
      </c>
      <c r="O184" s="36">
        <v>159.49032258064517</v>
      </c>
      <c r="P184" s="35">
        <v>142.01124999999999</v>
      </c>
      <c r="Q184" s="35">
        <v>159.4</v>
      </c>
      <c r="R184" s="66">
        <v>2.6120000000000001</v>
      </c>
      <c r="S184" s="36" t="e">
        <v>#N/A</v>
      </c>
      <c r="T184" s="36" t="e">
        <v>#N/A</v>
      </c>
      <c r="U184" s="21"/>
      <c r="V184" s="73"/>
      <c r="W184" s="73"/>
      <c r="X184" s="74"/>
      <c r="Y184" s="75"/>
      <c r="Z184" s="21"/>
      <c r="AA184" s="21"/>
      <c r="AB184" s="21"/>
      <c r="AC184" s="20"/>
    </row>
    <row r="185" spans="1:29" ht="15" thickBot="1" x14ac:dyDescent="0.35">
      <c r="A185" s="18"/>
      <c r="B185" s="21"/>
      <c r="C185" s="21"/>
      <c r="D185" s="21"/>
      <c r="E185" s="21"/>
      <c r="F185" s="21"/>
      <c r="G185" s="21"/>
      <c r="H185" s="21"/>
      <c r="I185" s="21"/>
      <c r="J185" s="21"/>
      <c r="K185" s="21"/>
      <c r="L185" s="3" t="str">
        <v>Current Price</v>
      </c>
      <c r="M185" s="30">
        <v>4.3099999999999996</v>
      </c>
      <c r="N185" s="30">
        <v>2.6</v>
      </c>
      <c r="O185" s="36">
        <v>159.37</v>
      </c>
      <c r="P185" s="35">
        <v>141.97</v>
      </c>
      <c r="Q185" s="35">
        <v>159.37</v>
      </c>
      <c r="R185" s="66">
        <v>2.6</v>
      </c>
      <c r="S185" s="36" t="e">
        <v>#N/A</v>
      </c>
      <c r="T185" s="36" t="e">
        <v>#N/A</v>
      </c>
      <c r="U185" s="21"/>
      <c r="V185" s="76"/>
      <c r="W185" s="76"/>
      <c r="X185" s="77"/>
      <c r="Y185" s="78"/>
      <c r="Z185" s="21"/>
      <c r="AA185" s="21"/>
      <c r="AB185" s="21"/>
      <c r="AC185" s="20"/>
    </row>
    <row r="186" spans="1:29" x14ac:dyDescent="0.3">
      <c r="A186" s="18"/>
      <c r="B186" s="21"/>
      <c r="C186" s="21"/>
      <c r="D186" s="21"/>
      <c r="E186" s="21"/>
      <c r="F186" s="21"/>
      <c r="G186" s="21"/>
      <c r="H186" s="21"/>
      <c r="I186" s="21"/>
      <c r="J186" s="21"/>
      <c r="K186" s="21"/>
      <c r="L186" s="3" t="str">
        <v>P&amp;L</v>
      </c>
      <c r="M186" s="30">
        <v>99.999999999997868</v>
      </c>
      <c r="N186" s="30">
        <v>-249.99999999999912</v>
      </c>
      <c r="O186" s="36">
        <v>373.00000000001319</v>
      </c>
      <c r="P186" s="35">
        <v>-132.00000000002206</v>
      </c>
      <c r="Q186" s="35">
        <v>-6.0000000000002274</v>
      </c>
      <c r="R186" s="66">
        <v>59.999999999999162</v>
      </c>
      <c r="S186" s="36" t="e">
        <v>#N/A</v>
      </c>
      <c r="T186" s="36" t="e">
        <v>#N/A</v>
      </c>
      <c r="U186" s="21"/>
      <c r="V186" s="21"/>
      <c r="W186" s="21"/>
      <c r="X186" s="21"/>
      <c r="Y186" s="21"/>
      <c r="Z186" s="21"/>
      <c r="AA186" s="21"/>
      <c r="AB186" s="21"/>
      <c r="AC186" s="20"/>
    </row>
    <row r="187" spans="1:29" x14ac:dyDescent="0.3">
      <c r="A187" s="18"/>
      <c r="B187" s="21"/>
      <c r="C187" s="21"/>
      <c r="D187" s="21"/>
      <c r="E187" s="21"/>
      <c r="F187" s="21"/>
      <c r="G187" s="21"/>
      <c r="H187" s="21"/>
      <c r="I187" s="21"/>
      <c r="J187" s="21"/>
      <c r="K187" s="21"/>
      <c r="L187" s="3" t="str">
        <v>Current Delta</v>
      </c>
      <c r="M187" s="30">
        <v>-3215</v>
      </c>
      <c r="N187" s="30">
        <v>2879</v>
      </c>
      <c r="O187" s="36">
        <v>-3100</v>
      </c>
      <c r="P187" s="35">
        <v>3200</v>
      </c>
      <c r="Q187" s="35">
        <v>200</v>
      </c>
      <c r="R187" s="66">
        <v>-2879</v>
      </c>
      <c r="S187" s="36" t="e">
        <v>#N/A</v>
      </c>
      <c r="T187" s="36" t="e">
        <v>#N/A</v>
      </c>
      <c r="U187" s="21"/>
      <c r="V187" s="21"/>
      <c r="W187" s="21"/>
      <c r="X187" s="21"/>
      <c r="Y187" s="21"/>
      <c r="Z187" s="21"/>
      <c r="AA187" s="21"/>
      <c r="AB187" s="21"/>
      <c r="AC187" s="20"/>
    </row>
    <row r="188" spans="1:29" x14ac:dyDescent="0.3">
      <c r="A188" s="18"/>
      <c r="B188" s="21"/>
      <c r="C188" s="21"/>
      <c r="D188" s="21"/>
      <c r="E188" s="21"/>
      <c r="F188" s="21"/>
      <c r="G188" s="21"/>
      <c r="H188" s="21"/>
      <c r="I188" s="21"/>
      <c r="J188" s="21"/>
      <c r="K188" s="21"/>
      <c r="L188" s="3" t="str">
        <v>Num Aggregated</v>
      </c>
      <c r="M188" s="30">
        <v>1</v>
      </c>
      <c r="N188" s="30">
        <v>1</v>
      </c>
      <c r="O188" s="36">
        <v>2</v>
      </c>
      <c r="P188" s="35">
        <v>5</v>
      </c>
      <c r="Q188" s="35">
        <v>2</v>
      </c>
      <c r="R188" s="66">
        <v>2</v>
      </c>
      <c r="S188" s="36" t="e">
        <v>#N/A</v>
      </c>
      <c r="T188" s="36" t="e">
        <v>#N/A</v>
      </c>
      <c r="U188" s="21"/>
      <c r="V188" s="21"/>
      <c r="W188" s="21"/>
      <c r="X188" s="21"/>
      <c r="Y188" s="21"/>
      <c r="Z188" s="21"/>
      <c r="AA188" s="21"/>
      <c r="AB188" s="21"/>
      <c r="AC188" s="20"/>
    </row>
    <row r="189" spans="1:29" x14ac:dyDescent="0.3">
      <c r="A189" s="18"/>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0"/>
    </row>
    <row r="190" spans="1:29" x14ac:dyDescent="0.3">
      <c r="A190" s="18"/>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0"/>
    </row>
    <row r="191" spans="1:29" x14ac:dyDescent="0.3">
      <c r="A191" s="18"/>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0"/>
    </row>
    <row r="192" spans="1:29" ht="15" thickBot="1" x14ac:dyDescent="0.35">
      <c r="A192" s="2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4"/>
    </row>
  </sheetData>
  <mergeCells count="54">
    <mergeCell ref="A168:AA168"/>
    <mergeCell ref="B170:B177"/>
    <mergeCell ref="L179:T179"/>
    <mergeCell ref="V179:Y179"/>
    <mergeCell ref="L112:T112"/>
    <mergeCell ref="B127:I127"/>
    <mergeCell ref="B146:I146"/>
    <mergeCell ref="L146:T146"/>
    <mergeCell ref="V146:Y146"/>
    <mergeCell ref="B100:I100"/>
    <mergeCell ref="V100:Y100"/>
    <mergeCell ref="L86:T86"/>
    <mergeCell ref="V86:Y86"/>
    <mergeCell ref="V63:Y63"/>
    <mergeCell ref="L63:T63"/>
    <mergeCell ref="B6:I6"/>
    <mergeCell ref="A3:AA3"/>
    <mergeCell ref="L6:T6"/>
    <mergeCell ref="V6:Y6"/>
    <mergeCell ref="L20:T20"/>
    <mergeCell ref="V20:Y20"/>
    <mergeCell ref="AE3:AN3"/>
    <mergeCell ref="AE4:AF6"/>
    <mergeCell ref="AG4:AN6"/>
    <mergeCell ref="AE7:AF7"/>
    <mergeCell ref="AG7:AM7"/>
    <mergeCell ref="AE8:AF10"/>
    <mergeCell ref="AG8:AM10"/>
    <mergeCell ref="AN8:AN10"/>
    <mergeCell ref="AE11:AF13"/>
    <mergeCell ref="AG11:AM13"/>
    <mergeCell ref="AN11:AN13"/>
    <mergeCell ref="AE14:AF16"/>
    <mergeCell ref="AG14:AM16"/>
    <mergeCell ref="AN14:AN16"/>
    <mergeCell ref="AE17:AF19"/>
    <mergeCell ref="AG17:AM19"/>
    <mergeCell ref="AN17:AN19"/>
    <mergeCell ref="AE20:AF22"/>
    <mergeCell ref="AG20:AM22"/>
    <mergeCell ref="AN20:AN22"/>
    <mergeCell ref="AE23:AF25"/>
    <mergeCell ref="AG23:AM25"/>
    <mergeCell ref="AN23:AN25"/>
    <mergeCell ref="AE26:AF28"/>
    <mergeCell ref="AG26:AM28"/>
    <mergeCell ref="AN26:AN28"/>
    <mergeCell ref="L34:S34"/>
    <mergeCell ref="L127:S127"/>
    <mergeCell ref="X34:Y34"/>
    <mergeCell ref="X48:Y48"/>
    <mergeCell ref="L48:N48"/>
    <mergeCell ref="Q48:S48"/>
    <mergeCell ref="L100:T100"/>
  </mergeCells>
  <pageMargins left="0.7" right="0.7" top="0.75" bottom="0.75" header="0.3" footer="0.3"/>
  <pageSetup orientation="portrait" r:id="rId1"/>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0"/>
  <dimension ref="A1:Z144"/>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35.44140625" bestFit="1" customWidth="1"/>
    <col min="4" max="4" width="17.44140625" customWidth="1"/>
    <col min="5" max="5" width="29.44140625" customWidth="1"/>
    <col min="6" max="6" width="16.77734375" customWidth="1"/>
    <col min="10" max="11" width="11.77734375" customWidth="1"/>
    <col min="15" max="15" width="16.5546875" customWidth="1"/>
    <col min="17" max="18" width="15" customWidth="1"/>
    <col min="19" max="25" width="17.21875" customWidth="1"/>
    <col min="26" max="26" width="15" customWidth="1"/>
  </cols>
  <sheetData>
    <row r="1" spans="1:26" ht="34.5" customHeight="1" thickBot="1" x14ac:dyDescent="0.35">
      <c r="A1" s="292" t="s">
        <v>1580</v>
      </c>
      <c r="B1" s="473" t="e" vm="1">
        <v>#VALUE!</v>
      </c>
      <c r="C1" s="8" t="s">
        <v>1291</v>
      </c>
      <c r="D1" s="29"/>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18"/>
      <c r="B3" s="21"/>
      <c r="C3" s="21"/>
      <c r="D3" s="26"/>
      <c r="E3" s="21"/>
      <c r="F3" s="21"/>
      <c r="G3" s="21"/>
      <c r="H3" s="21"/>
      <c r="I3" s="21"/>
      <c r="J3" s="21"/>
      <c r="K3" s="21"/>
      <c r="L3" s="21"/>
      <c r="M3" s="21"/>
      <c r="N3" s="21"/>
      <c r="O3" s="20"/>
      <c r="Q3" s="486" t="s">
        <v>3579</v>
      </c>
      <c r="R3" s="486"/>
      <c r="S3" s="486"/>
      <c r="T3" s="486"/>
      <c r="U3" s="486"/>
      <c r="V3" s="486"/>
      <c r="W3" s="486"/>
      <c r="X3" s="486"/>
      <c r="Y3" s="486"/>
      <c r="Z3" s="486"/>
    </row>
    <row r="4" spans="1:26" x14ac:dyDescent="0.3">
      <c r="A4" s="18"/>
      <c r="B4" s="85" t="s">
        <v>1294</v>
      </c>
      <c r="C4" s="21"/>
      <c r="D4" s="21"/>
      <c r="E4" s="179" t="s">
        <v>3579</v>
      </c>
      <c r="F4" s="21"/>
      <c r="G4" s="21"/>
      <c r="H4" s="21"/>
      <c r="I4" s="21"/>
      <c r="J4" s="21"/>
      <c r="K4" s="159"/>
      <c r="L4" s="21"/>
      <c r="M4" s="21"/>
      <c r="N4" s="21"/>
      <c r="O4" s="20"/>
      <c r="Q4" s="487" t="s">
        <v>333</v>
      </c>
      <c r="R4" s="487"/>
      <c r="S4" s="487" t="s">
        <v>1807</v>
      </c>
      <c r="T4" s="487"/>
      <c r="U4" s="487"/>
      <c r="V4" s="487"/>
      <c r="W4" s="487"/>
      <c r="X4" s="487"/>
      <c r="Y4" s="487"/>
      <c r="Z4" s="487"/>
    </row>
    <row r="5" spans="1:26" x14ac:dyDescent="0.3">
      <c r="A5" s="18"/>
      <c r="B5" s="181" t="s">
        <v>1293</v>
      </c>
      <c r="C5" s="21"/>
      <c r="D5" s="21"/>
      <c r="E5" s="189" t="s">
        <v>3580</v>
      </c>
      <c r="F5" s="21"/>
      <c r="G5" s="21"/>
      <c r="H5" s="21"/>
      <c r="I5" s="21"/>
      <c r="J5" s="21"/>
      <c r="K5" s="159"/>
      <c r="L5" s="21"/>
      <c r="M5" s="21"/>
      <c r="N5" s="21"/>
      <c r="O5" s="20"/>
      <c r="Q5" s="487"/>
      <c r="R5" s="487"/>
      <c r="S5" s="487"/>
      <c r="T5" s="487"/>
      <c r="U5" s="487"/>
      <c r="V5" s="487"/>
      <c r="W5" s="487"/>
      <c r="X5" s="487"/>
      <c r="Y5" s="487"/>
      <c r="Z5" s="487"/>
    </row>
    <row r="6" spans="1:26" x14ac:dyDescent="0.3">
      <c r="A6" s="18"/>
      <c r="B6" s="181" t="s">
        <v>1292</v>
      </c>
      <c r="C6" s="21"/>
      <c r="D6" s="21"/>
      <c r="E6" s="21"/>
      <c r="F6" s="21"/>
      <c r="G6" s="21"/>
      <c r="H6" s="21"/>
      <c r="I6" s="21"/>
      <c r="J6" s="21"/>
      <c r="K6" s="21"/>
      <c r="L6" s="21"/>
      <c r="M6" s="21"/>
      <c r="N6" s="21"/>
      <c r="O6" s="20"/>
      <c r="Q6" s="487"/>
      <c r="R6" s="487"/>
      <c r="S6" s="487"/>
      <c r="T6" s="487"/>
      <c r="U6" s="487"/>
      <c r="V6" s="487"/>
      <c r="W6" s="487"/>
      <c r="X6" s="487"/>
      <c r="Y6" s="487"/>
      <c r="Z6" s="487"/>
    </row>
    <row r="7" spans="1:26" x14ac:dyDescent="0.3">
      <c r="A7" s="18"/>
      <c r="B7" s="21"/>
      <c r="C7" s="21"/>
      <c r="D7" s="21"/>
      <c r="E7" s="21"/>
      <c r="F7" s="21"/>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21"/>
      <c r="C8" s="21"/>
      <c r="D8" s="21"/>
      <c r="E8" s="21"/>
      <c r="F8" s="21"/>
      <c r="G8" s="21"/>
      <c r="H8" s="21"/>
      <c r="I8" s="21"/>
      <c r="J8" s="21"/>
      <c r="K8" s="21"/>
      <c r="L8" s="21"/>
      <c r="M8" s="21"/>
      <c r="N8" s="21"/>
      <c r="O8" s="20"/>
      <c r="Q8" s="484" t="s">
        <v>1295</v>
      </c>
      <c r="R8" s="484"/>
      <c r="S8" s="484" t="s">
        <v>1856</v>
      </c>
      <c r="T8" s="484"/>
      <c r="U8" s="484"/>
      <c r="V8" s="484"/>
      <c r="W8" s="484"/>
      <c r="X8" s="484"/>
      <c r="Y8" s="484"/>
      <c r="Z8" s="505" t="s">
        <v>326</v>
      </c>
    </row>
    <row r="9" spans="1:26" x14ac:dyDescent="0.3">
      <c r="A9" s="18"/>
      <c r="B9" s="21"/>
      <c r="C9" s="21"/>
      <c r="D9" s="21"/>
      <c r="E9" s="21"/>
      <c r="F9" s="21"/>
      <c r="G9" s="21"/>
      <c r="H9" s="21"/>
      <c r="I9" s="21"/>
      <c r="J9" s="21"/>
      <c r="K9" s="21"/>
      <c r="L9" s="21"/>
      <c r="M9" s="21"/>
      <c r="N9" s="21"/>
      <c r="O9" s="20"/>
      <c r="Q9" s="484"/>
      <c r="R9" s="484"/>
      <c r="S9" s="484"/>
      <c r="T9" s="484"/>
      <c r="U9" s="484"/>
      <c r="V9" s="484"/>
      <c r="W9" s="484"/>
      <c r="X9" s="484"/>
      <c r="Y9" s="484"/>
      <c r="Z9" s="506"/>
    </row>
    <row r="10" spans="1:26" x14ac:dyDescent="0.3">
      <c r="A10" s="18"/>
      <c r="B10" s="21"/>
      <c r="C10" s="21"/>
      <c r="D10" s="21"/>
      <c r="E10" s="21"/>
      <c r="F10" s="21"/>
      <c r="G10" s="21"/>
      <c r="H10" s="21"/>
      <c r="I10" s="21"/>
      <c r="J10" s="21"/>
      <c r="K10" s="21"/>
      <c r="L10" s="21"/>
      <c r="M10" s="21"/>
      <c r="N10" s="21"/>
      <c r="O10" s="20"/>
      <c r="Q10" s="484"/>
      <c r="R10" s="484"/>
      <c r="S10" s="484"/>
      <c r="T10" s="484"/>
      <c r="U10" s="484"/>
      <c r="V10" s="484"/>
      <c r="W10" s="484"/>
      <c r="X10" s="484"/>
      <c r="Y10" s="484"/>
      <c r="Z10" s="507"/>
    </row>
    <row r="11" spans="1:26" ht="15" customHeight="1" x14ac:dyDescent="0.3">
      <c r="A11" s="18"/>
      <c r="B11" s="21"/>
      <c r="C11" s="21"/>
      <c r="D11" s="21"/>
      <c r="E11" s="21"/>
      <c r="F11" s="21"/>
      <c r="G11" s="21"/>
      <c r="H11" s="21"/>
      <c r="I11" s="21"/>
      <c r="J11" s="21"/>
      <c r="K11" s="21"/>
      <c r="L11" s="21"/>
      <c r="M11" s="21"/>
      <c r="N11" s="21"/>
      <c r="O11" s="20"/>
      <c r="Q11" s="484" t="s">
        <v>1300</v>
      </c>
      <c r="R11" s="484"/>
      <c r="S11" s="484" t="s">
        <v>3581</v>
      </c>
      <c r="T11" s="484"/>
      <c r="U11" s="484"/>
      <c r="V11" s="484"/>
      <c r="W11" s="484"/>
      <c r="X11" s="484"/>
      <c r="Y11" s="484"/>
      <c r="Z11" s="505" t="s">
        <v>326</v>
      </c>
    </row>
    <row r="12" spans="1:26" x14ac:dyDescent="0.3">
      <c r="A12" s="18"/>
      <c r="B12" s="21"/>
      <c r="C12" s="21"/>
      <c r="D12" s="21"/>
      <c r="E12" s="21"/>
      <c r="F12" s="21"/>
      <c r="G12" s="21"/>
      <c r="H12" s="21"/>
      <c r="I12" s="21"/>
      <c r="J12" s="21"/>
      <c r="K12" s="21"/>
      <c r="L12" s="21"/>
      <c r="M12" s="21"/>
      <c r="N12" s="21"/>
      <c r="O12" s="20"/>
      <c r="Q12" s="484"/>
      <c r="R12" s="484"/>
      <c r="S12" s="484"/>
      <c r="T12" s="484"/>
      <c r="U12" s="484"/>
      <c r="V12" s="484"/>
      <c r="W12" s="484"/>
      <c r="X12" s="484"/>
      <c r="Y12" s="484"/>
      <c r="Z12" s="506"/>
    </row>
    <row r="13" spans="1:26" x14ac:dyDescent="0.3">
      <c r="A13" s="18"/>
      <c r="B13" s="21"/>
      <c r="C13" s="21"/>
      <c r="D13" s="21"/>
      <c r="E13" s="21"/>
      <c r="F13" s="21"/>
      <c r="G13" s="21"/>
      <c r="H13" s="21"/>
      <c r="I13" s="21"/>
      <c r="J13" s="21"/>
      <c r="K13" s="21"/>
      <c r="L13" s="21"/>
      <c r="M13" s="21"/>
      <c r="N13" s="21"/>
      <c r="O13" s="20"/>
      <c r="Q13" s="484"/>
      <c r="R13" s="484"/>
      <c r="S13" s="484"/>
      <c r="T13" s="484"/>
      <c r="U13" s="484"/>
      <c r="V13" s="484"/>
      <c r="W13" s="484"/>
      <c r="X13" s="484"/>
      <c r="Y13" s="484"/>
      <c r="Z13" s="507"/>
    </row>
    <row r="14" spans="1:26" x14ac:dyDescent="0.3">
      <c r="A14" s="18"/>
      <c r="B14" s="21"/>
      <c r="C14" s="21"/>
      <c r="D14" s="21"/>
      <c r="E14" s="21"/>
      <c r="F14" s="21"/>
      <c r="G14" s="21"/>
      <c r="H14" s="21"/>
      <c r="I14" s="21"/>
      <c r="J14" s="21"/>
      <c r="K14" s="21"/>
      <c r="L14" s="21"/>
      <c r="M14" s="21"/>
      <c r="N14" s="21"/>
      <c r="O14" s="20"/>
      <c r="Q14" s="496" t="s">
        <v>1301</v>
      </c>
      <c r="R14" s="497"/>
      <c r="S14" s="496" t="s">
        <v>1304</v>
      </c>
      <c r="T14" s="502"/>
      <c r="U14" s="502"/>
      <c r="V14" s="502"/>
      <c r="W14" s="502"/>
      <c r="X14" s="502"/>
      <c r="Y14" s="497"/>
      <c r="Z14" s="505" t="s">
        <v>326</v>
      </c>
    </row>
    <row r="15" spans="1:26" x14ac:dyDescent="0.3">
      <c r="A15" s="18"/>
      <c r="B15" s="21"/>
      <c r="C15" s="21"/>
      <c r="D15" s="21"/>
      <c r="E15" s="21"/>
      <c r="F15" s="21"/>
      <c r="G15" s="21"/>
      <c r="H15" s="21"/>
      <c r="I15" s="21"/>
      <c r="J15" s="21"/>
      <c r="K15" s="21"/>
      <c r="L15" s="21"/>
      <c r="M15" s="21"/>
      <c r="N15" s="21"/>
      <c r="O15" s="20"/>
      <c r="Q15" s="498"/>
      <c r="R15" s="499"/>
      <c r="S15" s="498"/>
      <c r="T15" s="503"/>
      <c r="U15" s="503"/>
      <c r="V15" s="503"/>
      <c r="W15" s="503"/>
      <c r="X15" s="503"/>
      <c r="Y15" s="499"/>
      <c r="Z15" s="506"/>
    </row>
    <row r="16" spans="1:26" x14ac:dyDescent="0.3">
      <c r="A16" s="18"/>
      <c r="B16" s="21"/>
      <c r="C16" s="21"/>
      <c r="D16" s="21"/>
      <c r="E16" s="21"/>
      <c r="F16" s="21"/>
      <c r="G16" s="21"/>
      <c r="H16" s="21"/>
      <c r="I16" s="21"/>
      <c r="J16" s="21"/>
      <c r="K16" s="21"/>
      <c r="L16" s="21"/>
      <c r="M16" s="21"/>
      <c r="N16" s="21"/>
      <c r="O16" s="20"/>
      <c r="Q16" s="500"/>
      <c r="R16" s="501"/>
      <c r="S16" s="500"/>
      <c r="T16" s="504"/>
      <c r="U16" s="504"/>
      <c r="V16" s="504"/>
      <c r="W16" s="504"/>
      <c r="X16" s="504"/>
      <c r="Y16" s="501"/>
      <c r="Z16" s="507"/>
    </row>
    <row r="17" spans="1:26" x14ac:dyDescent="0.3">
      <c r="A17" s="18"/>
      <c r="B17" s="21"/>
      <c r="C17" s="21"/>
      <c r="D17" s="21"/>
      <c r="E17" s="21"/>
      <c r="F17" s="21"/>
      <c r="G17" s="21"/>
      <c r="H17" s="21"/>
      <c r="I17" s="21"/>
      <c r="J17" s="21"/>
      <c r="K17" s="21"/>
      <c r="L17" s="21"/>
      <c r="M17" s="21"/>
      <c r="N17" s="21"/>
      <c r="O17" s="20"/>
      <c r="Q17" s="496" t="s">
        <v>1302</v>
      </c>
      <c r="R17" s="497"/>
      <c r="S17" s="496" t="s">
        <v>3703</v>
      </c>
      <c r="T17" s="502"/>
      <c r="U17" s="502"/>
      <c r="V17" s="502"/>
      <c r="W17" s="502"/>
      <c r="X17" s="502"/>
      <c r="Y17" s="497"/>
      <c r="Z17" s="505" t="s">
        <v>326</v>
      </c>
    </row>
    <row r="18" spans="1:26" x14ac:dyDescent="0.3">
      <c r="A18" s="18"/>
      <c r="B18" s="21"/>
      <c r="C18" s="21"/>
      <c r="D18" s="21"/>
      <c r="E18" s="21"/>
      <c r="F18" s="21"/>
      <c r="G18" s="21"/>
      <c r="H18" s="21"/>
      <c r="I18" s="21"/>
      <c r="J18" s="21"/>
      <c r="K18" s="21"/>
      <c r="L18" s="21"/>
      <c r="M18" s="21"/>
      <c r="N18" s="21"/>
      <c r="O18" s="20"/>
      <c r="Q18" s="498"/>
      <c r="R18" s="499"/>
      <c r="S18" s="498"/>
      <c r="T18" s="503"/>
      <c r="U18" s="503"/>
      <c r="V18" s="503"/>
      <c r="W18" s="503"/>
      <c r="X18" s="503"/>
      <c r="Y18" s="499"/>
      <c r="Z18" s="506"/>
    </row>
    <row r="19" spans="1:26" x14ac:dyDescent="0.3">
      <c r="A19" s="18"/>
      <c r="B19" s="85" t="s">
        <v>1294</v>
      </c>
      <c r="C19" s="21"/>
      <c r="D19" s="21"/>
      <c r="E19" s="179" t="s">
        <v>3579</v>
      </c>
      <c r="F19" s="21"/>
      <c r="G19" s="21"/>
      <c r="H19" s="21"/>
      <c r="I19" s="21"/>
      <c r="J19" s="21"/>
      <c r="K19" s="21"/>
      <c r="L19" s="21"/>
      <c r="M19" s="21"/>
      <c r="N19" s="21"/>
      <c r="O19" s="20"/>
      <c r="Q19" s="500"/>
      <c r="R19" s="501"/>
      <c r="S19" s="500"/>
      <c r="T19" s="504"/>
      <c r="U19" s="504"/>
      <c r="V19" s="504"/>
      <c r="W19" s="504"/>
      <c r="X19" s="504"/>
      <c r="Y19" s="501"/>
      <c r="Z19" s="507"/>
    </row>
    <row r="20" spans="1:26" x14ac:dyDescent="0.3">
      <c r="A20" s="18"/>
      <c r="B20" s="181" t="s">
        <v>1293</v>
      </c>
      <c r="C20" s="21"/>
      <c r="D20" s="21"/>
      <c r="E20" s="189" t="s">
        <v>3582</v>
      </c>
      <c r="F20" s="21"/>
      <c r="G20" s="21"/>
      <c r="H20" s="21"/>
      <c r="I20" s="21"/>
      <c r="J20" s="21"/>
      <c r="K20" s="21"/>
      <c r="L20" s="21"/>
      <c r="M20" s="21"/>
      <c r="N20" s="21"/>
      <c r="O20" s="20"/>
      <c r="Q20" s="496" t="s">
        <v>1303</v>
      </c>
      <c r="R20" s="497"/>
      <c r="S20" s="496" t="s">
        <v>1305</v>
      </c>
      <c r="T20" s="502"/>
      <c r="U20" s="502"/>
      <c r="V20" s="502"/>
      <c r="W20" s="502"/>
      <c r="X20" s="502"/>
      <c r="Y20" s="497"/>
      <c r="Z20" s="505" t="s">
        <v>326</v>
      </c>
    </row>
    <row r="21" spans="1:26" x14ac:dyDescent="0.3">
      <c r="A21" s="18"/>
      <c r="B21" s="181" t="s">
        <v>1292</v>
      </c>
      <c r="C21" s="21"/>
      <c r="D21" s="21"/>
      <c r="E21" s="21"/>
      <c r="F21" s="21"/>
      <c r="G21" s="21"/>
      <c r="H21" s="21"/>
      <c r="I21" s="21"/>
      <c r="J21" s="21"/>
      <c r="K21" s="21"/>
      <c r="L21" s="21"/>
      <c r="M21" s="21"/>
      <c r="N21" s="21"/>
      <c r="O21" s="20"/>
      <c r="Q21" s="498"/>
      <c r="R21" s="499"/>
      <c r="S21" s="498"/>
      <c r="T21" s="503"/>
      <c r="U21" s="503"/>
      <c r="V21" s="503"/>
      <c r="W21" s="503"/>
      <c r="X21" s="503"/>
      <c r="Y21" s="499"/>
      <c r="Z21" s="506"/>
    </row>
    <row r="22" spans="1:26" x14ac:dyDescent="0.3">
      <c r="A22" s="18"/>
      <c r="B22" s="21"/>
      <c r="C22" s="21"/>
      <c r="D22" s="21"/>
      <c r="E22" s="21"/>
      <c r="F22" s="21"/>
      <c r="G22" s="21"/>
      <c r="H22" s="21"/>
      <c r="I22" s="21"/>
      <c r="J22" s="21"/>
      <c r="K22" s="21"/>
      <c r="L22" s="21"/>
      <c r="M22" s="21"/>
      <c r="N22" s="21"/>
      <c r="O22" s="20"/>
      <c r="Q22" s="500"/>
      <c r="R22" s="501"/>
      <c r="S22" s="500"/>
      <c r="T22" s="504"/>
      <c r="U22" s="504"/>
      <c r="V22" s="504"/>
      <c r="W22" s="504"/>
      <c r="X22" s="504"/>
      <c r="Y22" s="501"/>
      <c r="Z22" s="507"/>
    </row>
    <row r="23" spans="1:26" x14ac:dyDescent="0.3">
      <c r="A23" s="18"/>
      <c r="B23" s="85" t="s">
        <v>1297</v>
      </c>
      <c r="C23" s="181" t="s">
        <v>2487</v>
      </c>
      <c r="D23" s="21"/>
      <c r="E23" s="21"/>
      <c r="F23" s="21"/>
      <c r="G23" s="21"/>
      <c r="H23" s="21"/>
      <c r="I23" s="21"/>
      <c r="J23" s="21"/>
      <c r="K23" s="21"/>
      <c r="L23" s="21"/>
      <c r="M23" s="21"/>
      <c r="N23" s="21"/>
      <c r="O23" s="20"/>
      <c r="Q23" s="126" t="s">
        <v>328</v>
      </c>
    </row>
    <row r="24" spans="1:26" x14ac:dyDescent="0.3">
      <c r="A24" s="18"/>
      <c r="B24" s="85" t="s">
        <v>1298</v>
      </c>
      <c r="C24" s="181" t="s">
        <v>1299</v>
      </c>
      <c r="D24" s="21"/>
      <c r="E24" s="21"/>
      <c r="F24" s="21"/>
      <c r="G24" s="21"/>
      <c r="H24" s="21"/>
      <c r="I24" s="21"/>
      <c r="J24" s="21"/>
      <c r="K24" s="21"/>
      <c r="L24" s="21"/>
      <c r="M24" s="21"/>
      <c r="N24" s="21"/>
      <c r="O24" s="20"/>
    </row>
    <row r="25" spans="1:26" x14ac:dyDescent="0.3">
      <c r="A25" s="18"/>
      <c r="B25" s="85" t="s">
        <v>1296</v>
      </c>
      <c r="C25" s="30" t="str" cm="1">
        <f t="array" ref="C25">_xll.U.TOPIC(C23,C24)</f>
        <v>UPTICK/DESK1_WORKBOOK_CHANNEL/LIVE_RISK</v>
      </c>
      <c r="D25" s="21"/>
      <c r="E25" s="21"/>
      <c r="F25" s="21"/>
      <c r="G25" s="21"/>
      <c r="H25" s="21"/>
      <c r="I25" s="21"/>
      <c r="J25" s="21"/>
      <c r="K25" s="21"/>
      <c r="L25" s="21"/>
      <c r="M25" s="21"/>
      <c r="N25" s="21"/>
      <c r="O25" s="20"/>
    </row>
    <row r="26" spans="1:26" x14ac:dyDescent="0.3">
      <c r="A26" s="18"/>
      <c r="B26" s="21"/>
      <c r="C26" s="21"/>
      <c r="D26" s="21"/>
      <c r="E26" s="21"/>
      <c r="F26" s="21"/>
      <c r="G26" s="21"/>
      <c r="H26" s="21"/>
      <c r="I26" s="21"/>
      <c r="J26" s="21"/>
      <c r="K26" s="21"/>
      <c r="L26" s="21"/>
      <c r="M26" s="21"/>
      <c r="N26" s="21"/>
      <c r="O26" s="20"/>
      <c r="Q26" s="486" t="s">
        <v>3583</v>
      </c>
      <c r="R26" s="486"/>
      <c r="S26" s="486"/>
      <c r="T26" s="486"/>
      <c r="U26" s="486"/>
      <c r="V26" s="486"/>
      <c r="W26" s="486"/>
      <c r="X26" s="486"/>
      <c r="Y26" s="486"/>
      <c r="Z26" s="486"/>
    </row>
    <row r="27" spans="1:26" ht="15" customHeight="1" x14ac:dyDescent="0.3">
      <c r="A27" s="18"/>
      <c r="B27" s="21"/>
      <c r="C27" s="21"/>
      <c r="D27" s="21"/>
      <c r="E27" s="21"/>
      <c r="F27" s="21"/>
      <c r="G27" s="21"/>
      <c r="H27" s="21"/>
      <c r="I27" s="21"/>
      <c r="J27" s="21"/>
      <c r="K27" s="21"/>
      <c r="L27" s="21"/>
      <c r="M27" s="21"/>
      <c r="N27" s="21"/>
      <c r="O27" s="20"/>
      <c r="Q27" s="487" t="s">
        <v>333</v>
      </c>
      <c r="R27" s="487"/>
      <c r="S27" s="487" t="s">
        <v>1346</v>
      </c>
      <c r="T27" s="487"/>
      <c r="U27" s="487"/>
      <c r="V27" s="487"/>
      <c r="W27" s="487"/>
      <c r="X27" s="487"/>
      <c r="Y27" s="487"/>
      <c r="Z27" s="487"/>
    </row>
    <row r="28" spans="1:26" x14ac:dyDescent="0.3">
      <c r="A28" s="18"/>
      <c r="B28" s="21"/>
      <c r="C28" s="21"/>
      <c r="D28" s="21"/>
      <c r="E28" s="21"/>
      <c r="F28" s="21"/>
      <c r="G28" s="21"/>
      <c r="H28" s="21"/>
      <c r="I28" s="21"/>
      <c r="J28" s="21"/>
      <c r="K28" s="21"/>
      <c r="L28" s="21"/>
      <c r="M28" s="21"/>
      <c r="N28" s="21"/>
      <c r="O28" s="20"/>
      <c r="Q28" s="487"/>
      <c r="R28" s="487"/>
      <c r="S28" s="487"/>
      <c r="T28" s="487"/>
      <c r="U28" s="487"/>
      <c r="V28" s="487"/>
      <c r="W28" s="487"/>
      <c r="X28" s="487"/>
      <c r="Y28" s="487"/>
      <c r="Z28" s="487"/>
    </row>
    <row r="29" spans="1:26" x14ac:dyDescent="0.3">
      <c r="A29" s="18"/>
      <c r="B29" s="21"/>
      <c r="C29" s="21"/>
      <c r="D29" s="21"/>
      <c r="E29" s="21"/>
      <c r="F29" s="21"/>
      <c r="G29" s="21"/>
      <c r="H29" s="21"/>
      <c r="I29" s="21"/>
      <c r="J29" s="21"/>
      <c r="K29" s="21"/>
      <c r="L29" s="21"/>
      <c r="M29" s="21"/>
      <c r="N29" s="21"/>
      <c r="O29" s="20"/>
      <c r="Q29" s="487"/>
      <c r="R29" s="487"/>
      <c r="S29" s="487"/>
      <c r="T29" s="487"/>
      <c r="U29" s="487"/>
      <c r="V29" s="487"/>
      <c r="W29" s="487"/>
      <c r="X29" s="487"/>
      <c r="Y29" s="487"/>
      <c r="Z29" s="487"/>
    </row>
    <row r="30" spans="1:26" x14ac:dyDescent="0.3">
      <c r="A30" s="18"/>
      <c r="B30" s="21"/>
      <c r="C30" s="21"/>
      <c r="D30" s="21"/>
      <c r="E30" s="21"/>
      <c r="F30" s="21"/>
      <c r="G30" s="21"/>
      <c r="H30" s="21"/>
      <c r="I30" s="21"/>
      <c r="J30" s="21"/>
      <c r="K30" s="21"/>
      <c r="L30" s="21"/>
      <c r="M30" s="21"/>
      <c r="N30" s="21"/>
      <c r="O30" s="20"/>
      <c r="Q30" s="483" t="s">
        <v>323</v>
      </c>
      <c r="R30" s="483"/>
      <c r="S30" s="483" t="s">
        <v>1</v>
      </c>
      <c r="T30" s="483"/>
      <c r="U30" s="483"/>
      <c r="V30" s="483"/>
      <c r="W30" s="483"/>
      <c r="X30" s="483"/>
      <c r="Y30" s="483"/>
      <c r="Z30" s="85" t="s">
        <v>324</v>
      </c>
    </row>
    <row r="31" spans="1:26" ht="15" customHeight="1" x14ac:dyDescent="0.3">
      <c r="A31" s="18"/>
      <c r="B31" s="21"/>
      <c r="C31" s="21"/>
      <c r="D31" s="21"/>
      <c r="E31" s="21"/>
      <c r="F31" s="21"/>
      <c r="G31" s="21"/>
      <c r="H31" s="21"/>
      <c r="I31" s="21"/>
      <c r="J31" s="21"/>
      <c r="K31" s="21"/>
      <c r="L31" s="21"/>
      <c r="M31" s="21"/>
      <c r="N31" s="21"/>
      <c r="O31" s="20"/>
      <c r="Q31" s="487" t="s">
        <v>1306</v>
      </c>
      <c r="R31" s="487"/>
      <c r="S31" s="487" t="s">
        <v>1309</v>
      </c>
      <c r="T31" s="487"/>
      <c r="U31" s="487"/>
      <c r="V31" s="487"/>
      <c r="W31" s="487"/>
      <c r="X31" s="487"/>
      <c r="Y31" s="487"/>
      <c r="Z31" s="509" t="s">
        <v>325</v>
      </c>
    </row>
    <row r="32" spans="1:26" x14ac:dyDescent="0.3">
      <c r="A32" s="18"/>
      <c r="B32" s="21"/>
      <c r="C32" s="21"/>
      <c r="D32" s="21"/>
      <c r="E32" s="21"/>
      <c r="F32" s="21"/>
      <c r="G32" s="21"/>
      <c r="H32" s="21"/>
      <c r="I32" s="21"/>
      <c r="J32" s="21"/>
      <c r="K32" s="21"/>
      <c r="L32" s="21"/>
      <c r="M32" s="21"/>
      <c r="N32" s="21"/>
      <c r="O32" s="20"/>
      <c r="Q32" s="487"/>
      <c r="R32" s="487"/>
      <c r="S32" s="487"/>
      <c r="T32" s="487"/>
      <c r="U32" s="487"/>
      <c r="V32" s="487"/>
      <c r="W32" s="487"/>
      <c r="X32" s="487"/>
      <c r="Y32" s="487"/>
      <c r="Z32" s="509"/>
    </row>
    <row r="33" spans="1:26" x14ac:dyDescent="0.3">
      <c r="A33" s="18"/>
      <c r="B33" s="21"/>
      <c r="C33" s="21"/>
      <c r="D33" s="21"/>
      <c r="E33" s="21"/>
      <c r="F33" s="21"/>
      <c r="G33" s="21"/>
      <c r="H33" s="21"/>
      <c r="I33" s="21"/>
      <c r="J33" s="21"/>
      <c r="K33" s="21"/>
      <c r="L33" s="21"/>
      <c r="M33" s="21"/>
      <c r="N33" s="21"/>
      <c r="O33" s="20"/>
      <c r="Q33" s="487"/>
      <c r="R33" s="487"/>
      <c r="S33" s="487"/>
      <c r="T33" s="487"/>
      <c r="U33" s="487"/>
      <c r="V33" s="487"/>
      <c r="W33" s="487"/>
      <c r="X33" s="487"/>
      <c r="Y33" s="487"/>
      <c r="Z33" s="509"/>
    </row>
    <row r="34" spans="1:26" ht="15" customHeight="1" x14ac:dyDescent="0.3">
      <c r="A34" s="18"/>
      <c r="B34" s="21"/>
      <c r="C34" s="21"/>
      <c r="D34" s="21"/>
      <c r="E34" s="21"/>
      <c r="F34" s="21"/>
      <c r="G34" s="21"/>
      <c r="H34" s="21"/>
      <c r="I34" s="21"/>
      <c r="J34" s="21"/>
      <c r="K34" s="21"/>
      <c r="L34" s="21"/>
      <c r="M34" s="21"/>
      <c r="N34" s="21"/>
      <c r="O34" s="20"/>
      <c r="Q34" s="496" t="s">
        <v>1348</v>
      </c>
      <c r="R34" s="497"/>
      <c r="S34" s="496" t="s">
        <v>3584</v>
      </c>
      <c r="T34" s="502"/>
      <c r="U34" s="502"/>
      <c r="V34" s="502"/>
      <c r="W34" s="502"/>
      <c r="X34" s="502"/>
      <c r="Y34" s="497"/>
      <c r="Z34" s="505" t="s">
        <v>326</v>
      </c>
    </row>
    <row r="35" spans="1:26" x14ac:dyDescent="0.3">
      <c r="A35" s="18"/>
      <c r="B35" s="21"/>
      <c r="C35" s="21"/>
      <c r="D35" s="21"/>
      <c r="E35" s="21"/>
      <c r="F35" s="21"/>
      <c r="G35" s="21"/>
      <c r="H35" s="21"/>
      <c r="I35" s="21"/>
      <c r="J35" s="21"/>
      <c r="K35" s="21"/>
      <c r="L35" s="21"/>
      <c r="M35" s="21"/>
      <c r="N35" s="21"/>
      <c r="O35" s="20"/>
      <c r="Q35" s="498"/>
      <c r="R35" s="499"/>
      <c r="S35" s="498"/>
      <c r="T35" s="503"/>
      <c r="U35" s="503"/>
      <c r="V35" s="503"/>
      <c r="W35" s="503"/>
      <c r="X35" s="503"/>
      <c r="Y35" s="499"/>
      <c r="Z35" s="506"/>
    </row>
    <row r="36" spans="1:26" x14ac:dyDescent="0.3">
      <c r="A36" s="18"/>
      <c r="B36" s="21"/>
      <c r="C36" s="21"/>
      <c r="D36" s="21"/>
      <c r="E36" s="21"/>
      <c r="F36" s="21"/>
      <c r="G36" s="21"/>
      <c r="H36" s="21"/>
      <c r="I36" s="21"/>
      <c r="J36" s="21"/>
      <c r="K36" s="21"/>
      <c r="L36" s="21"/>
      <c r="M36" s="21"/>
      <c r="N36" s="21"/>
      <c r="O36" s="20"/>
      <c r="Q36" s="500"/>
      <c r="R36" s="501"/>
      <c r="S36" s="500"/>
      <c r="T36" s="504"/>
      <c r="U36" s="504"/>
      <c r="V36" s="504"/>
      <c r="W36" s="504"/>
      <c r="X36" s="504"/>
      <c r="Y36" s="501"/>
      <c r="Z36" s="507"/>
    </row>
    <row r="37" spans="1:26" ht="15" customHeight="1" x14ac:dyDescent="0.3">
      <c r="A37" s="18"/>
      <c r="B37" s="21"/>
      <c r="C37" s="21"/>
      <c r="D37" s="21"/>
      <c r="E37" s="21"/>
      <c r="F37" s="21"/>
      <c r="G37" s="21"/>
      <c r="H37" s="21"/>
      <c r="I37" s="21"/>
      <c r="J37" s="21"/>
      <c r="K37" s="21"/>
      <c r="L37" s="21"/>
      <c r="M37" s="21"/>
      <c r="N37" s="21"/>
      <c r="O37" s="20"/>
      <c r="Q37" s="496" t="s">
        <v>1307</v>
      </c>
      <c r="R37" s="497"/>
      <c r="S37" s="496" t="s">
        <v>1310</v>
      </c>
      <c r="T37" s="502"/>
      <c r="U37" s="502"/>
      <c r="V37" s="502"/>
      <c r="W37" s="502"/>
      <c r="X37" s="502"/>
      <c r="Y37" s="497"/>
      <c r="Z37" s="505" t="s">
        <v>326</v>
      </c>
    </row>
    <row r="38" spans="1:26" x14ac:dyDescent="0.3">
      <c r="A38" s="18"/>
      <c r="B38" s="21"/>
      <c r="C38" s="21"/>
      <c r="D38" s="21"/>
      <c r="E38" s="21"/>
      <c r="F38" s="21"/>
      <c r="G38" s="21"/>
      <c r="H38" s="21"/>
      <c r="I38" s="21"/>
      <c r="J38" s="21"/>
      <c r="K38" s="21"/>
      <c r="L38" s="21"/>
      <c r="M38" s="21"/>
      <c r="N38" s="21"/>
      <c r="O38" s="20"/>
      <c r="Q38" s="498"/>
      <c r="R38" s="499"/>
      <c r="S38" s="498"/>
      <c r="T38" s="503"/>
      <c r="U38" s="503"/>
      <c r="V38" s="503"/>
      <c r="W38" s="503"/>
      <c r="X38" s="503"/>
      <c r="Y38" s="499"/>
      <c r="Z38" s="506"/>
    </row>
    <row r="39" spans="1:26" x14ac:dyDescent="0.3">
      <c r="A39" s="18"/>
      <c r="B39" s="21"/>
      <c r="C39" s="21"/>
      <c r="D39" s="21"/>
      <c r="E39" s="21"/>
      <c r="F39" s="21"/>
      <c r="G39" s="21"/>
      <c r="H39" s="21"/>
      <c r="I39" s="21"/>
      <c r="J39" s="21"/>
      <c r="K39" s="21"/>
      <c r="L39" s="21"/>
      <c r="M39" s="21"/>
      <c r="N39" s="21"/>
      <c r="O39" s="20"/>
      <c r="Q39" s="500"/>
      <c r="R39" s="501"/>
      <c r="S39" s="500"/>
      <c r="T39" s="504"/>
      <c r="U39" s="504"/>
      <c r="V39" s="504"/>
      <c r="W39" s="504"/>
      <c r="X39" s="504"/>
      <c r="Y39" s="501"/>
      <c r="Z39" s="507"/>
    </row>
    <row r="40" spans="1:26" ht="15" customHeight="1" x14ac:dyDescent="0.3">
      <c r="A40" s="18"/>
      <c r="B40" s="21"/>
      <c r="C40" s="21"/>
      <c r="D40" s="21"/>
      <c r="E40" s="21"/>
      <c r="F40" s="21"/>
      <c r="G40" s="21"/>
      <c r="H40" s="21"/>
      <c r="I40" s="21"/>
      <c r="J40" s="21"/>
      <c r="K40" s="21"/>
      <c r="L40" s="21"/>
      <c r="M40" s="21"/>
      <c r="N40" s="21"/>
      <c r="O40" s="20"/>
      <c r="Q40" s="496" t="s">
        <v>1308</v>
      </c>
      <c r="R40" s="497"/>
      <c r="S40" s="496" t="s">
        <v>1311</v>
      </c>
      <c r="T40" s="502"/>
      <c r="U40" s="502"/>
      <c r="V40" s="502"/>
      <c r="W40" s="502"/>
      <c r="X40" s="502"/>
      <c r="Y40" s="497"/>
      <c r="Z40" s="505" t="s">
        <v>326</v>
      </c>
    </row>
    <row r="41" spans="1:26" x14ac:dyDescent="0.3">
      <c r="A41" s="18"/>
      <c r="B41" s="21"/>
      <c r="C41" s="21"/>
      <c r="D41" s="21"/>
      <c r="E41" s="21"/>
      <c r="F41" s="21"/>
      <c r="G41" s="21"/>
      <c r="H41" s="21"/>
      <c r="I41" s="21"/>
      <c r="J41" s="21"/>
      <c r="K41" s="21"/>
      <c r="L41" s="21"/>
      <c r="M41" s="21"/>
      <c r="N41" s="21"/>
      <c r="O41" s="20"/>
      <c r="Q41" s="498"/>
      <c r="R41" s="499"/>
      <c r="S41" s="498"/>
      <c r="T41" s="503"/>
      <c r="U41" s="503"/>
      <c r="V41" s="503"/>
      <c r="W41" s="503"/>
      <c r="X41" s="503"/>
      <c r="Y41" s="499"/>
      <c r="Z41" s="506"/>
    </row>
    <row r="42" spans="1:26" x14ac:dyDescent="0.3">
      <c r="A42" s="18"/>
      <c r="B42" s="21"/>
      <c r="C42" s="21"/>
      <c r="D42" s="21"/>
      <c r="E42" s="21"/>
      <c r="F42" s="21"/>
      <c r="G42" s="21"/>
      <c r="H42" s="21"/>
      <c r="I42" s="21"/>
      <c r="J42" s="21"/>
      <c r="K42" s="21"/>
      <c r="L42" s="21"/>
      <c r="M42" s="21"/>
      <c r="N42" s="21"/>
      <c r="O42" s="20"/>
      <c r="Q42" s="500"/>
      <c r="R42" s="501"/>
      <c r="S42" s="500"/>
      <c r="T42" s="504"/>
      <c r="U42" s="504"/>
      <c r="V42" s="504"/>
      <c r="W42" s="504"/>
      <c r="X42" s="504"/>
      <c r="Y42" s="501"/>
      <c r="Z42" s="507"/>
    </row>
    <row r="43" spans="1:26" ht="15" customHeight="1" x14ac:dyDescent="0.3">
      <c r="A43" s="18"/>
      <c r="B43" s="21"/>
      <c r="C43" s="21"/>
      <c r="D43" s="21"/>
      <c r="E43" s="21"/>
      <c r="F43" s="21"/>
      <c r="G43" s="21"/>
      <c r="H43" s="21"/>
      <c r="I43" s="21"/>
      <c r="J43" s="21"/>
      <c r="K43" s="21"/>
      <c r="L43" s="21"/>
      <c r="M43" s="21"/>
      <c r="N43" s="21"/>
      <c r="O43" s="20"/>
      <c r="Q43" s="496" t="s">
        <v>321</v>
      </c>
      <c r="R43" s="497"/>
      <c r="S43" s="484" t="s">
        <v>1312</v>
      </c>
      <c r="T43" s="484"/>
      <c r="U43" s="484"/>
      <c r="V43" s="484"/>
      <c r="W43" s="484"/>
      <c r="X43" s="484"/>
      <c r="Y43" s="484"/>
      <c r="Z43" s="505" t="s">
        <v>326</v>
      </c>
    </row>
    <row r="44" spans="1:26" x14ac:dyDescent="0.3">
      <c r="A44" s="18"/>
      <c r="B44" s="21"/>
      <c r="C44" s="21"/>
      <c r="D44" s="21"/>
      <c r="E44" s="21"/>
      <c r="F44" s="21"/>
      <c r="G44" s="21"/>
      <c r="H44" s="21"/>
      <c r="I44" s="21"/>
      <c r="J44" s="21"/>
      <c r="K44" s="21"/>
      <c r="L44" s="21"/>
      <c r="M44" s="21"/>
      <c r="N44" s="21"/>
      <c r="O44" s="20"/>
      <c r="Q44" s="498"/>
      <c r="R44" s="499"/>
      <c r="S44" s="484"/>
      <c r="T44" s="484"/>
      <c r="U44" s="484"/>
      <c r="V44" s="484"/>
      <c r="W44" s="484"/>
      <c r="X44" s="484"/>
      <c r="Y44" s="484"/>
      <c r="Z44" s="506"/>
    </row>
    <row r="45" spans="1:26" x14ac:dyDescent="0.3">
      <c r="A45" s="18"/>
      <c r="B45" s="21"/>
      <c r="C45" s="21"/>
      <c r="D45" s="21"/>
      <c r="E45" s="21"/>
      <c r="F45" s="21"/>
      <c r="G45" s="21"/>
      <c r="H45" s="21"/>
      <c r="I45" s="21"/>
      <c r="J45" s="21"/>
      <c r="K45" s="21"/>
      <c r="L45" s="21"/>
      <c r="M45" s="21"/>
      <c r="N45" s="21"/>
      <c r="O45" s="20"/>
      <c r="Q45" s="500"/>
      <c r="R45" s="501"/>
      <c r="S45" s="484"/>
      <c r="T45" s="484"/>
      <c r="U45" s="484"/>
      <c r="V45" s="484"/>
      <c r="W45" s="484"/>
      <c r="X45" s="484"/>
      <c r="Y45" s="484"/>
      <c r="Z45" s="507"/>
    </row>
    <row r="46" spans="1:26" ht="15" customHeight="1" x14ac:dyDescent="0.3">
      <c r="A46" s="18"/>
      <c r="B46" s="21"/>
      <c r="C46" s="21"/>
      <c r="D46" s="21"/>
      <c r="E46" s="21"/>
      <c r="F46" s="21"/>
      <c r="G46" s="21"/>
      <c r="H46" s="21"/>
      <c r="I46" s="21"/>
      <c r="J46" s="21"/>
      <c r="K46" s="21"/>
      <c r="L46" s="21"/>
      <c r="M46" s="21"/>
      <c r="N46" s="21"/>
      <c r="O46" s="20"/>
      <c r="Q46" s="496" t="s">
        <v>2299</v>
      </c>
      <c r="R46" s="497"/>
      <c r="S46" s="496" t="s">
        <v>3088</v>
      </c>
      <c r="T46" s="502"/>
      <c r="U46" s="502"/>
      <c r="V46" s="502"/>
      <c r="W46" s="502"/>
      <c r="X46" s="502"/>
      <c r="Y46" s="497"/>
      <c r="Z46" s="505" t="s">
        <v>326</v>
      </c>
    </row>
    <row r="47" spans="1:26" x14ac:dyDescent="0.3">
      <c r="A47" s="18"/>
      <c r="B47" s="179" t="s">
        <v>3583</v>
      </c>
      <c r="C47" s="21"/>
      <c r="D47" s="21"/>
      <c r="E47" s="21"/>
      <c r="F47" s="21"/>
      <c r="G47" s="21"/>
      <c r="H47" s="21"/>
      <c r="I47" s="21"/>
      <c r="J47" s="21"/>
      <c r="K47" s="21"/>
      <c r="L47" s="21"/>
      <c r="M47" s="21"/>
      <c r="N47" s="21"/>
      <c r="O47" s="20"/>
      <c r="Q47" s="498"/>
      <c r="R47" s="499"/>
      <c r="S47" s="498"/>
      <c r="T47" s="503"/>
      <c r="U47" s="503"/>
      <c r="V47" s="503"/>
      <c r="W47" s="503"/>
      <c r="X47" s="503"/>
      <c r="Y47" s="499"/>
      <c r="Z47" s="506"/>
    </row>
    <row r="48" spans="1:26" x14ac:dyDescent="0.3">
      <c r="A48" s="18"/>
      <c r="B48" s="189" t="s">
        <v>3585</v>
      </c>
      <c r="C48" s="21"/>
      <c r="D48" s="21"/>
      <c r="E48" s="21"/>
      <c r="F48" s="21"/>
      <c r="G48" s="21"/>
      <c r="H48" s="21"/>
      <c r="I48" s="21"/>
      <c r="J48" s="21"/>
      <c r="K48" s="21"/>
      <c r="L48" s="21"/>
      <c r="M48" s="21"/>
      <c r="N48" s="21"/>
      <c r="O48" s="20"/>
      <c r="Q48" s="500"/>
      <c r="R48" s="501"/>
      <c r="S48" s="500"/>
      <c r="T48" s="504"/>
      <c r="U48" s="504"/>
      <c r="V48" s="504"/>
      <c r="W48" s="504"/>
      <c r="X48" s="504"/>
      <c r="Y48" s="501"/>
      <c r="Z48" s="507"/>
    </row>
    <row r="49" spans="1:26" x14ac:dyDescent="0.3">
      <c r="A49" s="18"/>
      <c r="B49" s="21"/>
      <c r="C49" s="21"/>
      <c r="D49" s="21"/>
      <c r="E49" s="21"/>
      <c r="F49" s="21"/>
      <c r="G49" s="21"/>
      <c r="H49" s="21"/>
      <c r="I49" s="21"/>
      <c r="J49" s="21"/>
      <c r="K49" s="21"/>
      <c r="L49" s="21"/>
      <c r="M49" s="21"/>
      <c r="N49" s="21"/>
      <c r="O49" s="20"/>
      <c r="Q49" s="126" t="s">
        <v>328</v>
      </c>
    </row>
    <row r="50" spans="1:26" x14ac:dyDescent="0.3">
      <c r="A50" s="18"/>
      <c r="B50" s="21"/>
      <c r="C50" s="21"/>
      <c r="D50" s="21"/>
      <c r="E50" s="21"/>
      <c r="F50" s="21"/>
      <c r="G50" s="21"/>
      <c r="H50" s="21"/>
      <c r="I50" s="21"/>
      <c r="J50" s="21"/>
      <c r="K50" s="21"/>
      <c r="L50" s="21"/>
      <c r="M50" s="21"/>
      <c r="N50" s="21"/>
      <c r="O50" s="20"/>
    </row>
    <row r="51" spans="1:26" x14ac:dyDescent="0.3">
      <c r="A51" s="18"/>
      <c r="B51" s="21"/>
      <c r="C51" s="21"/>
      <c r="D51" s="21"/>
      <c r="E51" s="21"/>
      <c r="F51" s="21"/>
      <c r="G51" s="21"/>
      <c r="H51" s="21"/>
      <c r="I51" s="21"/>
      <c r="J51" s="21"/>
      <c r="K51" s="21"/>
      <c r="L51" s="21"/>
      <c r="M51" s="21"/>
      <c r="N51" s="21"/>
      <c r="O51" s="20"/>
    </row>
    <row r="52" spans="1:26" x14ac:dyDescent="0.3">
      <c r="A52" s="18"/>
      <c r="B52" s="21"/>
      <c r="C52" s="21"/>
      <c r="D52" s="21"/>
      <c r="E52" s="21"/>
      <c r="F52" s="21"/>
      <c r="G52" s="21"/>
      <c r="H52" s="21"/>
      <c r="I52" s="21"/>
      <c r="J52" s="21"/>
      <c r="K52" s="21"/>
      <c r="L52" s="21"/>
      <c r="M52" s="21"/>
      <c r="N52" s="21"/>
      <c r="O52" s="20"/>
      <c r="Q52" s="574" t="s">
        <v>3586</v>
      </c>
      <c r="R52" s="575"/>
      <c r="S52" s="575"/>
      <c r="T52" s="575"/>
      <c r="U52" s="575"/>
      <c r="V52" s="575"/>
      <c r="W52" s="575"/>
      <c r="X52" s="575"/>
      <c r="Y52" s="575"/>
      <c r="Z52" s="576"/>
    </row>
    <row r="53" spans="1:26" x14ac:dyDescent="0.3">
      <c r="A53" s="18"/>
      <c r="B53" s="21"/>
      <c r="C53" s="21"/>
      <c r="D53" s="21"/>
      <c r="E53" s="21"/>
      <c r="F53" s="21"/>
      <c r="G53" s="21"/>
      <c r="H53" s="21"/>
      <c r="I53" s="21"/>
      <c r="J53" s="21"/>
      <c r="K53" s="21"/>
      <c r="L53" s="21"/>
      <c r="M53" s="21"/>
      <c r="N53" s="21"/>
      <c r="O53" s="20"/>
      <c r="Q53" s="539" t="s">
        <v>333</v>
      </c>
      <c r="R53" s="541"/>
      <c r="S53" s="539" t="s">
        <v>2449</v>
      </c>
      <c r="T53" s="540"/>
      <c r="U53" s="540"/>
      <c r="V53" s="540"/>
      <c r="W53" s="540"/>
      <c r="X53" s="540"/>
      <c r="Y53" s="540"/>
      <c r="Z53" s="541"/>
    </row>
    <row r="54" spans="1:26" ht="15" customHeight="1" x14ac:dyDescent="0.3">
      <c r="A54" s="18"/>
      <c r="B54" s="21"/>
      <c r="C54" s="21"/>
      <c r="D54" s="21"/>
      <c r="E54" s="21"/>
      <c r="F54" s="21"/>
      <c r="G54" s="21"/>
      <c r="H54" s="21"/>
      <c r="I54" s="21"/>
      <c r="J54" s="21"/>
      <c r="K54" s="21"/>
      <c r="L54" s="21"/>
      <c r="M54" s="21"/>
      <c r="N54" s="21"/>
      <c r="O54" s="20"/>
      <c r="Q54" s="542"/>
      <c r="R54" s="544"/>
      <c r="S54" s="542"/>
      <c r="T54" s="543"/>
      <c r="U54" s="543"/>
      <c r="V54" s="543"/>
      <c r="W54" s="543"/>
      <c r="X54" s="543"/>
      <c r="Y54" s="543"/>
      <c r="Z54" s="544"/>
    </row>
    <row r="55" spans="1:26" x14ac:dyDescent="0.3">
      <c r="A55" s="18"/>
      <c r="B55" s="21"/>
      <c r="C55" s="21"/>
      <c r="D55" s="21"/>
      <c r="E55" s="21"/>
      <c r="F55" s="21"/>
      <c r="G55" s="21"/>
      <c r="H55" s="21"/>
      <c r="I55" s="21"/>
      <c r="J55" s="21"/>
      <c r="K55" s="21"/>
      <c r="L55" s="21"/>
      <c r="M55" s="21"/>
      <c r="N55" s="21"/>
      <c r="O55" s="20"/>
      <c r="Q55" s="545"/>
      <c r="R55" s="547"/>
      <c r="S55" s="545"/>
      <c r="T55" s="546"/>
      <c r="U55" s="546"/>
      <c r="V55" s="546"/>
      <c r="W55" s="546"/>
      <c r="X55" s="546"/>
      <c r="Y55" s="546"/>
      <c r="Z55" s="547"/>
    </row>
    <row r="56" spans="1:26" x14ac:dyDescent="0.3">
      <c r="A56" s="18"/>
      <c r="B56" s="21"/>
      <c r="C56" s="21"/>
      <c r="D56" s="21"/>
      <c r="E56" s="21"/>
      <c r="F56" s="21"/>
      <c r="G56" s="21"/>
      <c r="H56" s="21"/>
      <c r="I56" s="21"/>
      <c r="J56" s="21"/>
      <c r="K56" s="21"/>
      <c r="L56" s="21"/>
      <c r="M56" s="21"/>
      <c r="N56" s="21"/>
      <c r="O56" s="20"/>
      <c r="Q56" s="513" t="s">
        <v>323</v>
      </c>
      <c r="R56" s="515"/>
      <c r="S56" s="513" t="s">
        <v>1</v>
      </c>
      <c r="T56" s="514"/>
      <c r="U56" s="514"/>
      <c r="V56" s="514"/>
      <c r="W56" s="514"/>
      <c r="X56" s="514"/>
      <c r="Y56" s="515"/>
      <c r="Z56" s="85" t="s">
        <v>324</v>
      </c>
    </row>
    <row r="57" spans="1:26" x14ac:dyDescent="0.3">
      <c r="A57" s="18"/>
      <c r="B57" s="21"/>
      <c r="C57" s="21"/>
      <c r="D57" s="21"/>
      <c r="E57" s="21"/>
      <c r="F57" s="21"/>
      <c r="G57" s="21"/>
      <c r="H57" s="21"/>
      <c r="I57" s="21"/>
      <c r="J57" s="21"/>
      <c r="K57" s="21"/>
      <c r="L57" s="21"/>
      <c r="M57" s="21"/>
      <c r="N57" s="21"/>
      <c r="O57" s="20"/>
      <c r="Q57" s="539" t="s">
        <v>1313</v>
      </c>
      <c r="R57" s="541"/>
      <c r="S57" s="539" t="s">
        <v>1327</v>
      </c>
      <c r="T57" s="540"/>
      <c r="U57" s="540"/>
      <c r="V57" s="540"/>
      <c r="W57" s="540"/>
      <c r="X57" s="540"/>
      <c r="Y57" s="541"/>
      <c r="Z57" s="548" t="s">
        <v>325</v>
      </c>
    </row>
    <row r="58" spans="1:26" x14ac:dyDescent="0.3">
      <c r="A58" s="18"/>
      <c r="B58" s="21"/>
      <c r="C58" s="21"/>
      <c r="D58" s="21"/>
      <c r="E58" s="21"/>
      <c r="F58" s="21"/>
      <c r="G58" s="21"/>
      <c r="H58" s="21"/>
      <c r="I58" s="21"/>
      <c r="J58" s="21"/>
      <c r="K58" s="21"/>
      <c r="L58" s="21"/>
      <c r="M58" s="21"/>
      <c r="N58" s="21"/>
      <c r="O58" s="20"/>
      <c r="Q58" s="542"/>
      <c r="R58" s="544"/>
      <c r="S58" s="542"/>
      <c r="T58" s="543"/>
      <c r="U58" s="543"/>
      <c r="V58" s="543"/>
      <c r="W58" s="543"/>
      <c r="X58" s="543"/>
      <c r="Y58" s="544"/>
      <c r="Z58" s="549"/>
    </row>
    <row r="59" spans="1:26" x14ac:dyDescent="0.3">
      <c r="A59" s="18"/>
      <c r="B59" s="21"/>
      <c r="C59" s="21"/>
      <c r="D59" s="21"/>
      <c r="E59" s="21"/>
      <c r="F59" s="21"/>
      <c r="G59" s="21"/>
      <c r="H59" s="21"/>
      <c r="I59" s="21"/>
      <c r="J59" s="21"/>
      <c r="K59" s="21"/>
      <c r="L59" s="21"/>
      <c r="M59" s="21"/>
      <c r="N59" s="21"/>
      <c r="O59" s="20"/>
      <c r="Q59" s="545"/>
      <c r="R59" s="547"/>
      <c r="S59" s="545"/>
      <c r="T59" s="546"/>
      <c r="U59" s="546"/>
      <c r="V59" s="546"/>
      <c r="W59" s="546"/>
      <c r="X59" s="546"/>
      <c r="Y59" s="547"/>
      <c r="Z59" s="550"/>
    </row>
    <row r="60" spans="1:26" x14ac:dyDescent="0.3">
      <c r="A60" s="18"/>
      <c r="B60" s="21"/>
      <c r="C60" s="21"/>
      <c r="D60" s="21"/>
      <c r="E60" s="21"/>
      <c r="F60" s="21"/>
      <c r="G60" s="21"/>
      <c r="H60" s="21"/>
      <c r="I60" s="21"/>
      <c r="J60" s="21"/>
      <c r="K60" s="21"/>
      <c r="L60" s="21"/>
      <c r="M60" s="21"/>
      <c r="N60" s="21"/>
      <c r="O60" s="20"/>
      <c r="Q60" s="539" t="s">
        <v>1314</v>
      </c>
      <c r="R60" s="541"/>
      <c r="S60" s="539" t="s">
        <v>2450</v>
      </c>
      <c r="T60" s="540"/>
      <c r="U60" s="540"/>
      <c r="V60" s="540"/>
      <c r="W60" s="540"/>
      <c r="X60" s="540"/>
      <c r="Y60" s="541"/>
      <c r="Z60" s="548" t="s">
        <v>325</v>
      </c>
    </row>
    <row r="61" spans="1:26" x14ac:dyDescent="0.3">
      <c r="A61" s="18"/>
      <c r="B61" s="21"/>
      <c r="C61" s="21"/>
      <c r="D61" s="21"/>
      <c r="E61" s="21"/>
      <c r="F61" s="21"/>
      <c r="G61" s="21"/>
      <c r="H61" s="21"/>
      <c r="I61" s="21"/>
      <c r="J61" s="21"/>
      <c r="K61" s="21"/>
      <c r="L61" s="21"/>
      <c r="M61" s="21"/>
      <c r="N61" s="21"/>
      <c r="O61" s="20"/>
      <c r="Q61" s="542"/>
      <c r="R61" s="544"/>
      <c r="S61" s="542"/>
      <c r="T61" s="543"/>
      <c r="U61" s="543"/>
      <c r="V61" s="543"/>
      <c r="W61" s="543"/>
      <c r="X61" s="543"/>
      <c r="Y61" s="544"/>
      <c r="Z61" s="549"/>
    </row>
    <row r="62" spans="1:26" x14ac:dyDescent="0.3">
      <c r="A62" s="18"/>
      <c r="B62" s="21"/>
      <c r="C62" s="21"/>
      <c r="D62" s="21"/>
      <c r="E62" s="21"/>
      <c r="F62" s="21"/>
      <c r="G62" s="21"/>
      <c r="H62" s="21"/>
      <c r="I62" s="21"/>
      <c r="J62" s="21"/>
      <c r="K62" s="21"/>
      <c r="L62" s="21"/>
      <c r="M62" s="21"/>
      <c r="N62" s="21"/>
      <c r="O62" s="20"/>
      <c r="Q62" s="545"/>
      <c r="R62" s="547"/>
      <c r="S62" s="545"/>
      <c r="T62" s="546"/>
      <c r="U62" s="546"/>
      <c r="V62" s="546"/>
      <c r="W62" s="546"/>
      <c r="X62" s="546"/>
      <c r="Y62" s="547"/>
      <c r="Z62" s="550"/>
    </row>
    <row r="63" spans="1:26" x14ac:dyDescent="0.3">
      <c r="A63" s="18"/>
      <c r="B63" s="21"/>
      <c r="C63" s="21"/>
      <c r="D63" s="21"/>
      <c r="E63" s="21"/>
      <c r="F63" s="21"/>
      <c r="G63" s="21"/>
      <c r="H63" s="21"/>
      <c r="I63" s="21"/>
      <c r="J63" s="21"/>
      <c r="K63" s="21"/>
      <c r="L63" s="21"/>
      <c r="M63" s="21"/>
      <c r="N63" s="21"/>
      <c r="O63" s="20"/>
      <c r="Q63" s="496" t="s">
        <v>1315</v>
      </c>
      <c r="R63" s="497"/>
      <c r="S63" s="496" t="s">
        <v>2452</v>
      </c>
      <c r="T63" s="502"/>
      <c r="U63" s="502"/>
      <c r="V63" s="502"/>
      <c r="W63" s="502"/>
      <c r="X63" s="502"/>
      <c r="Y63" s="497"/>
      <c r="Z63" s="505" t="s">
        <v>326</v>
      </c>
    </row>
    <row r="64" spans="1:26" x14ac:dyDescent="0.3">
      <c r="A64" s="18"/>
      <c r="B64" s="21"/>
      <c r="C64" s="21"/>
      <c r="D64" s="21"/>
      <c r="E64" s="21"/>
      <c r="F64" s="21"/>
      <c r="G64" s="21"/>
      <c r="H64" s="21"/>
      <c r="I64" s="21"/>
      <c r="J64" s="21"/>
      <c r="K64" s="21"/>
      <c r="L64" s="21"/>
      <c r="M64" s="21"/>
      <c r="N64" s="21"/>
      <c r="O64" s="20"/>
      <c r="Q64" s="498"/>
      <c r="R64" s="499"/>
      <c r="S64" s="498"/>
      <c r="T64" s="503"/>
      <c r="U64" s="503"/>
      <c r="V64" s="503"/>
      <c r="W64" s="503"/>
      <c r="X64" s="503"/>
      <c r="Y64" s="499"/>
      <c r="Z64" s="506"/>
    </row>
    <row r="65" spans="1:26" x14ac:dyDescent="0.3">
      <c r="A65" s="18"/>
      <c r="B65" s="21"/>
      <c r="C65" s="21"/>
      <c r="D65" s="21"/>
      <c r="E65" s="21"/>
      <c r="F65" s="21"/>
      <c r="G65" s="21"/>
      <c r="H65" s="21"/>
      <c r="I65" s="21"/>
      <c r="J65" s="21"/>
      <c r="K65" s="21"/>
      <c r="L65" s="21"/>
      <c r="M65" s="21"/>
      <c r="N65" s="21"/>
      <c r="O65" s="20"/>
      <c r="Q65" s="500"/>
      <c r="R65" s="501"/>
      <c r="S65" s="500"/>
      <c r="T65" s="504"/>
      <c r="U65" s="504"/>
      <c r="V65" s="504"/>
      <c r="W65" s="504"/>
      <c r="X65" s="504"/>
      <c r="Y65" s="501"/>
      <c r="Z65" s="507"/>
    </row>
    <row r="66" spans="1:26" x14ac:dyDescent="0.3">
      <c r="A66" s="18"/>
      <c r="B66" s="21"/>
      <c r="C66" s="21"/>
      <c r="D66" s="21"/>
      <c r="E66" s="21"/>
      <c r="F66" s="21"/>
      <c r="G66" s="21"/>
      <c r="H66" s="21"/>
      <c r="I66" s="21"/>
      <c r="J66" s="21"/>
      <c r="K66" s="21"/>
      <c r="L66" s="21"/>
      <c r="M66" s="21"/>
      <c r="N66" s="21"/>
      <c r="O66" s="20"/>
      <c r="Q66" s="496" t="s">
        <v>2057</v>
      </c>
      <c r="R66" s="497"/>
      <c r="S66" s="496" t="s">
        <v>2451</v>
      </c>
      <c r="T66" s="502"/>
      <c r="U66" s="502"/>
      <c r="V66" s="502"/>
      <c r="W66" s="502"/>
      <c r="X66" s="502"/>
      <c r="Y66" s="497"/>
      <c r="Z66" s="505" t="s">
        <v>326</v>
      </c>
    </row>
    <row r="67" spans="1:26" x14ac:dyDescent="0.3">
      <c r="A67" s="18"/>
      <c r="B67" s="21"/>
      <c r="C67" s="21"/>
      <c r="D67" s="21"/>
      <c r="E67" s="21"/>
      <c r="F67" s="21"/>
      <c r="G67" s="21"/>
      <c r="H67" s="21"/>
      <c r="I67" s="21"/>
      <c r="J67" s="21"/>
      <c r="K67" s="21"/>
      <c r="L67" s="21"/>
      <c r="M67" s="21"/>
      <c r="N67" s="21"/>
      <c r="O67" s="20"/>
      <c r="Q67" s="498"/>
      <c r="R67" s="499"/>
      <c r="S67" s="498"/>
      <c r="T67" s="503"/>
      <c r="U67" s="503"/>
      <c r="V67" s="503"/>
      <c r="W67" s="503"/>
      <c r="X67" s="503"/>
      <c r="Y67" s="499"/>
      <c r="Z67" s="506"/>
    </row>
    <row r="68" spans="1:26" ht="15" customHeight="1" x14ac:dyDescent="0.3">
      <c r="A68" s="18"/>
      <c r="B68" s="21"/>
      <c r="C68" s="21"/>
      <c r="D68" s="21"/>
      <c r="E68" s="21"/>
      <c r="F68" s="21"/>
      <c r="G68" s="21"/>
      <c r="H68" s="21"/>
      <c r="I68" s="21"/>
      <c r="J68" s="21"/>
      <c r="K68" s="21"/>
      <c r="L68" s="21"/>
      <c r="M68" s="21"/>
      <c r="N68" s="21"/>
      <c r="O68" s="20"/>
      <c r="Q68" s="500"/>
      <c r="R68" s="501"/>
      <c r="S68" s="500"/>
      <c r="T68" s="504"/>
      <c r="U68" s="504"/>
      <c r="V68" s="504"/>
      <c r="W68" s="504"/>
      <c r="X68" s="504"/>
      <c r="Y68" s="501"/>
      <c r="Z68" s="507"/>
    </row>
    <row r="69" spans="1:26" x14ac:dyDescent="0.3">
      <c r="A69" s="18"/>
      <c r="B69" s="21"/>
      <c r="C69" s="21"/>
      <c r="D69" s="21"/>
      <c r="E69" s="21"/>
      <c r="F69" s="21"/>
      <c r="G69" s="21"/>
      <c r="H69" s="21"/>
      <c r="I69" s="21"/>
      <c r="J69" s="21"/>
      <c r="K69" s="21"/>
      <c r="L69" s="21"/>
      <c r="M69" s="21"/>
      <c r="N69" s="21"/>
      <c r="O69" s="20"/>
      <c r="Q69" s="496" t="s">
        <v>2453</v>
      </c>
      <c r="R69" s="497"/>
      <c r="S69" s="496" t="s">
        <v>2454</v>
      </c>
      <c r="T69" s="502"/>
      <c r="U69" s="502"/>
      <c r="V69" s="502"/>
      <c r="W69" s="502"/>
      <c r="X69" s="502"/>
      <c r="Y69" s="497"/>
      <c r="Z69" s="505" t="s">
        <v>326</v>
      </c>
    </row>
    <row r="70" spans="1:26" x14ac:dyDescent="0.3">
      <c r="A70" s="18"/>
      <c r="B70" s="21"/>
      <c r="C70" s="21"/>
      <c r="D70" s="21"/>
      <c r="E70" s="21"/>
      <c r="F70" s="21"/>
      <c r="G70" s="21"/>
      <c r="H70" s="21"/>
      <c r="I70" s="21"/>
      <c r="J70" s="21"/>
      <c r="K70" s="21"/>
      <c r="L70" s="21"/>
      <c r="M70" s="21"/>
      <c r="N70" s="21"/>
      <c r="O70" s="20"/>
      <c r="Q70" s="498"/>
      <c r="R70" s="499"/>
      <c r="S70" s="498"/>
      <c r="T70" s="503"/>
      <c r="U70" s="503"/>
      <c r="V70" s="503"/>
      <c r="W70" s="503"/>
      <c r="X70" s="503"/>
      <c r="Y70" s="499"/>
      <c r="Z70" s="506"/>
    </row>
    <row r="71" spans="1:26" x14ac:dyDescent="0.3">
      <c r="A71" s="18"/>
      <c r="B71" s="21"/>
      <c r="C71" s="21"/>
      <c r="D71" s="21"/>
      <c r="E71" s="21"/>
      <c r="F71" s="21"/>
      <c r="G71" s="21"/>
      <c r="H71" s="21"/>
      <c r="I71" s="21"/>
      <c r="J71" s="21"/>
      <c r="K71" s="21"/>
      <c r="L71" s="21"/>
      <c r="M71" s="21"/>
      <c r="N71" s="21"/>
      <c r="O71" s="20"/>
      <c r="Q71" s="500"/>
      <c r="R71" s="501"/>
      <c r="S71" s="500"/>
      <c r="T71" s="504"/>
      <c r="U71" s="504"/>
      <c r="V71" s="504"/>
      <c r="W71" s="504"/>
      <c r="X71" s="504"/>
      <c r="Y71" s="501"/>
      <c r="Z71" s="507"/>
    </row>
    <row r="72" spans="1:26" x14ac:dyDescent="0.3">
      <c r="A72" s="18"/>
      <c r="B72" s="21"/>
      <c r="C72" s="21"/>
      <c r="D72" s="21"/>
      <c r="E72" s="21"/>
      <c r="F72" s="21"/>
      <c r="G72" s="21"/>
      <c r="H72" s="21"/>
      <c r="I72" s="21"/>
      <c r="J72" s="21"/>
      <c r="K72" s="21"/>
      <c r="L72" s="21"/>
      <c r="M72" s="21"/>
      <c r="N72" s="21"/>
      <c r="O72" s="20"/>
      <c r="Q72" s="126" t="s">
        <v>328</v>
      </c>
    </row>
    <row r="73" spans="1:26" x14ac:dyDescent="0.3">
      <c r="A73" s="18"/>
      <c r="B73" s="21"/>
      <c r="C73" s="21"/>
      <c r="D73" s="21"/>
      <c r="E73" s="21"/>
      <c r="F73" s="21"/>
      <c r="G73" s="21"/>
      <c r="H73" s="21"/>
      <c r="I73" s="21"/>
      <c r="J73" s="21"/>
      <c r="K73" s="21"/>
      <c r="L73" s="21"/>
      <c r="M73" s="21"/>
      <c r="N73" s="21"/>
      <c r="O73" s="20"/>
    </row>
    <row r="74" spans="1:26" x14ac:dyDescent="0.3">
      <c r="A74" s="18"/>
      <c r="B74" s="179" t="s">
        <v>3586</v>
      </c>
      <c r="C74" s="21"/>
      <c r="D74" s="21"/>
      <c r="E74" s="21"/>
      <c r="F74" s="21"/>
      <c r="G74" s="21"/>
      <c r="H74" s="21"/>
      <c r="I74" s="21"/>
      <c r="J74" s="21"/>
      <c r="K74" s="21"/>
      <c r="L74" s="21"/>
      <c r="M74" s="21"/>
      <c r="N74" s="21"/>
      <c r="O74" s="20"/>
    </row>
    <row r="75" spans="1:26" x14ac:dyDescent="0.3">
      <c r="A75" s="18"/>
      <c r="B75" s="189" t="s">
        <v>3587</v>
      </c>
      <c r="C75" s="21"/>
      <c r="D75" s="21"/>
      <c r="E75" s="21"/>
      <c r="F75" s="21"/>
      <c r="G75" s="21"/>
      <c r="H75" s="21"/>
      <c r="I75" s="21"/>
      <c r="J75" s="21"/>
      <c r="K75" s="21"/>
      <c r="L75" s="21"/>
      <c r="M75" s="21"/>
      <c r="N75" s="21"/>
      <c r="O75" s="20"/>
      <c r="Q75" s="486" t="s">
        <v>3588</v>
      </c>
      <c r="R75" s="486"/>
      <c r="S75" s="486"/>
      <c r="T75" s="486"/>
      <c r="U75" s="486"/>
      <c r="V75" s="486"/>
      <c r="W75" s="486"/>
      <c r="X75" s="486"/>
      <c r="Y75" s="486"/>
      <c r="Z75" s="486"/>
    </row>
    <row r="76" spans="1:26" x14ac:dyDescent="0.3">
      <c r="A76" s="18"/>
      <c r="B76" s="21"/>
      <c r="C76" s="21"/>
      <c r="D76" s="21"/>
      <c r="E76" s="21"/>
      <c r="F76" s="21"/>
      <c r="G76" s="21"/>
      <c r="H76" s="21"/>
      <c r="I76" s="21"/>
      <c r="J76" s="21"/>
      <c r="K76" s="21"/>
      <c r="L76" s="21"/>
      <c r="M76" s="21"/>
      <c r="N76" s="21"/>
      <c r="O76" s="20"/>
      <c r="Q76" s="487" t="s">
        <v>333</v>
      </c>
      <c r="R76" s="487"/>
      <c r="S76" s="487" t="s">
        <v>1290</v>
      </c>
      <c r="T76" s="487"/>
      <c r="U76" s="487"/>
      <c r="V76" s="487"/>
      <c r="W76" s="487"/>
      <c r="X76" s="487"/>
      <c r="Y76" s="487"/>
      <c r="Z76" s="487"/>
    </row>
    <row r="77" spans="1:26" x14ac:dyDescent="0.3">
      <c r="A77" s="18"/>
      <c r="B77" s="21"/>
      <c r="C77" s="21"/>
      <c r="D77" s="21"/>
      <c r="E77" s="21"/>
      <c r="F77" s="21"/>
      <c r="G77" s="21"/>
      <c r="H77" s="21"/>
      <c r="I77" s="21"/>
      <c r="J77" s="21"/>
      <c r="K77" s="21"/>
      <c r="L77" s="21"/>
      <c r="M77" s="21"/>
      <c r="N77" s="21"/>
      <c r="O77" s="20"/>
      <c r="Q77" s="487"/>
      <c r="R77" s="487"/>
      <c r="S77" s="487"/>
      <c r="T77" s="487"/>
      <c r="U77" s="487"/>
      <c r="V77" s="487"/>
      <c r="W77" s="487"/>
      <c r="X77" s="487"/>
      <c r="Y77" s="487"/>
      <c r="Z77" s="487"/>
    </row>
    <row r="78" spans="1:26" x14ac:dyDescent="0.3">
      <c r="A78" s="18"/>
      <c r="B78" s="21"/>
      <c r="C78" s="21"/>
      <c r="D78" s="21"/>
      <c r="E78" s="21"/>
      <c r="F78" s="21"/>
      <c r="G78" s="21"/>
      <c r="H78" s="21"/>
      <c r="I78" s="21"/>
      <c r="J78" s="21"/>
      <c r="K78" s="21"/>
      <c r="L78" s="21"/>
      <c r="M78" s="21"/>
      <c r="N78" s="21"/>
      <c r="O78" s="20"/>
      <c r="Q78" s="487"/>
      <c r="R78" s="487"/>
      <c r="S78" s="487"/>
      <c r="T78" s="487"/>
      <c r="U78" s="487"/>
      <c r="V78" s="487"/>
      <c r="W78" s="487"/>
      <c r="X78" s="487"/>
      <c r="Y78" s="487"/>
      <c r="Z78" s="487"/>
    </row>
    <row r="79" spans="1:26" x14ac:dyDescent="0.3">
      <c r="A79" s="18"/>
      <c r="B79" s="21"/>
      <c r="C79" s="21"/>
      <c r="D79" s="21"/>
      <c r="F79" s="21"/>
      <c r="G79" s="21"/>
      <c r="H79" s="21"/>
      <c r="I79" s="21"/>
      <c r="J79" s="21"/>
      <c r="K79" s="21"/>
      <c r="L79" s="21"/>
      <c r="M79" s="21"/>
      <c r="N79" s="21"/>
      <c r="O79" s="20"/>
      <c r="Q79" s="483" t="s">
        <v>323</v>
      </c>
      <c r="R79" s="483"/>
      <c r="S79" s="483" t="s">
        <v>1</v>
      </c>
      <c r="T79" s="483"/>
      <c r="U79" s="483"/>
      <c r="V79" s="483"/>
      <c r="W79" s="483"/>
      <c r="X79" s="483"/>
      <c r="Y79" s="483"/>
      <c r="Z79" s="85" t="s">
        <v>324</v>
      </c>
    </row>
    <row r="80" spans="1:26" x14ac:dyDescent="0.3">
      <c r="A80" s="18"/>
      <c r="B80" s="21"/>
      <c r="C80" s="21"/>
      <c r="D80" s="21"/>
      <c r="F80" s="21"/>
      <c r="G80" s="21"/>
      <c r="H80" s="21"/>
      <c r="I80" s="21"/>
      <c r="J80" s="21"/>
      <c r="K80" s="21"/>
      <c r="L80" s="21"/>
      <c r="M80" s="21"/>
      <c r="N80" s="21"/>
      <c r="O80" s="20"/>
      <c r="Q80" s="539" t="s">
        <v>1316</v>
      </c>
      <c r="R80" s="541"/>
      <c r="S80" s="539" t="s">
        <v>1319</v>
      </c>
      <c r="T80" s="540"/>
      <c r="U80" s="540"/>
      <c r="V80" s="540"/>
      <c r="W80" s="540"/>
      <c r="X80" s="540"/>
      <c r="Y80" s="541"/>
      <c r="Z80" s="548" t="s">
        <v>325</v>
      </c>
    </row>
    <row r="81" spans="1:26" x14ac:dyDescent="0.3">
      <c r="A81" s="18"/>
      <c r="B81" s="21"/>
      <c r="C81" s="21"/>
      <c r="D81" s="21"/>
      <c r="E81" s="21"/>
      <c r="F81" s="21"/>
      <c r="G81" s="21"/>
      <c r="H81" s="21"/>
      <c r="I81" s="21"/>
      <c r="J81" s="21"/>
      <c r="K81" s="21"/>
      <c r="L81" s="21"/>
      <c r="M81" s="21"/>
      <c r="N81" s="21"/>
      <c r="O81" s="20"/>
      <c r="Q81" s="542"/>
      <c r="R81" s="544"/>
      <c r="S81" s="542"/>
      <c r="T81" s="543"/>
      <c r="U81" s="543"/>
      <c r="V81" s="543"/>
      <c r="W81" s="543"/>
      <c r="X81" s="543"/>
      <c r="Y81" s="544"/>
      <c r="Z81" s="549"/>
    </row>
    <row r="82" spans="1:26" x14ac:dyDescent="0.3">
      <c r="A82" s="18"/>
      <c r="B82" s="21"/>
      <c r="C82" s="21"/>
      <c r="D82" s="21"/>
      <c r="E82" s="21"/>
      <c r="F82" s="21"/>
      <c r="G82" s="21"/>
      <c r="H82" s="21"/>
      <c r="I82" s="21"/>
      <c r="J82" s="21"/>
      <c r="K82" s="21"/>
      <c r="L82" s="21"/>
      <c r="M82" s="21"/>
      <c r="N82" s="21"/>
      <c r="O82" s="20"/>
      <c r="Q82" s="545"/>
      <c r="R82" s="547"/>
      <c r="S82" s="545"/>
      <c r="T82" s="546"/>
      <c r="U82" s="546"/>
      <c r="V82" s="546"/>
      <c r="W82" s="546"/>
      <c r="X82" s="546"/>
      <c r="Y82" s="547"/>
      <c r="Z82" s="550"/>
    </row>
    <row r="83" spans="1:26" x14ac:dyDescent="0.3">
      <c r="A83" s="18"/>
      <c r="B83" s="21"/>
      <c r="C83" s="21"/>
      <c r="D83" s="21"/>
      <c r="E83" s="21"/>
      <c r="F83" s="21"/>
      <c r="G83" s="21"/>
      <c r="H83" s="21"/>
      <c r="I83" s="21"/>
      <c r="J83" s="21"/>
      <c r="K83" s="21"/>
      <c r="L83" s="21"/>
      <c r="M83" s="21"/>
      <c r="N83" s="21"/>
      <c r="O83" s="20"/>
      <c r="Q83" s="484" t="s">
        <v>720</v>
      </c>
      <c r="R83" s="484"/>
      <c r="S83" s="484" t="s">
        <v>1320</v>
      </c>
      <c r="T83" s="484"/>
      <c r="U83" s="484"/>
      <c r="V83" s="484"/>
      <c r="W83" s="484"/>
      <c r="X83" s="484"/>
      <c r="Y83" s="484"/>
      <c r="Z83" s="485" t="s">
        <v>326</v>
      </c>
    </row>
    <row r="84" spans="1:26" x14ac:dyDescent="0.3">
      <c r="A84" s="18"/>
      <c r="B84" s="21"/>
      <c r="C84" s="21"/>
      <c r="D84" s="21"/>
      <c r="E84" s="21"/>
      <c r="F84" s="21"/>
      <c r="G84" s="21"/>
      <c r="H84" s="21"/>
      <c r="I84" s="21"/>
      <c r="J84" s="21"/>
      <c r="K84" s="21"/>
      <c r="L84" s="21"/>
      <c r="M84" s="21"/>
      <c r="N84" s="21"/>
      <c r="O84" s="20"/>
      <c r="Q84" s="484"/>
      <c r="R84" s="484"/>
      <c r="S84" s="484"/>
      <c r="T84" s="484"/>
      <c r="U84" s="484"/>
      <c r="V84" s="484"/>
      <c r="W84" s="484"/>
      <c r="X84" s="484"/>
      <c r="Y84" s="484"/>
      <c r="Z84" s="485"/>
    </row>
    <row r="85" spans="1:26" x14ac:dyDescent="0.3">
      <c r="A85" s="18"/>
      <c r="B85" s="21"/>
      <c r="C85" s="21"/>
      <c r="D85" s="21"/>
      <c r="E85" s="21"/>
      <c r="F85" s="21"/>
      <c r="G85" s="21"/>
      <c r="H85" s="21"/>
      <c r="I85" s="21"/>
      <c r="J85" s="21"/>
      <c r="K85" s="21"/>
      <c r="L85" s="21"/>
      <c r="M85" s="21"/>
      <c r="N85" s="21"/>
      <c r="O85" s="20"/>
      <c r="Q85" s="484"/>
      <c r="R85" s="484"/>
      <c r="S85" s="484"/>
      <c r="T85" s="484"/>
      <c r="U85" s="484"/>
      <c r="V85" s="484"/>
      <c r="W85" s="484"/>
      <c r="X85" s="484"/>
      <c r="Y85" s="484"/>
      <c r="Z85" s="485"/>
    </row>
    <row r="86" spans="1:26" x14ac:dyDescent="0.3">
      <c r="A86" s="18"/>
      <c r="B86" s="21"/>
      <c r="C86" s="21"/>
      <c r="D86" s="21"/>
      <c r="E86" s="21"/>
      <c r="F86" s="21"/>
      <c r="G86" s="21"/>
      <c r="H86" s="21"/>
      <c r="I86" s="21"/>
      <c r="J86" s="21"/>
      <c r="K86" s="21"/>
      <c r="L86" s="21"/>
      <c r="M86" s="21"/>
      <c r="N86" s="21"/>
      <c r="O86" s="20"/>
      <c r="Q86" s="484" t="s">
        <v>1317</v>
      </c>
      <c r="R86" s="484"/>
      <c r="S86" s="484" t="s">
        <v>3589</v>
      </c>
      <c r="T86" s="484"/>
      <c r="U86" s="484"/>
      <c r="V86" s="484"/>
      <c r="W86" s="484"/>
      <c r="X86" s="484"/>
      <c r="Y86" s="484"/>
      <c r="Z86" s="485" t="s">
        <v>326</v>
      </c>
    </row>
    <row r="87" spans="1:26" x14ac:dyDescent="0.3">
      <c r="A87" s="18"/>
      <c r="B87" s="21"/>
      <c r="C87" s="21"/>
      <c r="D87" s="21"/>
      <c r="E87" s="21"/>
      <c r="F87" s="21"/>
      <c r="G87" s="21"/>
      <c r="H87" s="21"/>
      <c r="I87" s="21"/>
      <c r="J87" s="21"/>
      <c r="K87" s="21"/>
      <c r="L87" s="21"/>
      <c r="M87" s="21"/>
      <c r="N87" s="21"/>
      <c r="O87" s="20"/>
      <c r="Q87" s="484"/>
      <c r="R87" s="484"/>
      <c r="S87" s="484"/>
      <c r="T87" s="484"/>
      <c r="U87" s="484"/>
      <c r="V87" s="484"/>
      <c r="W87" s="484"/>
      <c r="X87" s="484"/>
      <c r="Y87" s="484"/>
      <c r="Z87" s="485"/>
    </row>
    <row r="88" spans="1:26" ht="15" customHeight="1" x14ac:dyDescent="0.3">
      <c r="A88" s="18"/>
      <c r="B88" s="21"/>
      <c r="C88" s="21"/>
      <c r="D88" s="21"/>
      <c r="E88" s="21"/>
      <c r="F88" s="21"/>
      <c r="G88" s="21"/>
      <c r="H88" s="21"/>
      <c r="I88" s="21"/>
      <c r="J88" s="21"/>
      <c r="K88" s="21"/>
      <c r="L88" s="21"/>
      <c r="M88" s="21"/>
      <c r="N88" s="21"/>
      <c r="O88" s="20"/>
      <c r="Q88" s="484"/>
      <c r="R88" s="484"/>
      <c r="S88" s="484"/>
      <c r="T88" s="484"/>
      <c r="U88" s="484"/>
      <c r="V88" s="484"/>
      <c r="W88" s="484"/>
      <c r="X88" s="484"/>
      <c r="Y88" s="484"/>
      <c r="Z88" s="485"/>
    </row>
    <row r="89" spans="1:26" x14ac:dyDescent="0.3">
      <c r="A89" s="18"/>
      <c r="B89" s="21"/>
      <c r="C89" s="21"/>
      <c r="D89" s="21"/>
      <c r="E89" s="21"/>
      <c r="F89" s="21"/>
      <c r="G89" s="21"/>
      <c r="H89" s="21"/>
      <c r="I89" s="21"/>
      <c r="J89" s="21"/>
      <c r="K89" s="21"/>
      <c r="L89" s="21"/>
      <c r="M89" s="21"/>
      <c r="N89" s="21"/>
      <c r="O89" s="20"/>
      <c r="Q89" s="484" t="s">
        <v>1318</v>
      </c>
      <c r="R89" s="484"/>
      <c r="S89" s="484" t="s">
        <v>3590</v>
      </c>
      <c r="T89" s="484"/>
      <c r="U89" s="484"/>
      <c r="V89" s="484"/>
      <c r="W89" s="484"/>
      <c r="X89" s="484"/>
      <c r="Y89" s="484"/>
      <c r="Z89" s="485" t="s">
        <v>326</v>
      </c>
    </row>
    <row r="90" spans="1:26" x14ac:dyDescent="0.3">
      <c r="A90" s="18"/>
      <c r="B90" s="21"/>
      <c r="C90" s="21"/>
      <c r="D90" s="21"/>
      <c r="E90" s="21"/>
      <c r="F90" s="21"/>
      <c r="G90" s="21"/>
      <c r="H90" s="21"/>
      <c r="I90" s="21"/>
      <c r="J90" s="21"/>
      <c r="K90" s="21"/>
      <c r="L90" s="21"/>
      <c r="M90" s="21"/>
      <c r="N90" s="21"/>
      <c r="O90" s="20"/>
      <c r="Q90" s="484"/>
      <c r="R90" s="484"/>
      <c r="S90" s="484"/>
      <c r="T90" s="484"/>
      <c r="U90" s="484"/>
      <c r="V90" s="484"/>
      <c r="W90" s="484"/>
      <c r="X90" s="484"/>
      <c r="Y90" s="484"/>
      <c r="Z90" s="485"/>
    </row>
    <row r="91" spans="1:26" ht="15" customHeight="1" x14ac:dyDescent="0.3">
      <c r="A91" s="18"/>
      <c r="B91" s="21"/>
      <c r="C91" s="21"/>
      <c r="D91" s="21"/>
      <c r="E91" s="21"/>
      <c r="F91" s="21"/>
      <c r="G91" s="21"/>
      <c r="H91" s="21"/>
      <c r="I91" s="21"/>
      <c r="J91" s="21"/>
      <c r="K91" s="21"/>
      <c r="L91" s="21"/>
      <c r="M91" s="21"/>
      <c r="N91" s="21"/>
      <c r="O91" s="20"/>
      <c r="Q91" s="484"/>
      <c r="R91" s="484"/>
      <c r="S91" s="484"/>
      <c r="T91" s="484"/>
      <c r="U91" s="484"/>
      <c r="V91" s="484"/>
      <c r="W91" s="484"/>
      <c r="X91" s="484"/>
      <c r="Y91" s="484"/>
      <c r="Z91" s="485"/>
    </row>
    <row r="92" spans="1:26" ht="15" customHeight="1" x14ac:dyDescent="0.3">
      <c r="A92" s="18"/>
      <c r="B92" s="21"/>
      <c r="C92" s="21"/>
      <c r="D92" s="21"/>
      <c r="E92" s="21"/>
      <c r="F92" s="21"/>
      <c r="G92" s="21"/>
      <c r="H92" s="21"/>
      <c r="I92" s="21"/>
      <c r="J92" s="21"/>
      <c r="K92" s="21"/>
      <c r="L92" s="21"/>
      <c r="M92" s="21"/>
      <c r="N92" s="21"/>
      <c r="O92" s="20"/>
      <c r="Q92" s="496" t="s">
        <v>2299</v>
      </c>
      <c r="R92" s="497"/>
      <c r="S92" s="496" t="s">
        <v>3088</v>
      </c>
      <c r="T92" s="502"/>
      <c r="U92" s="502"/>
      <c r="V92" s="502"/>
      <c r="W92" s="502"/>
      <c r="X92" s="502"/>
      <c r="Y92" s="497"/>
      <c r="Z92" s="505" t="s">
        <v>326</v>
      </c>
    </row>
    <row r="93" spans="1:26" x14ac:dyDescent="0.3">
      <c r="A93" s="18"/>
      <c r="B93" s="21"/>
      <c r="C93" s="21"/>
      <c r="D93" s="21"/>
      <c r="E93" s="21"/>
      <c r="F93" s="21"/>
      <c r="G93" s="21"/>
      <c r="H93" s="21"/>
      <c r="I93" s="21"/>
      <c r="J93" s="21"/>
      <c r="K93" s="21"/>
      <c r="L93" s="21"/>
      <c r="M93" s="21"/>
      <c r="N93" s="21"/>
      <c r="O93" s="20"/>
      <c r="Q93" s="498"/>
      <c r="R93" s="499"/>
      <c r="S93" s="498"/>
      <c r="T93" s="503"/>
      <c r="U93" s="503"/>
      <c r="V93" s="503"/>
      <c r="W93" s="503"/>
      <c r="X93" s="503"/>
      <c r="Y93" s="499"/>
      <c r="Z93" s="506"/>
    </row>
    <row r="94" spans="1:26" x14ac:dyDescent="0.3">
      <c r="A94" s="18"/>
      <c r="B94" s="21"/>
      <c r="C94" s="21"/>
      <c r="D94" s="21"/>
      <c r="E94" s="21"/>
      <c r="F94" s="21"/>
      <c r="G94" s="21"/>
      <c r="H94" s="21"/>
      <c r="I94" s="21"/>
      <c r="J94" s="21"/>
      <c r="K94" s="21"/>
      <c r="L94" s="21"/>
      <c r="M94" s="21"/>
      <c r="N94" s="21"/>
      <c r="O94" s="20"/>
      <c r="Q94" s="500"/>
      <c r="R94" s="501"/>
      <c r="S94" s="500"/>
      <c r="T94" s="504"/>
      <c r="U94" s="504"/>
      <c r="V94" s="504"/>
      <c r="W94" s="504"/>
      <c r="X94" s="504"/>
      <c r="Y94" s="501"/>
      <c r="Z94" s="507"/>
    </row>
    <row r="95" spans="1:26" x14ac:dyDescent="0.3">
      <c r="A95" s="18"/>
      <c r="B95" s="21"/>
      <c r="C95" s="21"/>
      <c r="D95" s="21"/>
      <c r="E95" s="21"/>
      <c r="F95" s="21"/>
      <c r="G95" s="21"/>
      <c r="H95" s="21"/>
      <c r="I95" s="21"/>
      <c r="J95" s="21"/>
      <c r="K95" s="21"/>
      <c r="L95" s="21"/>
      <c r="M95" s="21"/>
      <c r="N95" s="21"/>
      <c r="O95" s="20"/>
      <c r="Q95" s="126" t="s">
        <v>328</v>
      </c>
    </row>
    <row r="96" spans="1:26" x14ac:dyDescent="0.3">
      <c r="A96" s="18"/>
      <c r="B96" s="21"/>
      <c r="C96" s="21"/>
      <c r="D96" s="21"/>
      <c r="E96" s="21"/>
      <c r="F96" s="21"/>
      <c r="G96" s="21"/>
      <c r="H96" s="21"/>
      <c r="I96" s="21"/>
      <c r="J96" s="21"/>
      <c r="K96" s="21"/>
      <c r="L96" s="21"/>
      <c r="M96" s="21"/>
      <c r="N96" s="21"/>
      <c r="O96" s="20"/>
    </row>
    <row r="97" spans="1:26" x14ac:dyDescent="0.3">
      <c r="A97" s="18"/>
      <c r="B97" s="21"/>
      <c r="C97" s="21"/>
      <c r="D97" s="21"/>
      <c r="E97" s="21"/>
      <c r="F97" s="21"/>
      <c r="G97" s="21"/>
      <c r="H97" s="21"/>
      <c r="I97" s="21"/>
      <c r="J97" s="21"/>
      <c r="K97" s="21"/>
      <c r="L97" s="21"/>
      <c r="M97" s="21"/>
      <c r="N97" s="21"/>
      <c r="O97" s="20"/>
    </row>
    <row r="98" spans="1:26" x14ac:dyDescent="0.3">
      <c r="A98" s="18"/>
      <c r="B98" s="21"/>
      <c r="C98" s="21"/>
      <c r="D98" s="21"/>
      <c r="E98" s="21"/>
      <c r="F98" s="21"/>
      <c r="G98" s="21"/>
      <c r="H98" s="21"/>
      <c r="I98" s="21"/>
      <c r="J98" s="21"/>
      <c r="K98" s="21"/>
      <c r="L98" s="21"/>
      <c r="M98" s="21"/>
      <c r="N98" s="21"/>
      <c r="O98" s="20"/>
      <c r="Q98" s="486" t="s">
        <v>3591</v>
      </c>
      <c r="R98" s="486"/>
      <c r="S98" s="486"/>
      <c r="T98" s="486"/>
      <c r="U98" s="486"/>
      <c r="V98" s="486"/>
      <c r="W98" s="486"/>
      <c r="X98" s="486"/>
      <c r="Y98" s="486"/>
      <c r="Z98" s="486"/>
    </row>
    <row r="99" spans="1:26" x14ac:dyDescent="0.3">
      <c r="A99" s="18"/>
      <c r="B99" s="21"/>
      <c r="C99" s="21"/>
      <c r="D99" s="21"/>
      <c r="E99" s="21"/>
      <c r="F99" s="21"/>
      <c r="G99" s="21"/>
      <c r="H99" s="21"/>
      <c r="I99" s="21"/>
      <c r="J99" s="21"/>
      <c r="K99" s="21"/>
      <c r="L99" s="21"/>
      <c r="M99" s="21"/>
      <c r="N99" s="21"/>
      <c r="O99" s="20"/>
      <c r="Q99" s="487" t="s">
        <v>333</v>
      </c>
      <c r="R99" s="487"/>
      <c r="S99" s="487" t="s">
        <v>3288</v>
      </c>
      <c r="T99" s="487"/>
      <c r="U99" s="487"/>
      <c r="V99" s="487"/>
      <c r="W99" s="487"/>
      <c r="X99" s="487"/>
      <c r="Y99" s="487"/>
      <c r="Z99" s="487"/>
    </row>
    <row r="100" spans="1:26" x14ac:dyDescent="0.3">
      <c r="A100" s="18"/>
      <c r="B100" s="179" t="s">
        <v>3588</v>
      </c>
      <c r="C100" s="21"/>
      <c r="D100" s="21"/>
      <c r="E100" s="21"/>
      <c r="F100" s="21"/>
      <c r="G100" s="21"/>
      <c r="H100" s="21"/>
      <c r="I100" s="21"/>
      <c r="J100" s="21"/>
      <c r="K100" s="21"/>
      <c r="L100" s="21"/>
      <c r="M100" s="21"/>
      <c r="N100" s="21"/>
      <c r="O100" s="20"/>
      <c r="Q100" s="487"/>
      <c r="R100" s="487"/>
      <c r="S100" s="487"/>
      <c r="T100" s="487"/>
      <c r="U100" s="487"/>
      <c r="V100" s="487"/>
      <c r="W100" s="487"/>
      <c r="X100" s="487"/>
      <c r="Y100" s="487"/>
      <c r="Z100" s="487"/>
    </row>
    <row r="101" spans="1:26" x14ac:dyDescent="0.3">
      <c r="A101" s="18"/>
      <c r="B101" s="189" t="s">
        <v>3592</v>
      </c>
      <c r="C101" s="21"/>
      <c r="D101" s="21"/>
      <c r="E101" s="21"/>
      <c r="F101" s="21"/>
      <c r="G101" s="21"/>
      <c r="H101" s="21"/>
      <c r="I101" s="21"/>
      <c r="J101" s="21"/>
      <c r="K101" s="21"/>
      <c r="L101" s="21"/>
      <c r="M101" s="21"/>
      <c r="N101" s="21"/>
      <c r="O101" s="20"/>
      <c r="Q101" s="487"/>
      <c r="R101" s="487"/>
      <c r="S101" s="487"/>
      <c r="T101" s="487"/>
      <c r="U101" s="487"/>
      <c r="V101" s="487"/>
      <c r="W101" s="487"/>
      <c r="X101" s="487"/>
      <c r="Y101" s="487"/>
      <c r="Z101" s="487"/>
    </row>
    <row r="102" spans="1:26" x14ac:dyDescent="0.3">
      <c r="A102" s="18"/>
      <c r="B102" s="21"/>
      <c r="C102" s="21"/>
      <c r="D102" s="21"/>
      <c r="E102" s="21"/>
      <c r="F102" s="21"/>
      <c r="G102" s="21"/>
      <c r="H102" s="21"/>
      <c r="I102" s="21"/>
      <c r="J102" s="21"/>
      <c r="K102" s="21"/>
      <c r="L102" s="21"/>
      <c r="M102" s="21"/>
      <c r="N102" s="21"/>
      <c r="O102" s="20"/>
      <c r="Q102" s="483" t="s">
        <v>323</v>
      </c>
      <c r="R102" s="483"/>
      <c r="S102" s="483" t="s">
        <v>1</v>
      </c>
      <c r="T102" s="483"/>
      <c r="U102" s="483"/>
      <c r="V102" s="483"/>
      <c r="W102" s="483"/>
      <c r="X102" s="483"/>
      <c r="Y102" s="483"/>
      <c r="Z102" s="85" t="s">
        <v>324</v>
      </c>
    </row>
    <row r="103" spans="1:26" x14ac:dyDescent="0.3">
      <c r="A103" s="18"/>
      <c r="B103" s="21"/>
      <c r="C103" s="21"/>
      <c r="D103" s="21"/>
      <c r="E103" s="21"/>
      <c r="F103" s="21"/>
      <c r="G103" s="21"/>
      <c r="H103" s="21"/>
      <c r="I103" s="21"/>
      <c r="J103" s="21"/>
      <c r="K103" s="21"/>
      <c r="L103" s="21"/>
      <c r="M103" s="21"/>
      <c r="N103" s="21"/>
      <c r="O103" s="20"/>
      <c r="Q103" s="539" t="s">
        <v>458</v>
      </c>
      <c r="R103" s="541"/>
      <c r="S103" s="539" t="s">
        <v>1323</v>
      </c>
      <c r="T103" s="540"/>
      <c r="U103" s="540"/>
      <c r="V103" s="540"/>
      <c r="W103" s="540"/>
      <c r="X103" s="540"/>
      <c r="Y103" s="541"/>
      <c r="Z103" s="548" t="s">
        <v>325</v>
      </c>
    </row>
    <row r="104" spans="1:26" x14ac:dyDescent="0.3">
      <c r="A104" s="18"/>
      <c r="B104" s="21"/>
      <c r="C104" s="21"/>
      <c r="D104" s="21"/>
      <c r="E104" s="21"/>
      <c r="F104" s="21"/>
      <c r="G104" s="21"/>
      <c r="H104" s="21"/>
      <c r="I104" s="21"/>
      <c r="J104" s="21"/>
      <c r="K104" s="21"/>
      <c r="L104" s="21"/>
      <c r="M104" s="21"/>
      <c r="N104" s="21"/>
      <c r="O104" s="20"/>
      <c r="Q104" s="542"/>
      <c r="R104" s="544"/>
      <c r="S104" s="542"/>
      <c r="T104" s="543"/>
      <c r="U104" s="543"/>
      <c r="V104" s="543"/>
      <c r="W104" s="543"/>
      <c r="X104" s="543"/>
      <c r="Y104" s="544"/>
      <c r="Z104" s="549"/>
    </row>
    <row r="105" spans="1:26" x14ac:dyDescent="0.3">
      <c r="A105" s="18"/>
      <c r="B105" s="21"/>
      <c r="C105" s="21"/>
      <c r="D105" s="21"/>
      <c r="E105" s="21"/>
      <c r="F105" s="21"/>
      <c r="G105" s="21"/>
      <c r="H105" s="21"/>
      <c r="I105" s="21"/>
      <c r="J105" s="21"/>
      <c r="K105" s="21"/>
      <c r="L105" s="21"/>
      <c r="M105" s="21"/>
      <c r="N105" s="21"/>
      <c r="O105" s="20"/>
      <c r="Q105" s="545"/>
      <c r="R105" s="547"/>
      <c r="S105" s="545"/>
      <c r="T105" s="546"/>
      <c r="U105" s="546"/>
      <c r="V105" s="546"/>
      <c r="W105" s="546"/>
      <c r="X105" s="546"/>
      <c r="Y105" s="547"/>
      <c r="Z105" s="550"/>
    </row>
    <row r="106" spans="1:26" x14ac:dyDescent="0.3">
      <c r="A106" s="18"/>
      <c r="B106" s="21"/>
      <c r="C106" s="21"/>
      <c r="D106" s="21"/>
      <c r="E106" s="21"/>
      <c r="F106" s="21"/>
      <c r="G106" s="21"/>
      <c r="H106" s="21"/>
      <c r="I106" s="21"/>
      <c r="J106" s="21"/>
      <c r="K106" s="21"/>
      <c r="L106" s="21"/>
      <c r="M106" s="21"/>
      <c r="N106" s="21"/>
      <c r="O106" s="20"/>
      <c r="Q106" s="496" t="s">
        <v>1321</v>
      </c>
      <c r="R106" s="497"/>
      <c r="S106" s="496" t="s">
        <v>1324</v>
      </c>
      <c r="T106" s="502"/>
      <c r="U106" s="502"/>
      <c r="V106" s="502"/>
      <c r="W106" s="502"/>
      <c r="X106" s="502"/>
      <c r="Y106" s="497"/>
      <c r="Z106" s="505" t="s">
        <v>326</v>
      </c>
    </row>
    <row r="107" spans="1:26" x14ac:dyDescent="0.3">
      <c r="A107" s="18"/>
      <c r="B107" s="21"/>
      <c r="C107" s="21"/>
      <c r="D107" s="21"/>
      <c r="E107" s="21"/>
      <c r="F107" s="21"/>
      <c r="G107" s="21"/>
      <c r="H107" s="21"/>
      <c r="I107" s="21"/>
      <c r="J107" s="21"/>
      <c r="K107" s="21"/>
      <c r="L107" s="21"/>
      <c r="M107" s="21"/>
      <c r="N107" s="21"/>
      <c r="O107" s="20"/>
      <c r="Q107" s="498"/>
      <c r="R107" s="499"/>
      <c r="S107" s="498"/>
      <c r="T107" s="503"/>
      <c r="U107" s="503"/>
      <c r="V107" s="503"/>
      <c r="W107" s="503"/>
      <c r="X107" s="503"/>
      <c r="Y107" s="499"/>
      <c r="Z107" s="506"/>
    </row>
    <row r="108" spans="1:26" x14ac:dyDescent="0.3">
      <c r="A108" s="18"/>
      <c r="B108" s="21"/>
      <c r="C108" s="21"/>
      <c r="D108" s="21"/>
      <c r="E108" s="21"/>
      <c r="F108" s="21"/>
      <c r="G108" s="21"/>
      <c r="H108" s="21"/>
      <c r="I108" s="21"/>
      <c r="J108" s="21"/>
      <c r="K108" s="21"/>
      <c r="L108" s="21"/>
      <c r="M108" s="21"/>
      <c r="N108" s="21"/>
      <c r="O108" s="20"/>
      <c r="Q108" s="500"/>
      <c r="R108" s="501"/>
      <c r="S108" s="500"/>
      <c r="T108" s="504"/>
      <c r="U108" s="504"/>
      <c r="V108" s="504"/>
      <c r="W108" s="504"/>
      <c r="X108" s="504"/>
      <c r="Y108" s="501"/>
      <c r="Z108" s="507"/>
    </row>
    <row r="109" spans="1:26" x14ac:dyDescent="0.3">
      <c r="A109" s="18"/>
      <c r="B109" s="21"/>
      <c r="C109" s="21"/>
      <c r="D109" s="21"/>
      <c r="E109" s="21"/>
      <c r="F109" s="21"/>
      <c r="G109" s="21"/>
      <c r="H109" s="21"/>
      <c r="I109" s="21"/>
      <c r="J109" s="21"/>
      <c r="K109" s="21"/>
      <c r="L109" s="21"/>
      <c r="M109" s="21"/>
      <c r="N109" s="21"/>
      <c r="O109" s="20"/>
      <c r="Q109" s="496" t="s">
        <v>1322</v>
      </c>
      <c r="R109" s="497"/>
      <c r="S109" s="496" t="s">
        <v>3593</v>
      </c>
      <c r="T109" s="502"/>
      <c r="U109" s="502"/>
      <c r="V109" s="502"/>
      <c r="W109" s="502"/>
      <c r="X109" s="502"/>
      <c r="Y109" s="497"/>
      <c r="Z109" s="505" t="s">
        <v>326</v>
      </c>
    </row>
    <row r="110" spans="1:26" x14ac:dyDescent="0.3">
      <c r="A110" s="18"/>
      <c r="B110" s="21"/>
      <c r="C110" s="21"/>
      <c r="D110" s="21"/>
      <c r="E110" s="21"/>
      <c r="F110" s="21"/>
      <c r="G110" s="21"/>
      <c r="H110" s="21"/>
      <c r="I110" s="21"/>
      <c r="J110" s="21"/>
      <c r="K110" s="21"/>
      <c r="L110" s="21"/>
      <c r="M110" s="21"/>
      <c r="N110" s="21"/>
      <c r="O110" s="20"/>
      <c r="Q110" s="498"/>
      <c r="R110" s="499"/>
      <c r="S110" s="498"/>
      <c r="T110" s="503"/>
      <c r="U110" s="503"/>
      <c r="V110" s="503"/>
      <c r="W110" s="503"/>
      <c r="X110" s="503"/>
      <c r="Y110" s="499"/>
      <c r="Z110" s="506"/>
    </row>
    <row r="111" spans="1:26" x14ac:dyDescent="0.3">
      <c r="A111" s="18"/>
      <c r="B111" s="21"/>
      <c r="C111" s="21"/>
      <c r="D111" s="21"/>
      <c r="E111" s="21"/>
      <c r="F111" s="21"/>
      <c r="G111" s="21"/>
      <c r="H111" s="21"/>
      <c r="I111" s="21"/>
      <c r="J111" s="21"/>
      <c r="K111" s="21"/>
      <c r="L111" s="21"/>
      <c r="M111" s="21"/>
      <c r="N111" s="21"/>
      <c r="O111" s="20"/>
      <c r="Q111" s="500"/>
      <c r="R111" s="501"/>
      <c r="S111" s="500"/>
      <c r="T111" s="504"/>
      <c r="U111" s="504"/>
      <c r="V111" s="504"/>
      <c r="W111" s="504"/>
      <c r="X111" s="504"/>
      <c r="Y111" s="501"/>
      <c r="Z111" s="507"/>
    </row>
    <row r="112" spans="1:26" x14ac:dyDescent="0.3">
      <c r="A112" s="18"/>
      <c r="B112" s="21"/>
      <c r="C112" s="21"/>
      <c r="D112" s="21"/>
      <c r="E112" s="21"/>
      <c r="F112" s="21"/>
      <c r="G112" s="21"/>
      <c r="H112" s="21"/>
      <c r="I112" s="21"/>
      <c r="J112" s="21"/>
      <c r="K112" s="21"/>
      <c r="L112" s="21"/>
      <c r="M112" s="21"/>
      <c r="N112" s="21"/>
      <c r="O112" s="20"/>
      <c r="Q112" s="126" t="s">
        <v>328</v>
      </c>
    </row>
    <row r="113" spans="1:15" x14ac:dyDescent="0.3">
      <c r="A113" s="18"/>
      <c r="B113" s="21"/>
      <c r="C113" s="21"/>
      <c r="D113" s="21"/>
      <c r="E113" s="21"/>
      <c r="F113" s="21"/>
      <c r="G113" s="21"/>
      <c r="H113" s="21"/>
      <c r="I113" s="21"/>
      <c r="J113" s="21"/>
      <c r="K113" s="21"/>
      <c r="L113" s="21"/>
      <c r="M113" s="21"/>
      <c r="N113" s="21"/>
      <c r="O113" s="20"/>
    </row>
    <row r="114" spans="1:15" x14ac:dyDescent="0.3">
      <c r="A114" s="18"/>
      <c r="B114" s="21"/>
      <c r="C114" s="21"/>
      <c r="D114" s="21"/>
      <c r="E114" s="21"/>
      <c r="F114" s="21"/>
      <c r="G114" s="21"/>
      <c r="H114" s="21"/>
      <c r="I114" s="21"/>
      <c r="J114" s="21"/>
      <c r="K114" s="21"/>
      <c r="L114" s="21"/>
      <c r="M114" s="21"/>
      <c r="N114" s="21"/>
      <c r="O114" s="20"/>
    </row>
    <row r="115" spans="1:15" x14ac:dyDescent="0.3">
      <c r="A115" s="18"/>
      <c r="B115" s="21"/>
      <c r="C115" s="21"/>
      <c r="D115" s="21"/>
      <c r="E115" s="21"/>
      <c r="F115" s="21"/>
      <c r="G115" s="21"/>
      <c r="H115" s="21"/>
      <c r="I115" s="21"/>
      <c r="J115" s="21"/>
      <c r="K115" s="21"/>
      <c r="L115" s="21"/>
      <c r="M115" s="21"/>
      <c r="N115" s="21"/>
      <c r="O115" s="20"/>
    </row>
    <row r="116" spans="1:15" x14ac:dyDescent="0.3">
      <c r="A116" s="18"/>
      <c r="B116" s="85" t="s">
        <v>1325</v>
      </c>
      <c r="C116" s="21"/>
      <c r="D116" s="21"/>
      <c r="E116" s="179" t="s">
        <v>3591</v>
      </c>
      <c r="F116" s="21"/>
      <c r="G116" s="21"/>
      <c r="H116" s="21"/>
      <c r="I116" s="21"/>
      <c r="J116" s="21"/>
      <c r="K116" s="21"/>
      <c r="L116" s="21"/>
      <c r="M116" s="21"/>
      <c r="N116" s="21"/>
      <c r="O116" s="20"/>
    </row>
    <row r="117" spans="1:15" x14ac:dyDescent="0.3">
      <c r="A117" s="18"/>
      <c r="B117" s="181">
        <v>5</v>
      </c>
      <c r="C117" s="21"/>
      <c r="D117" s="21"/>
      <c r="E117" s="189" t="str" cm="1">
        <f t="array" ref="E117">_xll.U.UNLOCK_CELLS(B117:B118)</f>
        <v>Cells registered to be unlocked</v>
      </c>
      <c r="F117" s="21"/>
      <c r="G117" s="21"/>
      <c r="H117" s="21"/>
      <c r="I117" s="21"/>
      <c r="J117" s="21"/>
      <c r="K117" s="21"/>
      <c r="L117" s="21"/>
      <c r="M117" s="21"/>
      <c r="N117" s="21"/>
      <c r="O117" s="20"/>
    </row>
    <row r="118" spans="1:15" x14ac:dyDescent="0.3">
      <c r="A118" s="18"/>
      <c r="B118" s="181">
        <v>6</v>
      </c>
      <c r="C118" s="21"/>
      <c r="D118" s="21"/>
      <c r="E118" s="21"/>
      <c r="F118" s="21"/>
      <c r="G118" s="21"/>
      <c r="H118" s="21"/>
      <c r="I118" s="21"/>
      <c r="J118" s="21"/>
      <c r="K118" s="21"/>
      <c r="L118" s="21"/>
      <c r="M118" s="21"/>
      <c r="N118" s="21"/>
      <c r="O118" s="20"/>
    </row>
    <row r="119" spans="1:15" x14ac:dyDescent="0.3">
      <c r="A119" s="18"/>
      <c r="B119" s="30">
        <f>B117+B118</f>
        <v>11</v>
      </c>
      <c r="C119" s="21"/>
      <c r="D119" s="21"/>
      <c r="E119" s="21"/>
      <c r="F119" s="21"/>
      <c r="G119" s="21"/>
      <c r="H119" s="21"/>
      <c r="I119" s="21"/>
      <c r="J119" s="21"/>
      <c r="K119" s="21"/>
      <c r="L119" s="21"/>
      <c r="M119" s="21"/>
      <c r="N119" s="21"/>
      <c r="O119" s="20"/>
    </row>
    <row r="120" spans="1:15" x14ac:dyDescent="0.3">
      <c r="A120" s="18"/>
      <c r="B120" s="21"/>
      <c r="C120" s="21"/>
      <c r="D120" s="21"/>
      <c r="E120" s="21"/>
      <c r="F120" s="21"/>
      <c r="G120" s="21"/>
      <c r="H120" s="21"/>
      <c r="I120" s="21"/>
      <c r="J120" s="21"/>
      <c r="K120" s="21"/>
      <c r="L120" s="21"/>
      <c r="M120" s="21"/>
      <c r="N120" s="21"/>
      <c r="O120" s="20"/>
    </row>
    <row r="121" spans="1:15" x14ac:dyDescent="0.3">
      <c r="A121" s="18"/>
      <c r="B121" s="21"/>
      <c r="C121" s="21"/>
      <c r="D121" s="21"/>
      <c r="E121" s="21"/>
      <c r="F121" s="21"/>
      <c r="G121" s="21"/>
      <c r="H121" s="21"/>
      <c r="I121" s="21"/>
      <c r="J121" s="21"/>
      <c r="K121" s="21"/>
      <c r="L121" s="21"/>
      <c r="M121" s="21"/>
      <c r="N121" s="21"/>
      <c r="O121" s="20"/>
    </row>
    <row r="122" spans="1:15" x14ac:dyDescent="0.3">
      <c r="A122" s="18"/>
      <c r="B122" s="21"/>
      <c r="C122" s="21"/>
      <c r="D122" s="21"/>
      <c r="E122" s="21"/>
      <c r="F122" s="21"/>
      <c r="G122" s="21"/>
      <c r="H122" s="21"/>
      <c r="I122" s="21"/>
      <c r="J122" s="21"/>
      <c r="K122" s="21"/>
      <c r="L122" s="21"/>
      <c r="M122" s="21"/>
      <c r="N122" s="21"/>
      <c r="O122" s="20"/>
    </row>
    <row r="123" spans="1:15" x14ac:dyDescent="0.3">
      <c r="A123" s="18"/>
      <c r="B123" s="85" t="s">
        <v>1326</v>
      </c>
      <c r="C123" s="21"/>
      <c r="D123" s="21"/>
      <c r="E123" s="179" t="s">
        <v>3591</v>
      </c>
      <c r="F123" s="21"/>
      <c r="G123" s="21"/>
      <c r="H123" s="21"/>
      <c r="I123" s="21"/>
      <c r="J123" s="21"/>
      <c r="K123" s="21"/>
      <c r="L123" s="21"/>
      <c r="M123" s="21"/>
      <c r="N123" s="21"/>
      <c r="O123" s="20"/>
    </row>
    <row r="124" spans="1:15" x14ac:dyDescent="0.3">
      <c r="A124" s="18"/>
      <c r="B124" s="181">
        <v>5</v>
      </c>
      <c r="C124" s="21"/>
      <c r="D124" s="21"/>
      <c r="E124" s="189" t="str" cm="1">
        <f t="array" ref="E124">_xll.U.UNLOCK_CELLS(B124:B125)</f>
        <v>Cells registered to be unlocked</v>
      </c>
      <c r="F124" s="21"/>
      <c r="G124" s="21"/>
      <c r="H124" s="21"/>
      <c r="I124" s="21"/>
      <c r="J124" s="21"/>
      <c r="K124" s="21"/>
      <c r="L124" s="21"/>
      <c r="M124" s="21"/>
      <c r="N124" s="21"/>
      <c r="O124" s="20"/>
    </row>
    <row r="125" spans="1:15" x14ac:dyDescent="0.3">
      <c r="A125" s="18"/>
      <c r="B125" s="181">
        <v>6</v>
      </c>
      <c r="C125" s="21"/>
      <c r="D125" s="21"/>
      <c r="E125" s="189" t="str" cm="1">
        <f t="array" ref="E125">_xll.U.UNLOCK_CELLS(B126,TRUE)</f>
        <v>Cells registered to be locked but formulas visible</v>
      </c>
      <c r="F125" s="21"/>
      <c r="G125" s="21"/>
      <c r="H125" s="21"/>
      <c r="I125" s="21"/>
      <c r="J125" s="21"/>
      <c r="K125" s="21"/>
      <c r="L125" s="21"/>
      <c r="M125" s="21"/>
      <c r="N125" s="21"/>
      <c r="O125" s="20"/>
    </row>
    <row r="126" spans="1:15" x14ac:dyDescent="0.3">
      <c r="A126" s="18"/>
      <c r="B126" s="30">
        <f>B124+B125</f>
        <v>11</v>
      </c>
      <c r="C126" s="21"/>
      <c r="D126" s="21"/>
      <c r="E126" s="21"/>
      <c r="F126" s="21"/>
      <c r="G126" s="21"/>
      <c r="H126" s="21"/>
      <c r="I126" s="21"/>
      <c r="J126" s="21"/>
      <c r="K126" s="21"/>
      <c r="L126" s="21"/>
      <c r="M126" s="21"/>
      <c r="N126" s="21"/>
      <c r="O126" s="20"/>
    </row>
    <row r="127" spans="1:15" x14ac:dyDescent="0.3">
      <c r="A127" s="18"/>
      <c r="B127" s="21"/>
      <c r="C127" s="21"/>
      <c r="D127" s="21"/>
      <c r="E127" s="21"/>
      <c r="F127" s="21"/>
      <c r="G127" s="21"/>
      <c r="H127" s="21"/>
      <c r="I127" s="21"/>
      <c r="J127" s="21"/>
      <c r="K127" s="21"/>
      <c r="L127" s="21"/>
      <c r="M127" s="21"/>
      <c r="N127" s="21"/>
      <c r="O127" s="20"/>
    </row>
    <row r="128" spans="1:15" x14ac:dyDescent="0.3">
      <c r="A128" s="18"/>
      <c r="B128" s="21"/>
      <c r="C128" s="21"/>
      <c r="D128" s="21"/>
      <c r="E128" s="21"/>
      <c r="F128" s="21"/>
      <c r="G128" s="21"/>
      <c r="H128" s="21"/>
      <c r="I128" s="21"/>
      <c r="J128" s="21"/>
      <c r="K128" s="21"/>
      <c r="L128" s="21"/>
      <c r="M128" s="21"/>
      <c r="N128" s="21"/>
      <c r="O128" s="20"/>
    </row>
    <row r="129" spans="1:15" x14ac:dyDescent="0.3">
      <c r="A129" s="18"/>
      <c r="B129" s="21"/>
      <c r="C129" s="21"/>
      <c r="D129" s="21"/>
      <c r="E129" s="21"/>
      <c r="F129" s="21"/>
      <c r="G129" s="21"/>
      <c r="H129" s="21"/>
      <c r="I129" s="21"/>
      <c r="J129" s="21"/>
      <c r="K129" s="21"/>
      <c r="L129" s="21"/>
      <c r="M129" s="21"/>
      <c r="N129" s="21"/>
      <c r="O129" s="20"/>
    </row>
    <row r="130" spans="1:15" x14ac:dyDescent="0.3">
      <c r="A130" s="18"/>
      <c r="B130" s="21"/>
      <c r="C130" s="21"/>
      <c r="D130" s="21"/>
      <c r="E130" s="21"/>
      <c r="F130" s="21"/>
      <c r="G130" s="21"/>
      <c r="H130" s="21"/>
      <c r="I130" s="21"/>
      <c r="J130" s="21"/>
      <c r="K130" s="21"/>
      <c r="L130" s="21"/>
      <c r="M130" s="21"/>
      <c r="N130" s="21"/>
      <c r="O130" s="20"/>
    </row>
    <row r="131" spans="1:15" x14ac:dyDescent="0.3">
      <c r="A131" s="18"/>
      <c r="B131" s="21"/>
      <c r="C131" s="21"/>
      <c r="D131" s="21"/>
      <c r="E131" s="21"/>
      <c r="F131" s="21"/>
      <c r="G131" s="21"/>
      <c r="H131" s="21"/>
      <c r="I131" s="21"/>
      <c r="J131" s="21"/>
      <c r="K131" s="21"/>
      <c r="L131" s="21"/>
      <c r="M131" s="21"/>
      <c r="N131" s="21"/>
      <c r="O131" s="20"/>
    </row>
    <row r="132" spans="1:15" x14ac:dyDescent="0.3">
      <c r="A132" s="18"/>
      <c r="B132" s="21"/>
      <c r="C132" s="21"/>
      <c r="D132" s="21"/>
      <c r="E132" s="21"/>
      <c r="F132" s="21"/>
      <c r="G132" s="21"/>
      <c r="H132" s="21"/>
      <c r="I132" s="21"/>
      <c r="J132" s="21"/>
      <c r="K132" s="21"/>
      <c r="L132" s="21"/>
      <c r="M132" s="21"/>
      <c r="N132" s="21"/>
      <c r="O132" s="20"/>
    </row>
    <row r="133" spans="1:15" x14ac:dyDescent="0.3">
      <c r="A133" s="18"/>
      <c r="B133" s="21"/>
      <c r="C133" s="21"/>
      <c r="D133" s="21"/>
      <c r="E133" s="21"/>
      <c r="F133" s="21"/>
      <c r="G133" s="21"/>
      <c r="H133" s="21"/>
      <c r="I133" s="21"/>
      <c r="J133" s="21"/>
      <c r="K133" s="21"/>
      <c r="L133" s="21"/>
      <c r="M133" s="21"/>
      <c r="N133" s="21"/>
      <c r="O133" s="20"/>
    </row>
    <row r="134" spans="1:15" x14ac:dyDescent="0.3">
      <c r="A134" s="18"/>
      <c r="B134" s="21"/>
      <c r="C134" s="21"/>
      <c r="D134" s="21"/>
      <c r="E134" s="21"/>
      <c r="F134" s="21"/>
      <c r="G134" s="21"/>
      <c r="H134" s="21"/>
      <c r="I134" s="21"/>
      <c r="J134" s="21"/>
      <c r="K134" s="21"/>
      <c r="L134" s="21"/>
      <c r="M134" s="21"/>
      <c r="N134" s="21"/>
      <c r="O134" s="20"/>
    </row>
    <row r="135" spans="1:15" x14ac:dyDescent="0.3">
      <c r="A135" s="18"/>
      <c r="B135" s="21"/>
      <c r="C135" s="21"/>
      <c r="D135" s="21"/>
      <c r="E135" s="21"/>
      <c r="F135" s="21"/>
      <c r="G135" s="21"/>
      <c r="H135" s="21"/>
      <c r="I135" s="21"/>
      <c r="J135" s="21"/>
      <c r="K135" s="21"/>
      <c r="L135" s="21"/>
      <c r="M135" s="21"/>
      <c r="N135" s="21"/>
      <c r="O135" s="20"/>
    </row>
    <row r="136" spans="1:15" x14ac:dyDescent="0.3">
      <c r="A136" s="18"/>
      <c r="B136" s="21"/>
      <c r="C136" s="21"/>
      <c r="D136" s="21"/>
      <c r="E136" s="21"/>
      <c r="F136" s="21"/>
      <c r="G136" s="21"/>
      <c r="H136" s="21"/>
      <c r="I136" s="21"/>
      <c r="J136" s="21"/>
      <c r="K136" s="21"/>
      <c r="L136" s="21"/>
      <c r="M136" s="21"/>
      <c r="N136" s="21"/>
      <c r="O136" s="20"/>
    </row>
    <row r="137" spans="1:15" x14ac:dyDescent="0.3">
      <c r="A137" s="18"/>
      <c r="B137" s="21"/>
      <c r="C137" s="21"/>
      <c r="D137" s="21"/>
      <c r="E137" s="21"/>
      <c r="F137" s="21"/>
      <c r="G137" s="21"/>
      <c r="H137" s="21"/>
      <c r="I137" s="21"/>
      <c r="J137" s="21"/>
      <c r="K137" s="21"/>
      <c r="L137" s="21"/>
      <c r="M137" s="21"/>
      <c r="N137" s="21"/>
      <c r="O137" s="20"/>
    </row>
    <row r="138" spans="1:15" x14ac:dyDescent="0.3">
      <c r="A138" s="18"/>
      <c r="B138" s="21"/>
      <c r="C138" s="21"/>
      <c r="D138" s="21"/>
      <c r="E138" s="21"/>
      <c r="F138" s="21"/>
      <c r="G138" s="21"/>
      <c r="H138" s="21"/>
      <c r="I138" s="21"/>
      <c r="J138" s="21"/>
      <c r="K138" s="21"/>
      <c r="L138" s="21"/>
      <c r="M138" s="21"/>
      <c r="N138" s="21"/>
      <c r="O138" s="20"/>
    </row>
    <row r="139" spans="1:15" x14ac:dyDescent="0.3">
      <c r="A139" s="18"/>
      <c r="B139" s="21"/>
      <c r="C139" s="21"/>
      <c r="D139" s="21"/>
      <c r="E139" s="21"/>
      <c r="F139" s="21"/>
      <c r="G139" s="21"/>
      <c r="H139" s="21"/>
      <c r="I139" s="21"/>
      <c r="J139" s="21"/>
      <c r="K139" s="21"/>
      <c r="L139" s="21"/>
      <c r="M139" s="21"/>
      <c r="N139" s="21"/>
      <c r="O139" s="20"/>
    </row>
    <row r="140" spans="1:15" x14ac:dyDescent="0.3">
      <c r="A140" s="18"/>
      <c r="B140" s="21"/>
      <c r="C140" s="21"/>
      <c r="D140" s="21"/>
      <c r="E140" s="21"/>
      <c r="F140" s="21"/>
      <c r="G140" s="21"/>
      <c r="H140" s="21"/>
      <c r="I140" s="21"/>
      <c r="J140" s="21"/>
      <c r="K140" s="21"/>
      <c r="L140" s="21"/>
      <c r="M140" s="21"/>
      <c r="N140" s="21"/>
      <c r="O140" s="20"/>
    </row>
    <row r="141" spans="1:15" x14ac:dyDescent="0.3">
      <c r="A141" s="18"/>
      <c r="B141" s="21"/>
      <c r="C141" s="21"/>
      <c r="D141" s="21"/>
      <c r="E141" s="21"/>
      <c r="F141" s="21"/>
      <c r="G141" s="21"/>
      <c r="H141" s="21"/>
      <c r="I141" s="21"/>
      <c r="J141" s="21"/>
      <c r="K141" s="21"/>
      <c r="L141" s="21"/>
      <c r="M141" s="21"/>
      <c r="N141" s="21"/>
      <c r="O141" s="20"/>
    </row>
    <row r="142" spans="1:15" x14ac:dyDescent="0.3">
      <c r="A142" s="18"/>
      <c r="B142" s="21"/>
      <c r="C142" s="21"/>
      <c r="D142" s="21"/>
      <c r="E142" s="21"/>
      <c r="F142" s="21"/>
      <c r="G142" s="21"/>
      <c r="H142" s="21"/>
      <c r="I142" s="21"/>
      <c r="J142" s="21"/>
      <c r="K142" s="21"/>
      <c r="L142" s="21"/>
      <c r="M142" s="21"/>
      <c r="N142" s="21"/>
      <c r="O142" s="20"/>
    </row>
    <row r="143" spans="1:15" x14ac:dyDescent="0.3">
      <c r="A143" s="18"/>
      <c r="B143" s="21"/>
      <c r="C143" s="21"/>
      <c r="D143" s="21"/>
      <c r="E143" s="21"/>
      <c r="F143" s="21"/>
      <c r="G143" s="21"/>
      <c r="H143" s="21"/>
      <c r="I143" s="21"/>
      <c r="J143" s="21"/>
      <c r="K143" s="21"/>
      <c r="L143" s="21"/>
      <c r="M143" s="21"/>
      <c r="N143" s="21"/>
      <c r="O143" s="20"/>
    </row>
    <row r="144" spans="1:15" ht="15" thickBot="1" x14ac:dyDescent="0.35">
      <c r="A144" s="22"/>
      <c r="B144" s="23"/>
      <c r="C144" s="23"/>
      <c r="D144" s="23"/>
      <c r="E144" s="23"/>
      <c r="F144" s="23"/>
      <c r="G144" s="23"/>
      <c r="H144" s="23"/>
      <c r="I144" s="23"/>
      <c r="J144" s="23"/>
      <c r="K144" s="23"/>
      <c r="L144" s="23"/>
      <c r="M144" s="23"/>
      <c r="N144" s="23"/>
      <c r="O144" s="24"/>
    </row>
  </sheetData>
  <mergeCells count="97">
    <mergeCell ref="Q109:R111"/>
    <mergeCell ref="S109:Y111"/>
    <mergeCell ref="Z109:Z111"/>
    <mergeCell ref="Q89:R91"/>
    <mergeCell ref="S89:Y91"/>
    <mergeCell ref="Z89:Z91"/>
    <mergeCell ref="Q98:Z98"/>
    <mergeCell ref="Q99:R101"/>
    <mergeCell ref="S99:Z101"/>
    <mergeCell ref="Q102:R102"/>
    <mergeCell ref="S102:Y102"/>
    <mergeCell ref="Q103:R105"/>
    <mergeCell ref="S103:Y105"/>
    <mergeCell ref="Z103:Z105"/>
    <mergeCell ref="Q92:R94"/>
    <mergeCell ref="S92:Y94"/>
    <mergeCell ref="Q56:R56"/>
    <mergeCell ref="S56:Y56"/>
    <mergeCell ref="Q60:R62"/>
    <mergeCell ref="S60:Y62"/>
    <mergeCell ref="Z60:Z62"/>
    <mergeCell ref="Q57:R59"/>
    <mergeCell ref="S57:Y59"/>
    <mergeCell ref="Z57:Z59"/>
    <mergeCell ref="Z34:Z36"/>
    <mergeCell ref="Z46:Z48"/>
    <mergeCell ref="S34:Y36"/>
    <mergeCell ref="Q52:Z52"/>
    <mergeCell ref="Q53:R55"/>
    <mergeCell ref="S53:Z55"/>
    <mergeCell ref="Z37:Z39"/>
    <mergeCell ref="Q40:R42"/>
    <mergeCell ref="S40:Y42"/>
    <mergeCell ref="Z40:Z42"/>
    <mergeCell ref="Q43:R45"/>
    <mergeCell ref="S43:Y45"/>
    <mergeCell ref="Z43:Z45"/>
    <mergeCell ref="Z31:Z33"/>
    <mergeCell ref="Q14:R16"/>
    <mergeCell ref="S14:Y16"/>
    <mergeCell ref="Z14:Z16"/>
    <mergeCell ref="Q17:R19"/>
    <mergeCell ref="S17:Y19"/>
    <mergeCell ref="Z17:Z19"/>
    <mergeCell ref="Q27:R29"/>
    <mergeCell ref="S27:Z29"/>
    <mergeCell ref="Q106:R108"/>
    <mergeCell ref="S106:Y108"/>
    <mergeCell ref="Z106:Z108"/>
    <mergeCell ref="Z92:Z94"/>
    <mergeCell ref="Q34:R36"/>
    <mergeCell ref="Z63:Z65"/>
    <mergeCell ref="Q66:R68"/>
    <mergeCell ref="S66:Y68"/>
    <mergeCell ref="Z66:Z68"/>
    <mergeCell ref="Q86:R88"/>
    <mergeCell ref="S86:Y88"/>
    <mergeCell ref="Z86:Z88"/>
    <mergeCell ref="Q46:R48"/>
    <mergeCell ref="S46:Y48"/>
    <mergeCell ref="Q37:R39"/>
    <mergeCell ref="S37:Y39"/>
    <mergeCell ref="Q3:Z3"/>
    <mergeCell ref="Q4:R6"/>
    <mergeCell ref="S4:Z6"/>
    <mergeCell ref="Q7:R7"/>
    <mergeCell ref="S7:Y7"/>
    <mergeCell ref="Q63:R65"/>
    <mergeCell ref="S63:Y65"/>
    <mergeCell ref="Q8:R10"/>
    <mergeCell ref="S8:Y10"/>
    <mergeCell ref="Z8:Z10"/>
    <mergeCell ref="Q11:R13"/>
    <mergeCell ref="S11:Y13"/>
    <mergeCell ref="Z11:Z13"/>
    <mergeCell ref="Q20:R22"/>
    <mergeCell ref="S20:Y22"/>
    <mergeCell ref="Z20:Z22"/>
    <mergeCell ref="Q26:Z26"/>
    <mergeCell ref="Q30:R30"/>
    <mergeCell ref="S30:Y30"/>
    <mergeCell ref="Q31:R33"/>
    <mergeCell ref="S31:Y33"/>
    <mergeCell ref="Q83:R85"/>
    <mergeCell ref="S83:Y85"/>
    <mergeCell ref="Z83:Z85"/>
    <mergeCell ref="Q75:Z75"/>
    <mergeCell ref="Q69:R71"/>
    <mergeCell ref="S69:Y71"/>
    <mergeCell ref="Z69:Z71"/>
    <mergeCell ref="Q76:R78"/>
    <mergeCell ref="S76:Z78"/>
    <mergeCell ref="Q79:R79"/>
    <mergeCell ref="S79:Y79"/>
    <mergeCell ref="Q80:R82"/>
    <mergeCell ref="S80:Y82"/>
    <mergeCell ref="Z80:Z82"/>
  </mergeCells>
  <pageMargins left="0.7" right="0.7" top="0.75" bottom="0.75" header="0.3" footer="0.3"/>
  <pageSetup orientation="portrait" verticalDpi="0" r:id="rId1"/>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1"/>
  <dimension ref="A1:Z141"/>
  <sheetViews>
    <sheetView workbookViewId="0">
      <pane ySplit="1" topLeftCell="A2" activePane="bottomLeft" state="frozen"/>
      <selection activeCell="C33" sqref="C33"/>
      <selection pane="bottomLeft"/>
    </sheetView>
  </sheetViews>
  <sheetFormatPr defaultRowHeight="14.4" x14ac:dyDescent="0.3"/>
  <cols>
    <col min="2" max="2" width="35.44140625" bestFit="1" customWidth="1"/>
    <col min="3" max="3" width="21.77734375" customWidth="1"/>
    <col min="5" max="5" width="30.21875" customWidth="1"/>
    <col min="6" max="6" width="41.5546875" bestFit="1" customWidth="1"/>
    <col min="10" max="11" width="11.77734375" customWidth="1"/>
    <col min="17" max="18" width="10.21875" customWidth="1"/>
    <col min="19" max="25" width="14" customWidth="1"/>
  </cols>
  <sheetData>
    <row r="1" spans="1:26" ht="34.5" customHeight="1" thickBot="1" x14ac:dyDescent="0.35">
      <c r="A1" s="292" t="s">
        <v>1580</v>
      </c>
      <c r="B1" s="473" t="e" vm="1">
        <v>#VALUE!</v>
      </c>
      <c r="C1" s="510" t="s">
        <v>28</v>
      </c>
      <c r="D1" s="511"/>
      <c r="E1" s="29" t="s">
        <v>3870</v>
      </c>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56</v>
      </c>
      <c r="B3" s="491"/>
      <c r="C3" s="491"/>
      <c r="D3" s="491"/>
      <c r="E3" s="491"/>
      <c r="F3" s="491"/>
      <c r="G3" s="491"/>
      <c r="H3" s="491"/>
      <c r="I3" s="491"/>
      <c r="J3" s="491"/>
      <c r="K3" s="491"/>
      <c r="L3" s="491"/>
      <c r="M3" s="491"/>
      <c r="N3" s="21"/>
      <c r="O3" s="20"/>
      <c r="Q3" s="486" t="s">
        <v>3594</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434</v>
      </c>
      <c r="T4" s="487"/>
      <c r="U4" s="487"/>
      <c r="V4" s="487"/>
      <c r="W4" s="487"/>
      <c r="X4" s="487"/>
      <c r="Y4" s="487"/>
      <c r="Z4" s="487"/>
    </row>
    <row r="5" spans="1:26" ht="15" customHeight="1" x14ac:dyDescent="0.3">
      <c r="A5" s="18"/>
      <c r="B5" s="589" t="s">
        <v>50</v>
      </c>
      <c r="C5" s="589"/>
      <c r="D5" s="589"/>
      <c r="E5" s="589"/>
      <c r="F5" s="589"/>
      <c r="G5" s="589"/>
      <c r="H5" s="589"/>
      <c r="I5" s="589"/>
      <c r="J5" s="589"/>
      <c r="K5" s="589"/>
      <c r="L5" s="21"/>
      <c r="M5" s="21"/>
      <c r="N5" s="21"/>
      <c r="O5" s="20"/>
      <c r="Q5" s="487"/>
      <c r="R5" s="487"/>
      <c r="S5" s="487"/>
      <c r="T5" s="487"/>
      <c r="U5" s="487"/>
      <c r="V5" s="487"/>
      <c r="W5" s="487"/>
      <c r="X5" s="487"/>
      <c r="Y5" s="487"/>
      <c r="Z5" s="487"/>
    </row>
    <row r="6" spans="1:26" ht="15" customHeight="1" x14ac:dyDescent="0.3">
      <c r="A6" s="18"/>
      <c r="B6" s="21"/>
      <c r="C6" s="21"/>
      <c r="D6" s="26"/>
      <c r="E6" s="21"/>
      <c r="F6" s="21"/>
      <c r="G6" s="21"/>
      <c r="H6" s="21"/>
      <c r="I6" s="21"/>
      <c r="J6" s="21"/>
      <c r="K6" s="21"/>
      <c r="L6" s="21"/>
      <c r="M6" s="21"/>
      <c r="N6" s="21"/>
      <c r="O6" s="20"/>
      <c r="Q6" s="487"/>
      <c r="R6" s="487"/>
      <c r="S6" s="487"/>
      <c r="T6" s="487"/>
      <c r="U6" s="487"/>
      <c r="V6" s="487"/>
      <c r="W6" s="487"/>
      <c r="X6" s="487"/>
      <c r="Y6" s="487"/>
      <c r="Z6" s="487"/>
    </row>
    <row r="7" spans="1:26" x14ac:dyDescent="0.3">
      <c r="A7" s="18"/>
      <c r="B7" s="492" t="s">
        <v>10</v>
      </c>
      <c r="C7" s="493"/>
      <c r="D7" s="21"/>
      <c r="E7" s="492" t="s">
        <v>3328</v>
      </c>
      <c r="F7" s="493"/>
      <c r="G7" s="21"/>
      <c r="H7" s="21"/>
      <c r="I7" s="21"/>
      <c r="J7" s="21"/>
      <c r="K7" s="21"/>
      <c r="L7" s="21"/>
      <c r="M7" s="21"/>
      <c r="N7" s="21"/>
      <c r="O7" s="20"/>
      <c r="Q7" s="483" t="s">
        <v>323</v>
      </c>
      <c r="R7" s="483"/>
      <c r="S7" s="483" t="s">
        <v>1</v>
      </c>
      <c r="T7" s="483"/>
      <c r="U7" s="483"/>
      <c r="V7" s="483"/>
      <c r="W7" s="483"/>
      <c r="X7" s="483"/>
      <c r="Y7" s="483"/>
      <c r="Z7" s="85" t="s">
        <v>324</v>
      </c>
    </row>
    <row r="8" spans="1:26" x14ac:dyDescent="0.3">
      <c r="A8" s="18"/>
      <c r="B8" s="3" t="s">
        <v>2</v>
      </c>
      <c r="C8" s="9" t="s">
        <v>8</v>
      </c>
      <c r="D8" s="21"/>
      <c r="E8" s="5" t="s">
        <v>11</v>
      </c>
      <c r="F8" s="42" t="s">
        <v>29</v>
      </c>
      <c r="G8" s="21"/>
      <c r="H8" s="21"/>
      <c r="I8" s="21"/>
      <c r="J8" s="21"/>
      <c r="K8" s="21"/>
      <c r="L8" s="21"/>
      <c r="M8" s="21"/>
      <c r="N8" s="21"/>
      <c r="O8" s="20"/>
      <c r="Q8" s="487" t="s">
        <v>432</v>
      </c>
      <c r="R8" s="487"/>
      <c r="S8" s="487" t="s">
        <v>433</v>
      </c>
      <c r="T8" s="487"/>
      <c r="U8" s="487"/>
      <c r="V8" s="487"/>
      <c r="W8" s="487"/>
      <c r="X8" s="487"/>
      <c r="Y8" s="487"/>
      <c r="Z8" s="509" t="s">
        <v>325</v>
      </c>
    </row>
    <row r="9" spans="1:26" x14ac:dyDescent="0.3">
      <c r="A9" s="18"/>
      <c r="B9" s="1" t="s">
        <v>3</v>
      </c>
      <c r="C9" s="4">
        <v>2500</v>
      </c>
      <c r="D9" s="21"/>
      <c r="E9" s="5" t="s">
        <v>12</v>
      </c>
      <c r="F9" s="42" t="s">
        <v>6</v>
      </c>
      <c r="G9" s="21"/>
      <c r="H9" s="21"/>
      <c r="I9" s="21"/>
      <c r="J9" s="21"/>
      <c r="K9" s="21"/>
      <c r="L9" s="21"/>
      <c r="M9" s="21"/>
      <c r="N9" s="21"/>
      <c r="O9" s="20"/>
      <c r="Q9" s="487"/>
      <c r="R9" s="487"/>
      <c r="S9" s="487"/>
      <c r="T9" s="487"/>
      <c r="U9" s="487"/>
      <c r="V9" s="487"/>
      <c r="W9" s="487"/>
      <c r="X9" s="487"/>
      <c r="Y9" s="487"/>
      <c r="Z9" s="509"/>
    </row>
    <row r="10" spans="1:26" x14ac:dyDescent="0.3">
      <c r="A10" s="18"/>
      <c r="B10" s="1" t="s">
        <v>4</v>
      </c>
      <c r="C10" s="4">
        <v>-360</v>
      </c>
      <c r="D10" s="21"/>
      <c r="E10" s="7" t="s">
        <v>9</v>
      </c>
      <c r="F10" s="6" cm="1">
        <f t="array" ref="F10">_xll.U.PUBLISH(F8,F9,B8:C10,B14:C15)</f>
        <v>46072.453054016201</v>
      </c>
      <c r="G10" s="21"/>
      <c r="H10" s="21"/>
      <c r="I10" s="21"/>
      <c r="J10" s="21"/>
      <c r="K10" s="21"/>
      <c r="L10" s="21"/>
      <c r="M10" s="21"/>
      <c r="N10" s="21"/>
      <c r="O10" s="20"/>
      <c r="Q10" s="487"/>
      <c r="R10" s="487"/>
      <c r="S10" s="487"/>
      <c r="T10" s="487"/>
      <c r="U10" s="487"/>
      <c r="V10" s="487"/>
      <c r="W10" s="487"/>
      <c r="X10" s="487"/>
      <c r="Y10" s="487"/>
      <c r="Z10" s="509"/>
    </row>
    <row r="11" spans="1:26" ht="15" customHeight="1" x14ac:dyDescent="0.3">
      <c r="A11" s="18"/>
      <c r="B11" s="21"/>
      <c r="C11" s="21"/>
      <c r="D11" s="21"/>
      <c r="E11" s="21"/>
      <c r="F11" s="21"/>
      <c r="G11" s="21"/>
      <c r="H11" s="21"/>
      <c r="I11" s="21"/>
      <c r="J11" s="21"/>
      <c r="K11" s="21"/>
      <c r="L11" s="21"/>
      <c r="M11" s="21"/>
      <c r="N11" s="21"/>
      <c r="O11" s="20"/>
      <c r="Q11" s="484" t="s">
        <v>321</v>
      </c>
      <c r="R11" s="484"/>
      <c r="S11" s="484" t="s">
        <v>439</v>
      </c>
      <c r="T11" s="484"/>
      <c r="U11" s="484"/>
      <c r="V11" s="484"/>
      <c r="W11" s="484"/>
      <c r="X11" s="484"/>
      <c r="Y11" s="484"/>
      <c r="Z11" s="485" t="s">
        <v>326</v>
      </c>
    </row>
    <row r="12" spans="1:26" x14ac:dyDescent="0.3">
      <c r="A12" s="18"/>
      <c r="B12" s="492" t="s">
        <v>31</v>
      </c>
      <c r="C12" s="493"/>
      <c r="D12" s="21"/>
      <c r="E12" s="21"/>
      <c r="F12" s="21"/>
      <c r="G12" s="21"/>
      <c r="H12" s="21"/>
      <c r="I12" s="21"/>
      <c r="J12" s="21"/>
      <c r="K12" s="21"/>
      <c r="L12" s="21"/>
      <c r="M12" s="21"/>
      <c r="N12" s="21"/>
      <c r="O12" s="20"/>
      <c r="Q12" s="484"/>
      <c r="R12" s="484"/>
      <c r="S12" s="484"/>
      <c r="T12" s="484"/>
      <c r="U12" s="484"/>
      <c r="V12" s="484"/>
      <c r="W12" s="484"/>
      <c r="X12" s="484"/>
      <c r="Y12" s="484"/>
      <c r="Z12" s="485"/>
    </row>
    <row r="13" spans="1:26" x14ac:dyDescent="0.3">
      <c r="A13" s="18"/>
      <c r="B13" s="3" t="s">
        <v>16</v>
      </c>
      <c r="C13" s="9" t="s">
        <v>17</v>
      </c>
      <c r="D13" s="21"/>
      <c r="E13" s="21"/>
      <c r="F13" s="21"/>
      <c r="G13" s="21"/>
      <c r="H13" s="21"/>
      <c r="I13" s="21"/>
      <c r="J13" s="21"/>
      <c r="K13" s="21"/>
      <c r="L13" s="21"/>
      <c r="M13" s="21"/>
      <c r="N13" s="21"/>
      <c r="O13" s="20"/>
      <c r="Q13" s="484"/>
      <c r="R13" s="484"/>
      <c r="S13" s="484"/>
      <c r="T13" s="484"/>
      <c r="U13" s="484"/>
      <c r="V13" s="484"/>
      <c r="W13" s="484"/>
      <c r="X13" s="484"/>
      <c r="Y13" s="484"/>
      <c r="Z13" s="485"/>
    </row>
    <row r="14" spans="1:26" ht="15" customHeight="1" x14ac:dyDescent="0.3">
      <c r="A14" s="18"/>
      <c r="B14" s="10" t="s">
        <v>3861</v>
      </c>
      <c r="C14" s="43" t="s">
        <v>60</v>
      </c>
      <c r="D14" s="21"/>
      <c r="E14" s="21"/>
      <c r="F14" s="21"/>
      <c r="G14" s="21"/>
      <c r="H14" s="21"/>
      <c r="I14" s="21"/>
      <c r="J14" s="21"/>
      <c r="K14" s="21"/>
      <c r="L14" s="21"/>
      <c r="M14" s="21"/>
      <c r="N14" s="21"/>
      <c r="O14" s="20"/>
      <c r="Q14" s="126" t="s">
        <v>328</v>
      </c>
    </row>
    <row r="15" spans="1:26" x14ac:dyDescent="0.3">
      <c r="A15" s="18"/>
      <c r="B15" s="1" t="s">
        <v>30</v>
      </c>
      <c r="C15" s="4" t="b">
        <v>1</v>
      </c>
      <c r="D15" s="21"/>
      <c r="E15" s="21"/>
      <c r="F15" s="21"/>
      <c r="G15" s="21"/>
      <c r="H15" s="21"/>
      <c r="I15" s="21"/>
      <c r="J15" s="21"/>
      <c r="K15" s="21"/>
      <c r="L15" s="21"/>
      <c r="M15" s="21"/>
      <c r="N15" s="21"/>
      <c r="O15" s="20"/>
    </row>
    <row r="16" spans="1:26" x14ac:dyDescent="0.3">
      <c r="A16" s="18"/>
      <c r="B16" s="21"/>
      <c r="C16" s="21"/>
      <c r="D16" s="21"/>
      <c r="E16" s="21"/>
      <c r="F16" s="21"/>
      <c r="G16" s="21"/>
      <c r="H16" s="21"/>
      <c r="I16" s="21"/>
      <c r="J16" s="21"/>
      <c r="K16" s="21"/>
      <c r="L16" s="21"/>
      <c r="M16" s="21"/>
      <c r="N16" s="21"/>
      <c r="O16" s="20"/>
    </row>
    <row r="17" spans="1:26" x14ac:dyDescent="0.3">
      <c r="A17" s="18"/>
      <c r="B17" s="21"/>
      <c r="C17" s="21"/>
      <c r="D17" s="21"/>
      <c r="E17" s="21"/>
      <c r="F17" s="21"/>
      <c r="G17" s="21"/>
      <c r="H17" s="21"/>
      <c r="I17" s="21"/>
      <c r="J17" s="21"/>
      <c r="K17" s="21"/>
      <c r="L17" s="21"/>
      <c r="M17" s="21"/>
      <c r="N17" s="21"/>
      <c r="O17" s="20"/>
      <c r="Q17" s="486" t="s">
        <v>3595</v>
      </c>
      <c r="R17" s="486"/>
      <c r="S17" s="486"/>
      <c r="T17" s="486"/>
      <c r="U17" s="486"/>
      <c r="V17" s="486"/>
      <c r="W17" s="486"/>
      <c r="X17" s="486"/>
      <c r="Y17" s="486"/>
      <c r="Z17" s="486"/>
    </row>
    <row r="18" spans="1:26" ht="15" customHeight="1" x14ac:dyDescent="0.3">
      <c r="A18" s="18"/>
      <c r="B18" s="21"/>
      <c r="C18" s="21"/>
      <c r="D18" s="21"/>
      <c r="E18" s="21"/>
      <c r="F18" s="21"/>
      <c r="G18" s="21"/>
      <c r="H18" s="21"/>
      <c r="I18" s="21"/>
      <c r="J18" s="21"/>
      <c r="K18" s="21"/>
      <c r="L18" s="21"/>
      <c r="M18" s="21"/>
      <c r="N18" s="21"/>
      <c r="O18" s="20"/>
      <c r="Q18" s="487" t="s">
        <v>333</v>
      </c>
      <c r="R18" s="487"/>
      <c r="S18" s="487" t="s">
        <v>435</v>
      </c>
      <c r="T18" s="487"/>
      <c r="U18" s="487"/>
      <c r="V18" s="487"/>
      <c r="W18" s="487"/>
      <c r="X18" s="487"/>
      <c r="Y18" s="487"/>
      <c r="Z18" s="487"/>
    </row>
    <row r="19" spans="1:26" x14ac:dyDescent="0.3">
      <c r="A19" s="18"/>
      <c r="B19" s="21"/>
      <c r="C19" s="21"/>
      <c r="D19" s="21"/>
      <c r="E19" s="21"/>
      <c r="F19" s="21"/>
      <c r="G19" s="21"/>
      <c r="H19" s="21"/>
      <c r="I19" s="21"/>
      <c r="J19" s="21"/>
      <c r="K19" s="21"/>
      <c r="L19" s="21"/>
      <c r="M19" s="21"/>
      <c r="N19" s="21"/>
      <c r="O19" s="20"/>
      <c r="Q19" s="487"/>
      <c r="R19" s="487"/>
      <c r="S19" s="487"/>
      <c r="T19" s="487"/>
      <c r="U19" s="487"/>
      <c r="V19" s="487"/>
      <c r="W19" s="487"/>
      <c r="X19" s="487"/>
      <c r="Y19" s="487"/>
      <c r="Z19" s="487"/>
    </row>
    <row r="20" spans="1:26" x14ac:dyDescent="0.3">
      <c r="A20" s="18"/>
      <c r="B20" s="21"/>
      <c r="C20" s="21"/>
      <c r="D20" s="21"/>
      <c r="E20" s="21"/>
      <c r="F20" s="21"/>
      <c r="G20" s="21"/>
      <c r="H20" s="21"/>
      <c r="I20" s="21"/>
      <c r="J20" s="21"/>
      <c r="K20" s="21"/>
      <c r="L20" s="21"/>
      <c r="M20" s="21"/>
      <c r="N20" s="21"/>
      <c r="O20" s="20"/>
      <c r="Q20" s="487"/>
      <c r="R20" s="487"/>
      <c r="S20" s="487"/>
      <c r="T20" s="487"/>
      <c r="U20" s="487"/>
      <c r="V20" s="487"/>
      <c r="W20" s="487"/>
      <c r="X20" s="487"/>
      <c r="Y20" s="487"/>
      <c r="Z20" s="487"/>
    </row>
    <row r="21" spans="1:26" x14ac:dyDescent="0.3">
      <c r="A21" s="18"/>
      <c r="B21" s="589" t="s">
        <v>51</v>
      </c>
      <c r="C21" s="589"/>
      <c r="D21" s="589"/>
      <c r="E21" s="589"/>
      <c r="F21" s="589"/>
      <c r="G21" s="589"/>
      <c r="H21" s="589"/>
      <c r="I21" s="589"/>
      <c r="J21" s="589"/>
      <c r="K21" s="589"/>
      <c r="L21" s="21"/>
      <c r="M21" s="21"/>
      <c r="N21" s="21"/>
      <c r="O21" s="20"/>
      <c r="Q21" s="483" t="s">
        <v>323</v>
      </c>
      <c r="R21" s="483"/>
      <c r="S21" s="483" t="s">
        <v>1</v>
      </c>
      <c r="T21" s="483"/>
      <c r="U21" s="483"/>
      <c r="V21" s="483"/>
      <c r="W21" s="483"/>
      <c r="X21" s="483"/>
      <c r="Y21" s="483"/>
      <c r="Z21" s="85" t="s">
        <v>324</v>
      </c>
    </row>
    <row r="22" spans="1:26" x14ac:dyDescent="0.3">
      <c r="A22" s="18"/>
      <c r="B22" s="21"/>
      <c r="C22" s="21"/>
      <c r="D22" s="21"/>
      <c r="E22" s="21"/>
      <c r="F22" s="21"/>
      <c r="G22" s="21"/>
      <c r="H22" s="21"/>
      <c r="I22" s="21"/>
      <c r="J22" s="21"/>
      <c r="K22" s="21"/>
      <c r="L22" s="21"/>
      <c r="M22" s="21"/>
      <c r="N22" s="21"/>
      <c r="O22" s="20"/>
      <c r="Q22" s="487" t="s">
        <v>436</v>
      </c>
      <c r="R22" s="487"/>
      <c r="S22" s="487" t="s">
        <v>440</v>
      </c>
      <c r="T22" s="487"/>
      <c r="U22" s="487"/>
      <c r="V22" s="487"/>
      <c r="W22" s="487"/>
      <c r="X22" s="487"/>
      <c r="Y22" s="487"/>
      <c r="Z22" s="509" t="s">
        <v>325</v>
      </c>
    </row>
    <row r="23" spans="1:26" x14ac:dyDescent="0.3">
      <c r="A23" s="18"/>
      <c r="B23" s="21"/>
      <c r="C23" s="21"/>
      <c r="D23" s="21"/>
      <c r="E23" s="21"/>
      <c r="F23" s="21"/>
      <c r="G23" s="21"/>
      <c r="H23" s="21"/>
      <c r="I23" s="21"/>
      <c r="J23" s="21"/>
      <c r="K23" s="21"/>
      <c r="L23" s="21"/>
      <c r="M23" s="21"/>
      <c r="N23" s="21"/>
      <c r="O23" s="20"/>
      <c r="Q23" s="487"/>
      <c r="R23" s="487"/>
      <c r="S23" s="487"/>
      <c r="T23" s="487"/>
      <c r="U23" s="487"/>
      <c r="V23" s="487"/>
      <c r="W23" s="487"/>
      <c r="X23" s="487"/>
      <c r="Y23" s="487"/>
      <c r="Z23" s="509"/>
    </row>
    <row r="24" spans="1:26" x14ac:dyDescent="0.3">
      <c r="A24" s="18"/>
      <c r="B24" s="21"/>
      <c r="C24" s="21"/>
      <c r="D24" s="21"/>
      <c r="E24" s="21"/>
      <c r="F24" s="21"/>
      <c r="G24" s="21"/>
      <c r="H24" s="21"/>
      <c r="I24" s="21"/>
      <c r="J24" s="21"/>
      <c r="K24" s="21"/>
      <c r="L24" s="21"/>
      <c r="M24" s="21"/>
      <c r="N24" s="21"/>
      <c r="O24" s="20"/>
      <c r="Q24" s="487"/>
      <c r="R24" s="487"/>
      <c r="S24" s="487"/>
      <c r="T24" s="487"/>
      <c r="U24" s="487"/>
      <c r="V24" s="487"/>
      <c r="W24" s="487"/>
      <c r="X24" s="487"/>
      <c r="Y24" s="487"/>
      <c r="Z24" s="509"/>
    </row>
    <row r="25" spans="1:26" ht="15" customHeight="1" x14ac:dyDescent="0.3">
      <c r="A25" s="18"/>
      <c r="B25" s="492" t="s">
        <v>32</v>
      </c>
      <c r="C25" s="493"/>
      <c r="D25" s="21"/>
      <c r="E25" s="5" t="s">
        <v>11</v>
      </c>
      <c r="F25" s="42" t="s">
        <v>29</v>
      </c>
      <c r="G25" s="21"/>
      <c r="H25" s="21"/>
      <c r="I25" s="21"/>
      <c r="J25" s="21"/>
      <c r="K25" s="21"/>
      <c r="L25" s="21"/>
      <c r="M25" s="21"/>
      <c r="N25" s="21"/>
      <c r="O25" s="20"/>
      <c r="Q25" s="496" t="s">
        <v>437</v>
      </c>
      <c r="R25" s="497"/>
      <c r="S25" s="496" t="s">
        <v>441</v>
      </c>
      <c r="T25" s="502"/>
      <c r="U25" s="502"/>
      <c r="V25" s="502"/>
      <c r="W25" s="502"/>
      <c r="X25" s="502"/>
      <c r="Y25" s="497"/>
      <c r="Z25" s="485" t="s">
        <v>326</v>
      </c>
    </row>
    <row r="26" spans="1:26" x14ac:dyDescent="0.3">
      <c r="A26" s="18"/>
      <c r="B26" s="3" t="s">
        <v>16</v>
      </c>
      <c r="C26" s="9" t="s">
        <v>17</v>
      </c>
      <c r="D26" s="21"/>
      <c r="E26" s="5" t="s">
        <v>12</v>
      </c>
      <c r="F26" s="42" t="s">
        <v>6</v>
      </c>
      <c r="G26" s="21"/>
      <c r="H26" s="21"/>
      <c r="I26" s="21"/>
      <c r="J26" s="21"/>
      <c r="K26" s="21"/>
      <c r="L26" s="21"/>
      <c r="M26" s="21"/>
      <c r="N26" s="21"/>
      <c r="O26" s="20"/>
      <c r="Q26" s="498"/>
      <c r="R26" s="499"/>
      <c r="S26" s="498"/>
      <c r="T26" s="503"/>
      <c r="U26" s="503"/>
      <c r="V26" s="503"/>
      <c r="W26" s="503"/>
      <c r="X26" s="503"/>
      <c r="Y26" s="499"/>
      <c r="Z26" s="485"/>
    </row>
    <row r="27" spans="1:26" x14ac:dyDescent="0.3">
      <c r="A27" s="18"/>
      <c r="B27" s="1" t="s">
        <v>3861</v>
      </c>
      <c r="C27" s="44" t="s">
        <v>60</v>
      </c>
      <c r="D27" s="21"/>
      <c r="E27" s="7" t="s">
        <v>24</v>
      </c>
      <c r="F27" s="6" t="str" cm="1">
        <f t="array" ref="F27">_xll.U.SUBSCRIBE(F25,F26,B27:C27)</f>
        <v>U/DESK3/PNL | 2026-04-19 14:17:40.726</v>
      </c>
      <c r="G27" s="21"/>
      <c r="H27" s="21"/>
      <c r="I27" s="21"/>
      <c r="J27" s="21"/>
      <c r="K27" s="21"/>
      <c r="L27" s="21"/>
      <c r="M27" s="21"/>
      <c r="N27" s="21"/>
      <c r="O27" s="20"/>
      <c r="Q27" s="500"/>
      <c r="R27" s="501"/>
      <c r="S27" s="500"/>
      <c r="T27" s="504"/>
      <c r="U27" s="504"/>
      <c r="V27" s="504"/>
      <c r="W27" s="504"/>
      <c r="X27" s="504"/>
      <c r="Y27" s="501"/>
      <c r="Z27" s="485"/>
    </row>
    <row r="28" spans="1:26" ht="15" customHeight="1" x14ac:dyDescent="0.3">
      <c r="A28" s="18"/>
      <c r="B28" s="21"/>
      <c r="C28" s="21"/>
      <c r="D28" s="21"/>
      <c r="E28" s="21"/>
      <c r="F28" s="21"/>
      <c r="G28" s="21"/>
      <c r="H28" s="21"/>
      <c r="I28" s="21"/>
      <c r="J28" s="21"/>
      <c r="K28" s="21"/>
      <c r="L28" s="21"/>
      <c r="M28" s="21"/>
      <c r="N28" s="21"/>
      <c r="O28" s="20"/>
      <c r="Q28" s="484" t="s">
        <v>321</v>
      </c>
      <c r="R28" s="484"/>
      <c r="S28" s="484" t="s">
        <v>438</v>
      </c>
      <c r="T28" s="484"/>
      <c r="U28" s="484"/>
      <c r="V28" s="484"/>
      <c r="W28" s="484"/>
      <c r="X28" s="484"/>
      <c r="Y28" s="484"/>
      <c r="Z28" s="485" t="s">
        <v>326</v>
      </c>
    </row>
    <row r="29" spans="1:26" x14ac:dyDescent="0.3">
      <c r="A29" s="18"/>
      <c r="B29" s="21"/>
      <c r="C29" s="21"/>
      <c r="D29" s="21"/>
      <c r="E29" s="492" t="s">
        <v>3362</v>
      </c>
      <c r="F29" s="493"/>
      <c r="G29" s="21"/>
      <c r="H29" s="21"/>
      <c r="I29" s="21"/>
      <c r="J29" s="21"/>
      <c r="K29" s="21"/>
      <c r="L29" s="21"/>
      <c r="M29" s="21"/>
      <c r="N29" s="21"/>
      <c r="O29" s="20"/>
      <c r="Q29" s="484"/>
      <c r="R29" s="484"/>
      <c r="S29" s="484"/>
      <c r="T29" s="484"/>
      <c r="U29" s="484"/>
      <c r="V29" s="484"/>
      <c r="W29" s="484"/>
      <c r="X29" s="484"/>
      <c r="Y29" s="484"/>
      <c r="Z29" s="485"/>
    </row>
    <row r="30" spans="1:26" x14ac:dyDescent="0.3">
      <c r="A30" s="18"/>
      <c r="B30" s="21"/>
      <c r="C30" s="21"/>
      <c r="D30" s="21"/>
      <c r="E30" s="12" t="str">
        <f t="array" ref="E30:F32">_xll.U.GET(F27,,,B27:C27)</f>
        <v>Symbol</v>
      </c>
      <c r="F30" s="13" t="str">
        <v>Delta</v>
      </c>
      <c r="G30" s="21"/>
      <c r="H30" s="21"/>
      <c r="I30" s="21"/>
      <c r="J30" s="21"/>
      <c r="K30" s="21"/>
      <c r="L30" s="21"/>
      <c r="M30" s="21"/>
      <c r="N30" s="21"/>
      <c r="O30" s="20"/>
      <c r="Q30" s="484"/>
      <c r="R30" s="484"/>
      <c r="S30" s="484"/>
      <c r="T30" s="484"/>
      <c r="U30" s="484"/>
      <c r="V30" s="484"/>
      <c r="W30" s="484"/>
      <c r="X30" s="484"/>
      <c r="Y30" s="484"/>
      <c r="Z30" s="485"/>
    </row>
    <row r="31" spans="1:26" x14ac:dyDescent="0.3">
      <c r="A31" s="18"/>
      <c r="B31" s="21"/>
      <c r="C31" s="21"/>
      <c r="D31" s="21"/>
      <c r="E31" s="10" t="str">
        <v>ABC</v>
      </c>
      <c r="F31" s="11">
        <v>2500</v>
      </c>
      <c r="G31" s="21"/>
      <c r="H31" s="21"/>
      <c r="I31" s="21"/>
      <c r="J31" s="21"/>
      <c r="K31" s="21"/>
      <c r="L31" s="21"/>
      <c r="M31" s="21"/>
      <c r="N31" s="21"/>
      <c r="O31" s="20"/>
      <c r="Q31" s="126" t="s">
        <v>328</v>
      </c>
    </row>
    <row r="32" spans="1:26" x14ac:dyDescent="0.3">
      <c r="A32" s="18"/>
      <c r="B32" s="21"/>
      <c r="C32" s="21"/>
      <c r="D32" s="21"/>
      <c r="E32" s="10" t="str">
        <v>XYZ</v>
      </c>
      <c r="F32" s="11">
        <v>-360</v>
      </c>
      <c r="G32" s="21"/>
      <c r="H32" s="21"/>
      <c r="I32" s="21"/>
      <c r="J32" s="21"/>
      <c r="K32" s="21"/>
      <c r="L32" s="21"/>
      <c r="M32" s="21"/>
      <c r="N32" s="21"/>
      <c r="O32" s="20"/>
    </row>
    <row r="33" spans="1:26" x14ac:dyDescent="0.3">
      <c r="A33" s="18"/>
      <c r="B33" s="21"/>
      <c r="C33" s="21"/>
      <c r="D33" s="21"/>
      <c r="E33" s="21"/>
      <c r="F33" s="21"/>
      <c r="G33" s="21"/>
      <c r="H33" s="21"/>
      <c r="I33" s="21"/>
      <c r="J33" s="21"/>
      <c r="K33" s="21"/>
      <c r="L33" s="21"/>
      <c r="M33" s="21"/>
      <c r="N33" s="21"/>
      <c r="O33" s="20"/>
    </row>
    <row r="34" spans="1:26" x14ac:dyDescent="0.3">
      <c r="A34" s="18"/>
      <c r="B34" s="21"/>
      <c r="C34" s="21"/>
      <c r="D34" s="21"/>
      <c r="E34" s="21"/>
      <c r="F34" s="21"/>
      <c r="G34" s="21"/>
      <c r="H34" s="21"/>
      <c r="I34" s="21"/>
      <c r="J34" s="21"/>
      <c r="K34" s="21"/>
      <c r="L34" s="21"/>
      <c r="M34" s="21"/>
      <c r="N34" s="21"/>
      <c r="O34" s="20"/>
      <c r="Q34" s="486" t="s">
        <v>3596</v>
      </c>
      <c r="R34" s="486"/>
      <c r="S34" s="486"/>
      <c r="T34" s="486"/>
      <c r="U34" s="486"/>
      <c r="V34" s="486"/>
      <c r="W34" s="486"/>
      <c r="X34" s="486"/>
      <c r="Y34" s="486"/>
      <c r="Z34" s="486"/>
    </row>
    <row r="35" spans="1:26" x14ac:dyDescent="0.3">
      <c r="A35" s="18"/>
      <c r="B35" s="21"/>
      <c r="C35" s="21"/>
      <c r="D35" s="21"/>
      <c r="E35" s="21"/>
      <c r="F35" s="21"/>
      <c r="G35" s="21"/>
      <c r="H35" s="21"/>
      <c r="I35" s="21"/>
      <c r="J35" s="21"/>
      <c r="K35" s="21"/>
      <c r="L35" s="21"/>
      <c r="M35" s="21"/>
      <c r="N35" s="21"/>
      <c r="O35" s="20"/>
      <c r="Q35" s="487" t="s">
        <v>333</v>
      </c>
      <c r="R35" s="487"/>
      <c r="S35" s="487" t="s">
        <v>442</v>
      </c>
      <c r="T35" s="487"/>
      <c r="U35" s="487"/>
      <c r="V35" s="487"/>
      <c r="W35" s="487"/>
      <c r="X35" s="487"/>
      <c r="Y35" s="487"/>
      <c r="Z35" s="487"/>
    </row>
    <row r="36" spans="1:26" x14ac:dyDescent="0.3">
      <c r="A36" s="18"/>
      <c r="B36" s="21"/>
      <c r="C36" s="21"/>
      <c r="D36" s="21"/>
      <c r="E36" s="21"/>
      <c r="F36" s="21"/>
      <c r="G36" s="21"/>
      <c r="H36" s="21"/>
      <c r="I36" s="21"/>
      <c r="J36" s="21"/>
      <c r="K36" s="21"/>
      <c r="L36" s="21"/>
      <c r="M36" s="21"/>
      <c r="N36" s="21"/>
      <c r="O36" s="20"/>
      <c r="Q36" s="487"/>
      <c r="R36" s="487"/>
      <c r="S36" s="487"/>
      <c r="T36" s="487"/>
      <c r="U36" s="487"/>
      <c r="V36" s="487"/>
      <c r="W36" s="487"/>
      <c r="X36" s="487"/>
      <c r="Y36" s="487"/>
      <c r="Z36" s="487"/>
    </row>
    <row r="37" spans="1:26" x14ac:dyDescent="0.3">
      <c r="A37" s="18"/>
      <c r="B37" s="21"/>
      <c r="C37" s="21"/>
      <c r="D37" s="21"/>
      <c r="E37" s="21"/>
      <c r="F37" s="21"/>
      <c r="G37" s="21"/>
      <c r="H37" s="21"/>
      <c r="I37" s="21"/>
      <c r="J37" s="21"/>
      <c r="K37" s="21"/>
      <c r="L37" s="21"/>
      <c r="M37" s="21"/>
      <c r="N37" s="21"/>
      <c r="O37" s="20"/>
      <c r="Q37" s="487"/>
      <c r="R37" s="487"/>
      <c r="S37" s="487"/>
      <c r="T37" s="487"/>
      <c r="U37" s="487"/>
      <c r="V37" s="487"/>
      <c r="W37" s="487"/>
      <c r="X37" s="487"/>
      <c r="Y37" s="487"/>
      <c r="Z37" s="487"/>
    </row>
    <row r="38" spans="1:26" x14ac:dyDescent="0.3">
      <c r="A38" s="18"/>
      <c r="B38" s="589" t="s">
        <v>53</v>
      </c>
      <c r="C38" s="589"/>
      <c r="D38" s="589"/>
      <c r="E38" s="589"/>
      <c r="F38" s="589"/>
      <c r="G38" s="589"/>
      <c r="H38" s="589"/>
      <c r="I38" s="589"/>
      <c r="J38" s="589"/>
      <c r="K38" s="589"/>
      <c r="L38" s="21"/>
      <c r="M38" s="21"/>
      <c r="N38" s="21"/>
      <c r="O38" s="20"/>
      <c r="Q38" s="483" t="s">
        <v>323</v>
      </c>
      <c r="R38" s="483"/>
      <c r="S38" s="483" t="s">
        <v>1</v>
      </c>
      <c r="T38" s="483"/>
      <c r="U38" s="483"/>
      <c r="V38" s="483"/>
      <c r="W38" s="483"/>
      <c r="X38" s="483"/>
      <c r="Y38" s="483"/>
      <c r="Z38" s="85" t="s">
        <v>324</v>
      </c>
    </row>
    <row r="39" spans="1:26" ht="15" customHeight="1" x14ac:dyDescent="0.3">
      <c r="A39" s="18"/>
      <c r="B39" s="21"/>
      <c r="C39" s="21"/>
      <c r="D39" s="21"/>
      <c r="E39" s="21"/>
      <c r="F39" s="21"/>
      <c r="G39" s="21"/>
      <c r="H39" s="21"/>
      <c r="I39" s="21"/>
      <c r="J39" s="21"/>
      <c r="K39" s="21"/>
      <c r="L39" s="21"/>
      <c r="M39" s="21"/>
      <c r="N39" s="21"/>
      <c r="O39" s="20"/>
      <c r="Q39" s="487" t="s">
        <v>318</v>
      </c>
      <c r="R39" s="487"/>
      <c r="S39" s="487" t="s">
        <v>400</v>
      </c>
      <c r="T39" s="487"/>
      <c r="U39" s="487"/>
      <c r="V39" s="487"/>
      <c r="W39" s="487"/>
      <c r="X39" s="487"/>
      <c r="Y39" s="487"/>
      <c r="Z39" s="509" t="s">
        <v>325</v>
      </c>
    </row>
    <row r="40" spans="1:26" x14ac:dyDescent="0.3">
      <c r="A40" s="18"/>
      <c r="B40" s="21"/>
      <c r="C40" s="21"/>
      <c r="D40" s="21"/>
      <c r="E40" s="21"/>
      <c r="F40" s="21"/>
      <c r="G40" s="21"/>
      <c r="H40" s="21"/>
      <c r="I40" s="21"/>
      <c r="J40" s="21"/>
      <c r="K40" s="21"/>
      <c r="L40" s="21"/>
      <c r="M40" s="21"/>
      <c r="N40" s="21"/>
      <c r="O40" s="20"/>
      <c r="Q40" s="487"/>
      <c r="R40" s="487"/>
      <c r="S40" s="487"/>
      <c r="T40" s="487"/>
      <c r="U40" s="487"/>
      <c r="V40" s="487"/>
      <c r="W40" s="487"/>
      <c r="X40" s="487"/>
      <c r="Y40" s="487"/>
      <c r="Z40" s="509"/>
    </row>
    <row r="41" spans="1:26" x14ac:dyDescent="0.3">
      <c r="A41" s="18"/>
      <c r="B41" s="21"/>
      <c r="C41" s="21"/>
      <c r="D41" s="21"/>
      <c r="E41" s="21"/>
      <c r="F41" s="21"/>
      <c r="G41" s="21"/>
      <c r="H41" s="21"/>
      <c r="I41" s="21"/>
      <c r="J41" s="21"/>
      <c r="K41" s="21"/>
      <c r="L41" s="21"/>
      <c r="M41" s="21"/>
      <c r="N41" s="21"/>
      <c r="O41" s="20"/>
      <c r="Q41" s="487"/>
      <c r="R41" s="487"/>
      <c r="S41" s="487"/>
      <c r="T41" s="487"/>
      <c r="U41" s="487"/>
      <c r="V41" s="487"/>
      <c r="W41" s="487"/>
      <c r="X41" s="487"/>
      <c r="Y41" s="487"/>
      <c r="Z41" s="509"/>
    </row>
    <row r="42" spans="1:26" ht="15" customHeight="1" x14ac:dyDescent="0.3">
      <c r="A42" s="18"/>
      <c r="B42" s="492" t="s">
        <v>35</v>
      </c>
      <c r="C42" s="493"/>
      <c r="D42" s="21"/>
      <c r="E42" s="5" t="s">
        <v>11</v>
      </c>
      <c r="F42" s="42" t="s">
        <v>29</v>
      </c>
      <c r="G42" s="21"/>
      <c r="H42" s="21"/>
      <c r="I42" s="21"/>
      <c r="J42" s="21"/>
      <c r="K42" s="21"/>
      <c r="L42" s="21"/>
      <c r="M42" s="21"/>
      <c r="N42" s="21"/>
      <c r="O42" s="20"/>
      <c r="Q42" s="487" t="s">
        <v>319</v>
      </c>
      <c r="R42" s="487"/>
      <c r="S42" s="487" t="s">
        <v>401</v>
      </c>
      <c r="T42" s="487"/>
      <c r="U42" s="487"/>
      <c r="V42" s="487"/>
      <c r="W42" s="487"/>
      <c r="X42" s="487"/>
      <c r="Y42" s="487"/>
      <c r="Z42" s="509" t="s">
        <v>325</v>
      </c>
    </row>
    <row r="43" spans="1:26" x14ac:dyDescent="0.3">
      <c r="A43" s="18"/>
      <c r="B43" s="3" t="s">
        <v>2</v>
      </c>
      <c r="C43" s="9" t="s">
        <v>8</v>
      </c>
      <c r="D43" s="21"/>
      <c r="E43" s="5" t="s">
        <v>12</v>
      </c>
      <c r="F43" s="42" t="s">
        <v>33</v>
      </c>
      <c r="G43" s="21"/>
      <c r="H43" s="21"/>
      <c r="I43" s="21"/>
      <c r="J43" s="21"/>
      <c r="K43" s="21"/>
      <c r="L43" s="21"/>
      <c r="M43" s="21"/>
      <c r="N43" s="21"/>
      <c r="O43" s="20"/>
      <c r="Q43" s="487"/>
      <c r="R43" s="487"/>
      <c r="S43" s="487"/>
      <c r="T43" s="487"/>
      <c r="U43" s="487"/>
      <c r="V43" s="487"/>
      <c r="W43" s="487"/>
      <c r="X43" s="487"/>
      <c r="Y43" s="487"/>
      <c r="Z43" s="509"/>
    </row>
    <row r="44" spans="1:26" x14ac:dyDescent="0.3">
      <c r="A44" s="18"/>
      <c r="B44" s="1" t="s">
        <v>37</v>
      </c>
      <c r="C44" s="4" t="s">
        <v>39</v>
      </c>
      <c r="D44" s="21"/>
      <c r="E44" s="7" t="s">
        <v>9</v>
      </c>
      <c r="F44" s="6" cm="1">
        <f t="array" ref="F44">_xll.U.PUBLISH(F42,F43,B43:C44,B52:C52)</f>
        <v>46072.453147858796</v>
      </c>
      <c r="G44" s="21"/>
      <c r="H44" s="21"/>
      <c r="I44" s="21"/>
      <c r="J44" s="21"/>
      <c r="K44" s="21"/>
      <c r="L44" s="21"/>
      <c r="M44" s="21"/>
      <c r="N44" s="21"/>
      <c r="O44" s="20"/>
      <c r="Q44" s="487"/>
      <c r="R44" s="487"/>
      <c r="S44" s="487"/>
      <c r="T44" s="487"/>
      <c r="U44" s="487"/>
      <c r="V44" s="487"/>
      <c r="W44" s="487"/>
      <c r="X44" s="487"/>
      <c r="Y44" s="487"/>
      <c r="Z44" s="509"/>
    </row>
    <row r="45" spans="1:26" ht="15" customHeight="1" x14ac:dyDescent="0.3">
      <c r="A45" s="18"/>
      <c r="B45" s="21"/>
      <c r="C45" s="21"/>
      <c r="D45" s="21"/>
      <c r="E45" s="21"/>
      <c r="F45" s="21"/>
      <c r="G45" s="21"/>
      <c r="H45" s="21"/>
      <c r="I45" s="21"/>
      <c r="J45" s="21"/>
      <c r="K45" s="21"/>
      <c r="L45" s="21"/>
      <c r="M45" s="21"/>
      <c r="N45" s="21"/>
      <c r="O45" s="20"/>
      <c r="Q45" s="484" t="s">
        <v>322</v>
      </c>
      <c r="R45" s="484"/>
      <c r="S45" s="484" t="s">
        <v>994</v>
      </c>
      <c r="T45" s="484"/>
      <c r="U45" s="484"/>
      <c r="V45" s="484"/>
      <c r="W45" s="484"/>
      <c r="X45" s="484"/>
      <c r="Y45" s="484"/>
      <c r="Z45" s="485" t="s">
        <v>326</v>
      </c>
    </row>
    <row r="46" spans="1:26" x14ac:dyDescent="0.3">
      <c r="A46" s="18"/>
      <c r="B46" s="492" t="s">
        <v>36</v>
      </c>
      <c r="C46" s="493"/>
      <c r="D46" s="21"/>
      <c r="E46" s="5" t="s">
        <v>11</v>
      </c>
      <c r="F46" s="42" t="s">
        <v>29</v>
      </c>
      <c r="G46" s="21"/>
      <c r="H46" s="21"/>
      <c r="I46" s="21"/>
      <c r="J46" s="21"/>
      <c r="K46" s="21"/>
      <c r="L46" s="21"/>
      <c r="M46" s="21"/>
      <c r="N46" s="21"/>
      <c r="O46" s="20"/>
      <c r="Q46" s="484"/>
      <c r="R46" s="484"/>
      <c r="S46" s="484"/>
      <c r="T46" s="484"/>
      <c r="U46" s="484"/>
      <c r="V46" s="484"/>
      <c r="W46" s="484"/>
      <c r="X46" s="484"/>
      <c r="Y46" s="484"/>
      <c r="Z46" s="485"/>
    </row>
    <row r="47" spans="1:26" x14ac:dyDescent="0.3">
      <c r="A47" s="18"/>
      <c r="B47" s="3" t="s">
        <v>2</v>
      </c>
      <c r="C47" s="9" t="s">
        <v>8</v>
      </c>
      <c r="D47" s="21"/>
      <c r="E47" s="5" t="s">
        <v>12</v>
      </c>
      <c r="F47" s="42" t="s">
        <v>34</v>
      </c>
      <c r="G47" s="21"/>
      <c r="H47" s="21"/>
      <c r="I47" s="21"/>
      <c r="J47" s="21"/>
      <c r="K47" s="21"/>
      <c r="L47" s="21"/>
      <c r="M47" s="21"/>
      <c r="N47" s="21"/>
      <c r="O47" s="20"/>
      <c r="Q47" s="484"/>
      <c r="R47" s="484"/>
      <c r="S47" s="484"/>
      <c r="T47" s="484"/>
      <c r="U47" s="484"/>
      <c r="V47" s="484"/>
      <c r="W47" s="484"/>
      <c r="X47" s="484"/>
      <c r="Y47" s="484"/>
      <c r="Z47" s="485"/>
    </row>
    <row r="48" spans="1:26" x14ac:dyDescent="0.3">
      <c r="A48" s="18"/>
      <c r="B48" s="1" t="s">
        <v>38</v>
      </c>
      <c r="C48" s="15">
        <v>42795</v>
      </c>
      <c r="D48" s="21"/>
      <c r="E48" s="7" t="s">
        <v>9</v>
      </c>
      <c r="F48" s="6" cm="1">
        <f t="array" ref="F48">_xll.U.PUBLISH(F46,F47,B47:C48,B52:C52)</f>
        <v>46072.453056747683</v>
      </c>
      <c r="G48" s="21"/>
      <c r="H48" s="21"/>
      <c r="I48" s="21"/>
      <c r="J48" s="21"/>
      <c r="K48" s="21"/>
      <c r="L48" s="21"/>
      <c r="M48" s="21"/>
      <c r="N48" s="21"/>
      <c r="O48" s="20"/>
      <c r="Q48" s="126" t="s">
        <v>328</v>
      </c>
    </row>
    <row r="49" spans="1:26" x14ac:dyDescent="0.3">
      <c r="A49" s="18"/>
      <c r="B49" s="21"/>
      <c r="C49" s="21"/>
      <c r="D49" s="21"/>
      <c r="E49" s="21"/>
      <c r="F49" s="21"/>
      <c r="G49" s="21"/>
      <c r="H49" s="21"/>
      <c r="I49" s="21"/>
      <c r="J49" s="21"/>
      <c r="K49" s="21"/>
      <c r="L49" s="21"/>
      <c r="M49" s="21"/>
      <c r="N49" s="21"/>
      <c r="O49" s="20"/>
    </row>
    <row r="50" spans="1:26" x14ac:dyDescent="0.3">
      <c r="A50" s="18"/>
      <c r="B50" s="492" t="s">
        <v>31</v>
      </c>
      <c r="C50" s="493"/>
      <c r="D50" s="21"/>
      <c r="E50" s="21"/>
      <c r="F50" s="21"/>
      <c r="G50" s="21"/>
      <c r="H50" s="21"/>
      <c r="I50" s="21"/>
      <c r="J50" s="21"/>
      <c r="K50" s="21"/>
      <c r="L50" s="21"/>
      <c r="M50" s="21"/>
      <c r="N50" s="21"/>
      <c r="O50" s="20"/>
    </row>
    <row r="51" spans="1:26" x14ac:dyDescent="0.3">
      <c r="A51" s="18"/>
      <c r="B51" s="3" t="s">
        <v>16</v>
      </c>
      <c r="C51" s="9" t="s">
        <v>17</v>
      </c>
      <c r="D51" s="21"/>
      <c r="E51" s="21"/>
      <c r="F51" s="21"/>
      <c r="G51" s="21"/>
      <c r="H51" s="21"/>
      <c r="I51" s="21"/>
      <c r="J51" s="21"/>
      <c r="K51" s="21"/>
      <c r="L51" s="21"/>
      <c r="M51" s="21"/>
      <c r="N51" s="21"/>
      <c r="O51" s="20"/>
      <c r="Q51" s="486" t="s">
        <v>3597</v>
      </c>
      <c r="R51" s="486"/>
      <c r="S51" s="486"/>
      <c r="T51" s="486"/>
      <c r="U51" s="486"/>
      <c r="V51" s="486"/>
      <c r="W51" s="486"/>
      <c r="X51" s="486"/>
      <c r="Y51" s="486"/>
      <c r="Z51" s="486"/>
    </row>
    <row r="52" spans="1:26" x14ac:dyDescent="0.3">
      <c r="A52" s="18"/>
      <c r="B52" s="10" t="s">
        <v>3862</v>
      </c>
      <c r="C52" s="43" t="s">
        <v>3863</v>
      </c>
      <c r="D52" s="21"/>
      <c r="E52" s="21"/>
      <c r="F52" s="21"/>
      <c r="G52" s="21"/>
      <c r="H52" s="21"/>
      <c r="I52" s="21"/>
      <c r="J52" s="21"/>
      <c r="K52" s="21"/>
      <c r="L52" s="21"/>
      <c r="M52" s="21"/>
      <c r="N52" s="21"/>
      <c r="O52" s="20"/>
      <c r="Q52" s="487" t="s">
        <v>333</v>
      </c>
      <c r="R52" s="487"/>
      <c r="S52" s="487" t="s">
        <v>1639</v>
      </c>
      <c r="T52" s="487"/>
      <c r="U52" s="487"/>
      <c r="V52" s="487"/>
      <c r="W52" s="487"/>
      <c r="X52" s="487"/>
      <c r="Y52" s="487"/>
      <c r="Z52" s="487"/>
    </row>
    <row r="53" spans="1:26" x14ac:dyDescent="0.3">
      <c r="A53" s="18"/>
      <c r="B53" s="21"/>
      <c r="C53" s="21"/>
      <c r="D53" s="21"/>
      <c r="E53" s="21"/>
      <c r="F53" s="21"/>
      <c r="G53" s="21"/>
      <c r="H53" s="21"/>
      <c r="I53" s="21"/>
      <c r="J53" s="21"/>
      <c r="K53" s="21"/>
      <c r="L53" s="21"/>
      <c r="M53" s="21"/>
      <c r="N53" s="21"/>
      <c r="O53" s="20"/>
      <c r="Q53" s="487"/>
      <c r="R53" s="487"/>
      <c r="S53" s="487"/>
      <c r="T53" s="487"/>
      <c r="U53" s="487"/>
      <c r="V53" s="487"/>
      <c r="W53" s="487"/>
      <c r="X53" s="487"/>
      <c r="Y53" s="487"/>
      <c r="Z53" s="487"/>
    </row>
    <row r="54" spans="1:26" x14ac:dyDescent="0.3">
      <c r="A54" s="18"/>
      <c r="B54" s="21"/>
      <c r="C54" s="21"/>
      <c r="D54" s="21"/>
      <c r="E54" s="21"/>
      <c r="F54" s="21"/>
      <c r="G54" s="21"/>
      <c r="H54" s="21"/>
      <c r="I54" s="21"/>
      <c r="J54" s="21"/>
      <c r="K54" s="21"/>
      <c r="L54" s="21"/>
      <c r="M54" s="21"/>
      <c r="N54" s="21"/>
      <c r="O54" s="20"/>
      <c r="Q54" s="487"/>
      <c r="R54" s="487"/>
      <c r="S54" s="487"/>
      <c r="T54" s="487"/>
      <c r="U54" s="487"/>
      <c r="V54" s="487"/>
      <c r="W54" s="487"/>
      <c r="X54" s="487"/>
      <c r="Y54" s="487"/>
      <c r="Z54" s="487"/>
    </row>
    <row r="55" spans="1:26" x14ac:dyDescent="0.3">
      <c r="A55" s="18"/>
      <c r="B55" s="5" t="s">
        <v>11</v>
      </c>
      <c r="C55" s="42" t="s">
        <v>29</v>
      </c>
      <c r="D55" s="21"/>
      <c r="E55" s="21"/>
      <c r="F55" s="21"/>
      <c r="G55" s="21"/>
      <c r="H55" s="21"/>
      <c r="I55" s="21"/>
      <c r="J55" s="21"/>
      <c r="K55" s="21"/>
      <c r="L55" s="21"/>
      <c r="M55" s="21"/>
      <c r="N55" s="21"/>
      <c r="O55" s="20"/>
      <c r="Q55" s="483" t="s">
        <v>323</v>
      </c>
      <c r="R55" s="483"/>
      <c r="S55" s="483" t="s">
        <v>1</v>
      </c>
      <c r="T55" s="483"/>
      <c r="U55" s="483"/>
      <c r="V55" s="483"/>
      <c r="W55" s="483"/>
      <c r="X55" s="483"/>
      <c r="Y55" s="483"/>
      <c r="Z55" s="85" t="s">
        <v>324</v>
      </c>
    </row>
    <row r="56" spans="1:26" ht="15" customHeight="1" x14ac:dyDescent="0.3">
      <c r="A56" s="18"/>
      <c r="B56" s="5" t="s">
        <v>12</v>
      </c>
      <c r="C56" s="42" t="s">
        <v>6</v>
      </c>
      <c r="D56" s="21"/>
      <c r="E56" s="21"/>
      <c r="F56" s="21"/>
      <c r="G56" s="21"/>
      <c r="H56" s="21"/>
      <c r="I56" s="21"/>
      <c r="J56" s="21"/>
      <c r="K56" s="21"/>
      <c r="L56" s="21"/>
      <c r="M56" s="21"/>
      <c r="N56" s="21"/>
      <c r="O56" s="20"/>
      <c r="Q56" s="487" t="s">
        <v>443</v>
      </c>
      <c r="R56" s="487"/>
      <c r="S56" s="487" t="s">
        <v>1640</v>
      </c>
      <c r="T56" s="487"/>
      <c r="U56" s="487"/>
      <c r="V56" s="487"/>
      <c r="W56" s="487"/>
      <c r="X56" s="487"/>
      <c r="Y56" s="487"/>
      <c r="Z56" s="509" t="s">
        <v>325</v>
      </c>
    </row>
    <row r="57" spans="1:26" x14ac:dyDescent="0.3">
      <c r="A57" s="18"/>
      <c r="B57" s="7" t="s">
        <v>40</v>
      </c>
      <c r="C57" s="6" t="str" cm="1">
        <f t="array" ref="C57">_xll.U.TOPIC(C55,C56)</f>
        <v>UPTICK/DESK3/PNL</v>
      </c>
      <c r="D57" s="21"/>
      <c r="E57" s="21"/>
      <c r="F57" s="21"/>
      <c r="G57" s="21"/>
      <c r="H57" s="21"/>
      <c r="I57" s="21"/>
      <c r="J57" s="21"/>
      <c r="K57" s="21"/>
      <c r="L57" s="21"/>
      <c r="M57" s="21"/>
      <c r="N57" s="21"/>
      <c r="O57" s="20"/>
      <c r="Q57" s="487"/>
      <c r="R57" s="487"/>
      <c r="S57" s="487"/>
      <c r="T57" s="487"/>
      <c r="U57" s="487"/>
      <c r="V57" s="487"/>
      <c r="W57" s="487"/>
      <c r="X57" s="487"/>
      <c r="Y57" s="487"/>
      <c r="Z57" s="509"/>
    </row>
    <row r="58" spans="1:26" x14ac:dyDescent="0.3">
      <c r="A58" s="18"/>
      <c r="B58" s="21"/>
      <c r="C58" s="21"/>
      <c r="D58" s="21"/>
      <c r="E58" s="21"/>
      <c r="F58" s="21"/>
      <c r="G58" s="21"/>
      <c r="H58" s="21"/>
      <c r="I58" s="21"/>
      <c r="J58" s="21"/>
      <c r="K58" s="21"/>
      <c r="L58" s="21"/>
      <c r="M58" s="21"/>
      <c r="N58" s="21"/>
      <c r="O58" s="20"/>
      <c r="Q58" s="487"/>
      <c r="R58" s="487"/>
      <c r="S58" s="487"/>
      <c r="T58" s="487"/>
      <c r="U58" s="487"/>
      <c r="V58" s="487"/>
      <c r="W58" s="487"/>
      <c r="X58" s="487"/>
      <c r="Y58" s="487"/>
      <c r="Z58" s="509"/>
    </row>
    <row r="59" spans="1:26" ht="15" customHeight="1" x14ac:dyDescent="0.3">
      <c r="A59" s="18"/>
      <c r="B59" s="21"/>
      <c r="C59" s="21"/>
      <c r="D59" s="21"/>
      <c r="E59" s="21"/>
      <c r="F59" s="21"/>
      <c r="G59" s="21"/>
      <c r="H59" s="21"/>
      <c r="I59" s="21"/>
      <c r="J59" s="21"/>
      <c r="K59" s="21"/>
      <c r="L59" s="21"/>
      <c r="M59" s="21"/>
      <c r="N59" s="21"/>
      <c r="O59" s="20"/>
      <c r="Q59" s="487" t="s">
        <v>710</v>
      </c>
      <c r="R59" s="487"/>
      <c r="S59" s="487" t="s">
        <v>1799</v>
      </c>
      <c r="T59" s="487"/>
      <c r="U59" s="487"/>
      <c r="V59" s="487"/>
      <c r="W59" s="487"/>
      <c r="X59" s="487"/>
      <c r="Y59" s="487"/>
      <c r="Z59" s="509" t="s">
        <v>325</v>
      </c>
    </row>
    <row r="60" spans="1:26" x14ac:dyDescent="0.3">
      <c r="A60" s="18"/>
      <c r="B60" s="21"/>
      <c r="C60" s="21"/>
      <c r="D60" s="21"/>
      <c r="E60" s="21"/>
      <c r="F60" s="21"/>
      <c r="G60" s="21"/>
      <c r="H60" s="21"/>
      <c r="I60" s="21"/>
      <c r="J60" s="21"/>
      <c r="K60" s="21"/>
      <c r="L60" s="21"/>
      <c r="M60" s="21"/>
      <c r="N60" s="21"/>
      <c r="O60" s="20"/>
      <c r="Q60" s="487"/>
      <c r="R60" s="487"/>
      <c r="S60" s="487"/>
      <c r="T60" s="487"/>
      <c r="U60" s="487"/>
      <c r="V60" s="487"/>
      <c r="W60" s="487"/>
      <c r="X60" s="487"/>
      <c r="Y60" s="487"/>
      <c r="Z60" s="509"/>
    </row>
    <row r="61" spans="1:26" x14ac:dyDescent="0.3">
      <c r="A61" s="18"/>
      <c r="B61" s="21"/>
      <c r="C61" s="21"/>
      <c r="D61" s="21"/>
      <c r="E61" s="21"/>
      <c r="F61" s="21"/>
      <c r="G61" s="21"/>
      <c r="H61" s="21"/>
      <c r="I61" s="21"/>
      <c r="J61" s="21"/>
      <c r="K61" s="21"/>
      <c r="L61" s="21"/>
      <c r="M61" s="21"/>
      <c r="N61" s="21"/>
      <c r="O61" s="20"/>
      <c r="Q61" s="487"/>
      <c r="R61" s="487"/>
      <c r="S61" s="487"/>
      <c r="T61" s="487"/>
      <c r="U61" s="487"/>
      <c r="V61" s="487"/>
      <c r="W61" s="487"/>
      <c r="X61" s="487"/>
      <c r="Y61" s="487"/>
      <c r="Z61" s="509"/>
    </row>
    <row r="62" spans="1:26" x14ac:dyDescent="0.3">
      <c r="A62" s="18"/>
      <c r="B62" s="21"/>
      <c r="C62" s="21"/>
      <c r="D62" s="21"/>
      <c r="E62" s="21"/>
      <c r="F62" s="21"/>
      <c r="G62" s="21"/>
      <c r="H62" s="21"/>
      <c r="I62" s="21"/>
      <c r="J62" s="21"/>
      <c r="K62" s="21"/>
      <c r="L62" s="21"/>
      <c r="M62" s="21"/>
      <c r="N62" s="21"/>
      <c r="O62" s="20"/>
      <c r="Q62" s="126" t="s">
        <v>328</v>
      </c>
    </row>
    <row r="63" spans="1:26" x14ac:dyDescent="0.3">
      <c r="A63" s="18"/>
      <c r="B63" s="21"/>
      <c r="C63" s="21"/>
      <c r="D63" s="21"/>
      <c r="E63" s="21"/>
      <c r="F63" s="21"/>
      <c r="G63" s="21"/>
      <c r="H63" s="21"/>
      <c r="I63" s="21"/>
      <c r="J63" s="21"/>
      <c r="K63" s="21"/>
      <c r="L63" s="21"/>
      <c r="M63" s="21"/>
      <c r="N63" s="21"/>
      <c r="O63" s="20"/>
    </row>
    <row r="64" spans="1:26" x14ac:dyDescent="0.3">
      <c r="A64" s="18"/>
      <c r="B64" s="589" t="s">
        <v>52</v>
      </c>
      <c r="C64" s="589"/>
      <c r="D64" s="589"/>
      <c r="E64" s="589"/>
      <c r="F64" s="589"/>
      <c r="G64" s="589"/>
      <c r="H64" s="589"/>
      <c r="I64" s="589"/>
      <c r="J64" s="589"/>
      <c r="K64" s="589"/>
      <c r="L64" s="21"/>
      <c r="M64" s="21"/>
      <c r="N64" s="21"/>
      <c r="O64" s="20"/>
    </row>
    <row r="65" spans="1:15" x14ac:dyDescent="0.3">
      <c r="A65" s="18"/>
      <c r="B65" s="21"/>
      <c r="C65" s="21"/>
      <c r="D65" s="21"/>
      <c r="E65" s="21"/>
      <c r="F65" s="21"/>
      <c r="G65" s="21"/>
      <c r="H65" s="21"/>
      <c r="I65" s="21"/>
      <c r="J65" s="21"/>
      <c r="K65" s="21"/>
      <c r="L65" s="21"/>
      <c r="M65" s="21"/>
      <c r="N65" s="21"/>
      <c r="O65" s="20"/>
    </row>
    <row r="66" spans="1:15" x14ac:dyDescent="0.3">
      <c r="A66" s="18"/>
      <c r="B66" s="492" t="s">
        <v>10</v>
      </c>
      <c r="C66" s="493"/>
      <c r="D66" s="21"/>
      <c r="E66" s="5" t="s">
        <v>11</v>
      </c>
      <c r="F66" s="42" t="s">
        <v>29</v>
      </c>
      <c r="G66" s="21"/>
      <c r="H66" s="21"/>
      <c r="I66" s="21"/>
      <c r="J66" s="21"/>
      <c r="K66" s="21"/>
      <c r="L66" s="21"/>
      <c r="M66" s="21"/>
      <c r="N66" s="21"/>
      <c r="O66" s="20"/>
    </row>
    <row r="67" spans="1:15" x14ac:dyDescent="0.3">
      <c r="A67" s="18"/>
      <c r="B67" s="3" t="s">
        <v>2</v>
      </c>
      <c r="C67" s="9" t="s">
        <v>8</v>
      </c>
      <c r="D67" s="21"/>
      <c r="E67" s="5" t="s">
        <v>12</v>
      </c>
      <c r="F67" s="42" t="s">
        <v>6</v>
      </c>
      <c r="G67" s="21"/>
      <c r="H67" s="21"/>
      <c r="I67" s="21"/>
      <c r="J67" s="21"/>
      <c r="K67" s="21"/>
      <c r="L67" s="21"/>
      <c r="M67" s="21"/>
      <c r="N67" s="21"/>
      <c r="O67" s="20"/>
    </row>
    <row r="68" spans="1:15" x14ac:dyDescent="0.3">
      <c r="A68" s="18"/>
      <c r="B68" s="1" t="s">
        <v>3</v>
      </c>
      <c r="C68" s="4">
        <v>2500</v>
      </c>
      <c r="D68" s="21"/>
      <c r="E68" s="7" t="s">
        <v>9</v>
      </c>
      <c r="F68" s="6" cm="1">
        <f t="array" ref="F68">_xll.U.PUBLISH(F66,F67,B67:C69,_xll.U.SECRET("mysecret",B73:C74))</f>
        <v>46072.453053460646</v>
      </c>
      <c r="G68" s="21"/>
      <c r="H68" s="21"/>
      <c r="I68" s="21"/>
      <c r="J68" s="21"/>
      <c r="K68" s="21"/>
      <c r="L68" s="21"/>
      <c r="M68" s="21"/>
      <c r="N68" s="21"/>
      <c r="O68" s="20"/>
    </row>
    <row r="69" spans="1:15" x14ac:dyDescent="0.3">
      <c r="A69" s="18"/>
      <c r="B69" s="1" t="s">
        <v>4</v>
      </c>
      <c r="C69" s="4">
        <v>-360</v>
      </c>
      <c r="D69" s="21"/>
      <c r="E69" s="21"/>
      <c r="F69" s="21"/>
      <c r="G69" s="21"/>
      <c r="H69" s="21"/>
      <c r="I69" s="21"/>
      <c r="J69" s="21"/>
      <c r="K69" s="21"/>
      <c r="L69" s="21"/>
      <c r="M69" s="21"/>
      <c r="N69" s="21"/>
      <c r="O69" s="20"/>
    </row>
    <row r="70" spans="1:15" x14ac:dyDescent="0.3">
      <c r="A70" s="18"/>
      <c r="B70" s="21"/>
      <c r="C70" s="21"/>
      <c r="D70" s="21"/>
      <c r="E70" s="21"/>
      <c r="F70" s="21"/>
      <c r="G70" s="21"/>
      <c r="H70" s="21"/>
      <c r="I70" s="21"/>
      <c r="J70" s="21"/>
      <c r="K70" s="21"/>
      <c r="L70" s="21"/>
      <c r="M70" s="21"/>
      <c r="N70" s="21"/>
      <c r="O70" s="20"/>
    </row>
    <row r="71" spans="1:15" x14ac:dyDescent="0.3">
      <c r="A71" s="18"/>
      <c r="B71" s="492" t="s">
        <v>55</v>
      </c>
      <c r="C71" s="493"/>
      <c r="D71" s="21"/>
      <c r="E71" s="28" t="s">
        <v>59</v>
      </c>
      <c r="F71" s="21"/>
      <c r="G71" s="21"/>
      <c r="H71" s="21"/>
      <c r="I71" s="21"/>
      <c r="J71" s="21"/>
      <c r="K71" s="21"/>
      <c r="L71" s="21"/>
      <c r="M71" s="21"/>
      <c r="N71" s="21"/>
      <c r="O71" s="20"/>
    </row>
    <row r="72" spans="1:15" x14ac:dyDescent="0.3">
      <c r="A72" s="18"/>
      <c r="B72" s="3" t="s">
        <v>16</v>
      </c>
      <c r="C72" s="9" t="s">
        <v>17</v>
      </c>
      <c r="D72" s="21"/>
      <c r="E72" s="10" t="str">
        <f t="array" ref="E72:F72">_xll.U.SECRET("mysecret")</f>
        <v>U.REPORT_SECRET</v>
      </c>
      <c r="F72" s="10" t="str">
        <v>mysecret</v>
      </c>
      <c r="G72" s="21"/>
      <c r="H72" s="21"/>
      <c r="I72" s="21"/>
      <c r="J72" s="21"/>
      <c r="K72" s="21"/>
      <c r="L72" s="21"/>
      <c r="M72" s="21"/>
      <c r="N72" s="21"/>
      <c r="O72" s="20"/>
    </row>
    <row r="73" spans="1:15" x14ac:dyDescent="0.3">
      <c r="A73" s="18"/>
      <c r="B73" s="1" t="s">
        <v>30</v>
      </c>
      <c r="C73" s="4" t="b">
        <v>1</v>
      </c>
      <c r="D73" s="21"/>
      <c r="E73" s="21"/>
      <c r="F73" s="21"/>
      <c r="G73" s="21"/>
      <c r="H73" s="21"/>
      <c r="I73" s="21"/>
      <c r="J73" s="21"/>
      <c r="K73" s="21"/>
      <c r="L73" s="21"/>
      <c r="M73" s="21"/>
      <c r="N73" s="21"/>
      <c r="O73" s="20"/>
    </row>
    <row r="74" spans="1:15" x14ac:dyDescent="0.3">
      <c r="A74" s="18"/>
      <c r="B74" s="1" t="s">
        <v>54</v>
      </c>
      <c r="C74" s="15">
        <v>42814</v>
      </c>
      <c r="D74" s="21"/>
      <c r="E74" s="10" t="str">
        <f t="array" ref="E74:F74">_xll.U.SECRET(_xll.U.TOPIC(F66,F67))</f>
        <v>U.REPORT_SECRET_SOURCE</v>
      </c>
      <c r="F74" s="10" t="str">
        <v>UPTICK/DESK3/PNL</v>
      </c>
      <c r="G74" s="21"/>
      <c r="H74" s="21"/>
      <c r="I74" s="21"/>
      <c r="J74" s="21"/>
      <c r="K74" s="21"/>
      <c r="L74" s="21"/>
      <c r="M74" s="21"/>
      <c r="N74" s="21"/>
      <c r="O74" s="20"/>
    </row>
    <row r="75" spans="1:15" x14ac:dyDescent="0.3">
      <c r="A75" s="18"/>
      <c r="B75" s="21"/>
      <c r="C75" s="21"/>
      <c r="D75" s="21"/>
      <c r="E75" s="21"/>
      <c r="F75" s="21"/>
      <c r="G75" s="21"/>
      <c r="H75" s="21"/>
      <c r="I75" s="21"/>
      <c r="J75" s="21"/>
      <c r="K75" s="21"/>
      <c r="L75" s="21"/>
      <c r="M75" s="21"/>
      <c r="N75" s="21"/>
      <c r="O75" s="20"/>
    </row>
    <row r="76" spans="1:15" x14ac:dyDescent="0.3">
      <c r="A76" s="18"/>
      <c r="B76" s="21"/>
      <c r="C76" s="21"/>
      <c r="D76" s="21"/>
      <c r="E76" s="21"/>
      <c r="F76" s="21"/>
      <c r="G76" s="21"/>
      <c r="H76" s="21"/>
      <c r="I76" s="21"/>
      <c r="J76" s="21"/>
      <c r="K76" s="21"/>
      <c r="L76" s="21"/>
      <c r="M76" s="21"/>
      <c r="N76" s="21"/>
      <c r="O76" s="20"/>
    </row>
    <row r="77" spans="1:15" x14ac:dyDescent="0.3">
      <c r="A77" s="18"/>
      <c r="B77" s="21"/>
      <c r="C77" s="21"/>
      <c r="D77" s="21"/>
      <c r="E77" s="21"/>
      <c r="F77" s="21"/>
      <c r="G77" s="21"/>
      <c r="H77" s="21"/>
      <c r="I77" s="21"/>
      <c r="J77" s="21"/>
      <c r="K77" s="21"/>
      <c r="L77" s="21"/>
      <c r="M77" s="21"/>
      <c r="N77" s="21"/>
      <c r="O77" s="20"/>
    </row>
    <row r="78" spans="1:15" x14ac:dyDescent="0.3">
      <c r="A78" s="18"/>
      <c r="B78" s="21"/>
      <c r="C78" s="21"/>
      <c r="D78" s="21"/>
      <c r="E78" s="21"/>
      <c r="F78" s="21"/>
      <c r="G78" s="21"/>
      <c r="H78" s="21"/>
      <c r="I78" s="21"/>
      <c r="J78" s="21"/>
      <c r="K78" s="21"/>
      <c r="L78" s="21"/>
      <c r="M78" s="21"/>
      <c r="N78" s="21"/>
      <c r="O78" s="20"/>
    </row>
    <row r="79" spans="1:15" x14ac:dyDescent="0.3">
      <c r="A79" s="490" t="s">
        <v>57</v>
      </c>
      <c r="B79" s="491"/>
      <c r="C79" s="491"/>
      <c r="D79" s="491"/>
      <c r="E79" s="491"/>
      <c r="F79" s="491"/>
      <c r="G79" s="491"/>
      <c r="H79" s="491"/>
      <c r="I79" s="491"/>
      <c r="J79" s="491"/>
      <c r="K79" s="491"/>
      <c r="L79" s="491"/>
      <c r="M79" s="491"/>
      <c r="N79" s="21"/>
      <c r="O79" s="20"/>
    </row>
    <row r="80" spans="1:15" x14ac:dyDescent="0.3">
      <c r="A80" s="18"/>
      <c r="B80" s="21"/>
      <c r="C80" s="21"/>
      <c r="D80" s="21"/>
      <c r="E80" s="21"/>
      <c r="F80" s="21"/>
      <c r="G80" s="21"/>
      <c r="H80" s="21"/>
      <c r="I80" s="21"/>
      <c r="J80" s="21"/>
      <c r="K80" s="21"/>
      <c r="L80" s="21"/>
      <c r="M80" s="21"/>
      <c r="N80" s="21"/>
      <c r="O80" s="20"/>
    </row>
    <row r="81" spans="1:15" x14ac:dyDescent="0.3">
      <c r="A81" s="18"/>
      <c r="B81" s="28" t="s">
        <v>58</v>
      </c>
      <c r="C81" s="21"/>
      <c r="D81" s="21"/>
      <c r="E81" s="21"/>
      <c r="F81" s="21"/>
      <c r="G81" s="21"/>
      <c r="H81" s="21"/>
      <c r="I81" s="21"/>
      <c r="J81" s="21"/>
      <c r="K81" s="21"/>
      <c r="L81" s="21"/>
      <c r="M81" s="21"/>
      <c r="N81" s="21"/>
      <c r="O81" s="20"/>
    </row>
    <row r="82" spans="1:15" x14ac:dyDescent="0.3">
      <c r="A82" s="18"/>
      <c r="B82" s="10" t="str">
        <f t="array" ref="B82:C82">_xll.U.PUB_SECRET("myPubSecret")</f>
        <v>U.REPORT_PUB_SECRET</v>
      </c>
      <c r="C82" s="10" t="str">
        <v>myPubSecret</v>
      </c>
      <c r="D82" s="21"/>
      <c r="E82" s="21"/>
      <c r="F82" s="21"/>
      <c r="G82" s="21"/>
      <c r="H82" s="21"/>
      <c r="I82" s="21"/>
      <c r="J82" s="21"/>
      <c r="K82" s="21"/>
      <c r="L82" s="21"/>
      <c r="M82" s="21"/>
      <c r="N82" s="21"/>
      <c r="O82" s="20"/>
    </row>
    <row r="83" spans="1:15" x14ac:dyDescent="0.3">
      <c r="A83" s="18"/>
      <c r="B83" s="21"/>
      <c r="C83" s="21"/>
      <c r="D83" s="21"/>
      <c r="E83" s="21"/>
      <c r="F83" s="21"/>
      <c r="G83" s="21"/>
      <c r="H83" s="21"/>
      <c r="I83" s="21"/>
      <c r="J83" s="21"/>
      <c r="K83" s="21"/>
      <c r="L83" s="21"/>
      <c r="M83" s="21"/>
      <c r="N83" s="21"/>
      <c r="O83" s="20"/>
    </row>
    <row r="84" spans="1:15" x14ac:dyDescent="0.3">
      <c r="A84" s="18"/>
      <c r="B84" s="10" t="str">
        <f t="array" ref="B84:C85">_xll.U.PUB_SECRET("myNewPubSecret","myPubSecret")</f>
        <v>U.REPORT_PUB_SECRET</v>
      </c>
      <c r="C84" s="10" t="str">
        <v>myNewPubSecret</v>
      </c>
      <c r="D84" s="21"/>
      <c r="E84" s="21"/>
      <c r="F84" s="21"/>
      <c r="G84" s="21"/>
      <c r="H84" s="21"/>
      <c r="I84" s="21"/>
      <c r="J84" s="21"/>
      <c r="K84" s="21"/>
      <c r="L84" s="21"/>
      <c r="M84" s="21"/>
      <c r="N84" s="21"/>
      <c r="O84" s="20"/>
    </row>
    <row r="85" spans="1:15" x14ac:dyDescent="0.3">
      <c r="A85" s="18"/>
      <c r="B85" s="10" t="str">
        <v>U.REPORT_PUB_SECRET_PRIOR</v>
      </c>
      <c r="C85" s="10" t="str">
        <v>myPubSecret</v>
      </c>
      <c r="D85" s="21"/>
      <c r="E85" s="21"/>
      <c r="F85" s="21"/>
      <c r="G85" s="21"/>
      <c r="H85" s="21"/>
      <c r="I85" s="21"/>
      <c r="J85" s="21"/>
      <c r="K85" s="21"/>
      <c r="L85" s="21"/>
      <c r="M85" s="21"/>
      <c r="N85" s="21"/>
      <c r="O85" s="20"/>
    </row>
    <row r="86" spans="1:15" x14ac:dyDescent="0.3">
      <c r="A86" s="18"/>
      <c r="B86" s="21"/>
      <c r="C86" s="21"/>
      <c r="D86" s="21"/>
      <c r="E86" s="21"/>
      <c r="F86" s="21"/>
      <c r="G86" s="21"/>
      <c r="H86" s="21"/>
      <c r="I86" s="21"/>
      <c r="J86" s="21"/>
      <c r="K86" s="21"/>
      <c r="L86" s="21"/>
      <c r="M86" s="21"/>
      <c r="N86" s="21"/>
      <c r="O86" s="20"/>
    </row>
    <row r="87" spans="1:15" x14ac:dyDescent="0.3">
      <c r="A87" s="18"/>
      <c r="B87" s="10" t="str">
        <f t="array" ref="B87:C87">_xll.U.PUB_SECRET("UPTICK/DESK3/PNL")</f>
        <v>U.REPORT_PUB_SECRET_SOURCE</v>
      </c>
      <c r="C87" s="10" t="str">
        <v>UPTICK/DESK3/PNL</v>
      </c>
      <c r="D87" s="21"/>
      <c r="E87" s="21"/>
      <c r="F87" s="21"/>
      <c r="G87" s="21"/>
      <c r="H87" s="21"/>
      <c r="I87" s="21"/>
      <c r="J87" s="21"/>
      <c r="K87" s="21"/>
      <c r="L87" s="21"/>
      <c r="M87" s="21"/>
      <c r="N87" s="21"/>
      <c r="O87" s="20"/>
    </row>
    <row r="88" spans="1:15" x14ac:dyDescent="0.3">
      <c r="A88" s="18"/>
      <c r="B88" s="21"/>
      <c r="C88" s="21"/>
      <c r="D88" s="21"/>
      <c r="E88" s="21"/>
      <c r="F88" s="21"/>
      <c r="G88" s="21"/>
      <c r="H88" s="21"/>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x14ac:dyDescent="0.3">
      <c r="A90" s="18"/>
      <c r="B90" s="21"/>
      <c r="C90" s="21"/>
      <c r="D90" s="21"/>
      <c r="E90" s="21"/>
      <c r="F90" s="21"/>
      <c r="G90" s="21"/>
      <c r="H90" s="21"/>
      <c r="I90" s="21"/>
      <c r="J90" s="21"/>
      <c r="K90" s="21"/>
      <c r="L90" s="21"/>
      <c r="M90" s="21"/>
      <c r="N90" s="21"/>
      <c r="O90" s="20"/>
    </row>
    <row r="91" spans="1:15" x14ac:dyDescent="0.3">
      <c r="A91" s="18"/>
      <c r="B91" s="21"/>
      <c r="C91" s="21"/>
      <c r="D91" s="21"/>
      <c r="E91" s="21"/>
      <c r="F91" s="21"/>
      <c r="G91" s="21"/>
      <c r="H91" s="21"/>
      <c r="I91" s="21"/>
      <c r="J91" s="21"/>
      <c r="K91" s="21"/>
      <c r="L91" s="21"/>
      <c r="M91" s="21"/>
      <c r="N91" s="21"/>
      <c r="O91" s="20"/>
    </row>
    <row r="92" spans="1:15" x14ac:dyDescent="0.3">
      <c r="A92" s="18"/>
      <c r="B92" s="21"/>
      <c r="C92" s="21"/>
      <c r="D92" s="21"/>
      <c r="E92" s="21"/>
      <c r="F92" s="21"/>
      <c r="G92" s="21"/>
      <c r="H92" s="21"/>
      <c r="I92" s="21"/>
      <c r="J92" s="21"/>
      <c r="K92" s="21"/>
      <c r="L92" s="21"/>
      <c r="M92" s="21"/>
      <c r="N92" s="21"/>
      <c r="O92" s="20"/>
    </row>
    <row r="93" spans="1:15" x14ac:dyDescent="0.3">
      <c r="A93" s="18"/>
      <c r="B93" s="21"/>
      <c r="C93" s="21"/>
      <c r="D93" s="21"/>
      <c r="E93" s="21"/>
      <c r="F93" s="21"/>
      <c r="G93" s="21"/>
      <c r="H93" s="21"/>
      <c r="I93" s="21"/>
      <c r="J93" s="21"/>
      <c r="K93" s="21"/>
      <c r="L93" s="21"/>
      <c r="M93" s="21"/>
      <c r="N93" s="21"/>
      <c r="O93" s="20"/>
    </row>
    <row r="94" spans="1:15" x14ac:dyDescent="0.3">
      <c r="A94" s="18"/>
      <c r="B94" s="21"/>
      <c r="C94" s="21"/>
      <c r="D94" s="21"/>
      <c r="E94" s="21"/>
      <c r="F94" s="21"/>
      <c r="G94" s="21"/>
      <c r="H94" s="21"/>
      <c r="I94" s="21"/>
      <c r="J94" s="21"/>
      <c r="K94" s="21"/>
      <c r="L94" s="21"/>
      <c r="M94" s="21"/>
      <c r="N94" s="21"/>
      <c r="O94" s="20"/>
    </row>
    <row r="95" spans="1:15" x14ac:dyDescent="0.3">
      <c r="A95" s="18"/>
      <c r="B95" s="21"/>
      <c r="C95" s="21"/>
      <c r="D95" s="21"/>
      <c r="E95" s="21"/>
      <c r="F95" s="21"/>
      <c r="G95" s="21"/>
      <c r="H95" s="21"/>
      <c r="I95" s="21"/>
      <c r="J95" s="21"/>
      <c r="K95" s="21"/>
      <c r="L95" s="21"/>
      <c r="M95" s="21"/>
      <c r="N95" s="21"/>
      <c r="O95" s="20"/>
    </row>
    <row r="96" spans="1:15" x14ac:dyDescent="0.3">
      <c r="A96" s="18"/>
      <c r="B96" s="21"/>
      <c r="C96" s="21"/>
      <c r="D96" s="21"/>
      <c r="E96" s="21"/>
      <c r="F96" s="21"/>
      <c r="G96" s="21"/>
      <c r="H96" s="21"/>
      <c r="I96" s="21"/>
      <c r="J96" s="21"/>
      <c r="K96" s="21"/>
      <c r="L96" s="21"/>
      <c r="M96" s="21"/>
      <c r="N96" s="21"/>
      <c r="O96" s="20"/>
    </row>
    <row r="97" spans="1:15" x14ac:dyDescent="0.3">
      <c r="A97" s="18"/>
      <c r="B97" s="21"/>
      <c r="C97" s="21"/>
      <c r="D97" s="21"/>
      <c r="E97" s="21"/>
      <c r="F97" s="21"/>
      <c r="G97" s="21"/>
      <c r="H97" s="21"/>
      <c r="I97" s="21"/>
      <c r="J97" s="21"/>
      <c r="K97" s="21"/>
      <c r="L97" s="21"/>
      <c r="M97" s="21"/>
      <c r="N97" s="21"/>
      <c r="O97" s="20"/>
    </row>
    <row r="98" spans="1:15" x14ac:dyDescent="0.3">
      <c r="A98" s="18"/>
      <c r="B98" s="21"/>
      <c r="C98" s="21"/>
      <c r="D98" s="21"/>
      <c r="E98" s="21"/>
      <c r="F98" s="21"/>
      <c r="G98" s="21"/>
      <c r="H98" s="21"/>
      <c r="I98" s="21"/>
      <c r="J98" s="21"/>
      <c r="K98" s="21"/>
      <c r="L98" s="21"/>
      <c r="M98" s="21"/>
      <c r="N98" s="21"/>
      <c r="O98" s="20"/>
    </row>
    <row r="99" spans="1:15" x14ac:dyDescent="0.3">
      <c r="A99" s="18"/>
      <c r="B99" s="21"/>
      <c r="C99" s="21"/>
      <c r="D99" s="21"/>
      <c r="E99" s="21"/>
      <c r="F99" s="21"/>
      <c r="G99" s="21"/>
      <c r="H99" s="21"/>
      <c r="I99" s="21"/>
      <c r="J99" s="21"/>
      <c r="K99" s="21"/>
      <c r="L99" s="21"/>
      <c r="M99" s="21"/>
      <c r="N99" s="21"/>
      <c r="O99" s="20"/>
    </row>
    <row r="100" spans="1:15" x14ac:dyDescent="0.3">
      <c r="A100" s="490" t="s">
        <v>1636</v>
      </c>
      <c r="B100" s="491"/>
      <c r="C100" s="491"/>
      <c r="D100" s="491"/>
      <c r="E100" s="491"/>
      <c r="F100" s="491"/>
      <c r="G100" s="491"/>
      <c r="H100" s="491"/>
      <c r="I100" s="491"/>
      <c r="J100" s="491"/>
      <c r="K100" s="491"/>
      <c r="L100" s="491"/>
      <c r="M100" s="491"/>
      <c r="N100" s="21"/>
      <c r="O100" s="20"/>
    </row>
    <row r="101" spans="1:15" x14ac:dyDescent="0.3">
      <c r="A101" s="18"/>
      <c r="B101" s="21"/>
      <c r="C101" s="21"/>
      <c r="D101" s="21"/>
      <c r="E101" s="21"/>
      <c r="F101" s="21"/>
      <c r="G101" s="21"/>
      <c r="H101" s="21"/>
      <c r="I101" s="21"/>
      <c r="J101" s="21"/>
      <c r="K101" s="21"/>
      <c r="L101" s="21"/>
      <c r="M101" s="21"/>
      <c r="N101" s="21"/>
      <c r="O101" s="20"/>
    </row>
    <row r="102" spans="1:15" x14ac:dyDescent="0.3">
      <c r="A102" s="18"/>
      <c r="B102" s="492" t="s">
        <v>1638</v>
      </c>
      <c r="C102" s="493"/>
      <c r="D102" s="21"/>
      <c r="E102" s="492" t="s">
        <v>3597</v>
      </c>
      <c r="F102" s="493"/>
      <c r="G102" s="21"/>
      <c r="H102" s="21"/>
      <c r="I102" s="21"/>
      <c r="J102" s="21"/>
      <c r="K102" s="21"/>
      <c r="L102" s="21"/>
      <c r="M102" s="21"/>
      <c r="N102" s="21"/>
      <c r="O102" s="20"/>
    </row>
    <row r="103" spans="1:15" x14ac:dyDescent="0.3">
      <c r="A103" s="18"/>
      <c r="B103" s="3" t="s">
        <v>679</v>
      </c>
      <c r="C103" s="9" t="s">
        <v>1637</v>
      </c>
      <c r="D103" s="21"/>
      <c r="E103" s="30" t="str">
        <f t="array" ref="E103:F105">_xll.U.ENCRYPT(B103:C105,"my_p@ssword")</f>
        <v>::enc!OjplbmMhMXwitUBsZnlJBQChMGJ5hzCvXfkMSiVZPL2iZHv0TmGaccc7A5qJnUp0mhilj85mcfA=</v>
      </c>
      <c r="F103" s="30" t="str">
        <v>::enc!OjplbmMhMXyw8AhF6MzTZ9/1OITNfmnFMM4nFy4lgkiHWUpH+w89iTnDw5DYgzQgy6en+TugW4o=</v>
      </c>
      <c r="G103" s="21"/>
      <c r="H103" s="21"/>
      <c r="I103" s="21"/>
      <c r="J103" s="21"/>
      <c r="K103" s="21"/>
      <c r="L103" s="21"/>
      <c r="M103" s="21"/>
      <c r="N103" s="21"/>
      <c r="O103" s="20"/>
    </row>
    <row r="104" spans="1:15" x14ac:dyDescent="0.3">
      <c r="A104" s="18"/>
      <c r="B104" s="296" t="s">
        <v>200</v>
      </c>
      <c r="C104" s="297">
        <v>56000</v>
      </c>
      <c r="D104" s="21"/>
      <c r="E104" s="30" t="str">
        <v>::enc!OjplbmMhMXwPPkkwD12hBLLtfvvuh0H5inD3jtQRJL/hPlMNHrhExBAxyG+YBjjOmngdZUQdXh0=</v>
      </c>
      <c r="F104" s="30" t="str">
        <v>::enc!OjplbmMhMXzTgIRNQOY/Osj4y1e0budPvJIk2Q9TG+h+oM1xhgtUpwhEdJ392zEgxDa/hdoC9h0=</v>
      </c>
      <c r="G104" s="21"/>
      <c r="H104" s="21"/>
      <c r="I104" s="21"/>
      <c r="J104" s="21"/>
      <c r="K104" s="21"/>
      <c r="L104" s="21"/>
      <c r="M104" s="21"/>
      <c r="N104" s="21"/>
      <c r="O104" s="20"/>
    </row>
    <row r="105" spans="1:15" x14ac:dyDescent="0.3">
      <c r="A105" s="18"/>
      <c r="B105" s="296" t="s">
        <v>161</v>
      </c>
      <c r="C105" s="297">
        <v>53000</v>
      </c>
      <c r="D105" s="21"/>
      <c r="E105" s="30" t="str">
        <v>::enc!OjplbmMhMXzYY46xqZ7IQL33cByDnCT8s36GEXyRZVJ3/guEX/Tq6rXO7xLDukBmbyox1aMdSbU=</v>
      </c>
      <c r="F105" s="30" t="str">
        <v>::enc!OjplbmMhMXwk/QvzVomlc1RVaFVlDwl+NyxxNaPcxhNfAJl4bOoTOgq8dT84bfZnyDijNdwz43w=</v>
      </c>
      <c r="G105" s="21"/>
      <c r="H105" s="21"/>
      <c r="I105" s="21"/>
      <c r="J105" s="21"/>
      <c r="K105" s="21"/>
      <c r="L105" s="21"/>
      <c r="M105" s="21"/>
      <c r="N105" s="21"/>
      <c r="O105" s="20"/>
    </row>
    <row r="106" spans="1:15" x14ac:dyDescent="0.3">
      <c r="A106" s="18"/>
      <c r="B106" s="21"/>
      <c r="C106" s="21"/>
      <c r="D106" s="21"/>
      <c r="E106" s="21"/>
      <c r="F106" s="21"/>
      <c r="G106" s="21"/>
      <c r="H106" s="21"/>
      <c r="I106" s="21"/>
      <c r="J106" s="21"/>
      <c r="K106" s="21"/>
      <c r="L106" s="21"/>
      <c r="M106" s="21"/>
      <c r="N106" s="21"/>
      <c r="O106" s="20"/>
    </row>
    <row r="107" spans="1:15" x14ac:dyDescent="0.3">
      <c r="A107" s="18"/>
      <c r="B107" s="21"/>
      <c r="C107" s="21"/>
      <c r="D107" s="21"/>
      <c r="E107" s="21"/>
      <c r="F107" s="21"/>
      <c r="G107" s="21"/>
      <c r="H107" s="21"/>
      <c r="I107" s="21"/>
      <c r="J107" s="21"/>
      <c r="K107" s="21"/>
      <c r="L107" s="21"/>
      <c r="M107" s="21"/>
      <c r="N107" s="21"/>
      <c r="O107" s="20"/>
    </row>
    <row r="108" spans="1:15" x14ac:dyDescent="0.3">
      <c r="A108" s="18"/>
      <c r="B108" s="21"/>
      <c r="C108" s="21"/>
      <c r="D108" s="21"/>
      <c r="E108" s="21"/>
      <c r="F108" s="21"/>
      <c r="G108" s="21"/>
      <c r="H108" s="21"/>
      <c r="I108" s="21"/>
      <c r="J108" s="21"/>
      <c r="K108" s="21"/>
      <c r="L108" s="21"/>
      <c r="M108" s="21"/>
      <c r="N108" s="21"/>
      <c r="O108" s="20"/>
    </row>
    <row r="109" spans="1:15" x14ac:dyDescent="0.3">
      <c r="A109" s="18"/>
      <c r="B109" s="21"/>
      <c r="C109" s="21"/>
      <c r="D109" s="21"/>
      <c r="E109" s="21"/>
      <c r="F109" s="21"/>
      <c r="G109" s="21"/>
      <c r="H109" s="21"/>
      <c r="I109" s="21"/>
      <c r="J109" s="21"/>
      <c r="K109" s="21"/>
      <c r="L109" s="21"/>
      <c r="M109" s="21"/>
      <c r="N109" s="21"/>
      <c r="O109" s="20"/>
    </row>
    <row r="110" spans="1:15" x14ac:dyDescent="0.3">
      <c r="A110" s="18"/>
      <c r="B110" s="190" t="s">
        <v>1800</v>
      </c>
      <c r="C110" s="21"/>
      <c r="D110" s="21"/>
      <c r="E110" s="190" t="s">
        <v>3597</v>
      </c>
      <c r="F110" s="21"/>
      <c r="G110" s="21"/>
      <c r="H110" s="21"/>
      <c r="I110" s="21"/>
      <c r="J110" s="21"/>
      <c r="K110" s="21"/>
      <c r="L110" s="21"/>
      <c r="M110" s="21"/>
      <c r="N110" s="21"/>
      <c r="O110" s="20"/>
    </row>
    <row r="111" spans="1:15" x14ac:dyDescent="0.3">
      <c r="A111" s="18"/>
      <c r="B111" s="92" t="s">
        <v>1801</v>
      </c>
      <c r="C111" s="21"/>
      <c r="D111" s="21"/>
      <c r="E111" s="152" t="s">
        <v>3598</v>
      </c>
      <c r="F111" s="21"/>
      <c r="G111" s="21"/>
      <c r="H111" s="21"/>
      <c r="I111" s="21"/>
      <c r="J111" s="21"/>
      <c r="K111" s="21"/>
      <c r="L111" s="21"/>
      <c r="M111" s="21"/>
      <c r="N111" s="21"/>
      <c r="O111" s="20"/>
    </row>
    <row r="112" spans="1:15" x14ac:dyDescent="0.3">
      <c r="A112" s="18"/>
      <c r="B112" s="21"/>
      <c r="C112" s="21"/>
      <c r="D112" s="21"/>
      <c r="E112" s="21"/>
      <c r="F112" s="21"/>
      <c r="G112" s="21"/>
      <c r="H112" s="21"/>
      <c r="I112" s="21"/>
      <c r="J112" s="21"/>
      <c r="K112" s="21"/>
      <c r="L112" s="21"/>
      <c r="M112" s="21"/>
      <c r="N112" s="21"/>
      <c r="O112" s="20"/>
    </row>
    <row r="113" spans="1:15" x14ac:dyDescent="0.3">
      <c r="A113" s="18"/>
      <c r="B113" s="21"/>
      <c r="C113" s="21"/>
      <c r="D113" s="21"/>
      <c r="E113" s="21"/>
      <c r="F113" s="21"/>
      <c r="G113" s="21"/>
      <c r="H113" s="21"/>
      <c r="I113" s="21"/>
      <c r="J113" s="21"/>
      <c r="K113" s="21"/>
      <c r="L113" s="21"/>
      <c r="M113" s="21"/>
      <c r="N113" s="21"/>
      <c r="O113" s="20"/>
    </row>
    <row r="114" spans="1:15" x14ac:dyDescent="0.3">
      <c r="A114" s="18"/>
      <c r="B114" s="21"/>
      <c r="C114" s="21"/>
      <c r="D114" s="21"/>
      <c r="E114" s="21"/>
      <c r="F114" s="21"/>
      <c r="G114" s="21"/>
      <c r="H114" s="21"/>
      <c r="I114" s="21"/>
      <c r="J114" s="21"/>
      <c r="K114" s="21"/>
      <c r="L114" s="21"/>
      <c r="M114" s="21"/>
      <c r="N114" s="21"/>
      <c r="O114" s="20"/>
    </row>
    <row r="115" spans="1:15" x14ac:dyDescent="0.3">
      <c r="A115" s="18"/>
      <c r="B115" s="21"/>
      <c r="C115" s="21"/>
      <c r="D115" s="21"/>
      <c r="E115" s="21"/>
      <c r="F115" s="21"/>
      <c r="G115" s="21"/>
      <c r="H115" s="21"/>
      <c r="I115" s="21"/>
      <c r="J115" s="21"/>
      <c r="K115" s="21"/>
      <c r="L115" s="21"/>
      <c r="M115" s="21"/>
      <c r="N115" s="21"/>
      <c r="O115" s="20"/>
    </row>
    <row r="116" spans="1:15" x14ac:dyDescent="0.3">
      <c r="A116" s="18"/>
      <c r="B116" s="21"/>
      <c r="C116" s="21"/>
      <c r="D116" s="21"/>
      <c r="E116" s="30" t="str">
        <f t="array" ref="E116:F118">_xll.U.ENCRYPT(E103:F105,"my_p@ssword")</f>
        <v>Name</v>
      </c>
      <c r="F116" s="30" t="str">
        <v>Salary</v>
      </c>
      <c r="G116" s="21"/>
      <c r="H116" s="21"/>
      <c r="I116" s="21"/>
      <c r="J116" s="21"/>
      <c r="K116" s="21"/>
      <c r="L116" s="21"/>
      <c r="M116" s="21"/>
      <c r="N116" s="21"/>
      <c r="O116" s="20"/>
    </row>
    <row r="117" spans="1:15" x14ac:dyDescent="0.3">
      <c r="A117" s="18"/>
      <c r="B117" s="21"/>
      <c r="C117" s="21"/>
      <c r="D117" s="21"/>
      <c r="E117" s="30" t="str">
        <v>Sally</v>
      </c>
      <c r="F117" s="30">
        <v>56000</v>
      </c>
      <c r="G117" s="21"/>
      <c r="H117" s="21"/>
      <c r="I117" s="21"/>
      <c r="J117" s="21"/>
      <c r="K117" s="21"/>
      <c r="L117" s="21"/>
      <c r="M117" s="21"/>
      <c r="N117" s="21"/>
      <c r="O117" s="20"/>
    </row>
    <row r="118" spans="1:15" x14ac:dyDescent="0.3">
      <c r="A118" s="18"/>
      <c r="B118" s="21"/>
      <c r="C118" s="21"/>
      <c r="D118" s="21"/>
      <c r="E118" s="30" t="str">
        <v>Tom</v>
      </c>
      <c r="F118" s="30">
        <v>53000</v>
      </c>
      <c r="G118" s="21"/>
      <c r="H118" s="21"/>
      <c r="I118" s="21"/>
      <c r="J118" s="21"/>
      <c r="K118" s="21"/>
      <c r="L118" s="21"/>
      <c r="M118" s="21"/>
      <c r="N118" s="21"/>
      <c r="O118" s="20"/>
    </row>
    <row r="119" spans="1:15" x14ac:dyDescent="0.3">
      <c r="A119" s="18"/>
      <c r="B119" s="21"/>
      <c r="C119" s="21"/>
      <c r="D119" s="21"/>
      <c r="E119" s="21"/>
      <c r="F119" s="21"/>
      <c r="G119" s="21"/>
      <c r="H119" s="21"/>
      <c r="I119" s="21"/>
      <c r="J119" s="21"/>
      <c r="K119" s="21"/>
      <c r="L119" s="21"/>
      <c r="M119" s="21"/>
      <c r="N119" s="21"/>
      <c r="O119" s="20"/>
    </row>
    <row r="120" spans="1:15" x14ac:dyDescent="0.3">
      <c r="A120" s="18"/>
      <c r="B120" s="21"/>
      <c r="C120" s="21"/>
      <c r="D120" s="21"/>
      <c r="E120" s="21"/>
      <c r="F120" s="21"/>
      <c r="G120" s="21"/>
      <c r="H120" s="21"/>
      <c r="I120" s="21"/>
      <c r="J120" s="21"/>
      <c r="K120" s="21"/>
      <c r="L120" s="21"/>
      <c r="M120" s="21"/>
      <c r="N120" s="21"/>
      <c r="O120" s="20"/>
    </row>
    <row r="121" spans="1:15" x14ac:dyDescent="0.3">
      <c r="A121" s="18"/>
      <c r="B121" s="21"/>
      <c r="C121" s="21"/>
      <c r="D121" s="21"/>
      <c r="E121" s="21"/>
      <c r="F121" s="21"/>
      <c r="G121" s="21"/>
      <c r="H121" s="21"/>
      <c r="I121" s="21"/>
      <c r="J121" s="21"/>
      <c r="K121" s="21"/>
      <c r="L121" s="21"/>
      <c r="M121" s="21"/>
      <c r="N121" s="21"/>
      <c r="O121" s="20"/>
    </row>
    <row r="122" spans="1:15" x14ac:dyDescent="0.3">
      <c r="A122" s="18"/>
      <c r="B122" s="21"/>
      <c r="C122" s="21"/>
      <c r="D122" s="21"/>
      <c r="E122" s="21"/>
      <c r="F122" s="21"/>
      <c r="G122" s="21"/>
      <c r="H122" s="21"/>
      <c r="I122" s="21"/>
      <c r="J122" s="21"/>
      <c r="K122" s="21"/>
      <c r="L122" s="21"/>
      <c r="M122" s="21"/>
      <c r="N122" s="21"/>
      <c r="O122" s="20"/>
    </row>
    <row r="123" spans="1:15" x14ac:dyDescent="0.3">
      <c r="A123" s="18"/>
      <c r="B123" s="21"/>
      <c r="C123" s="21"/>
      <c r="D123" s="21"/>
      <c r="E123" s="21"/>
      <c r="F123" s="21"/>
      <c r="G123" s="21"/>
      <c r="H123" s="21"/>
      <c r="I123" s="21"/>
      <c r="J123" s="21"/>
      <c r="K123" s="21"/>
      <c r="L123" s="21"/>
      <c r="M123" s="21"/>
      <c r="N123" s="21"/>
      <c r="O123" s="20"/>
    </row>
    <row r="124" spans="1:15" x14ac:dyDescent="0.3">
      <c r="A124" s="18"/>
      <c r="B124" s="492" t="s">
        <v>10</v>
      </c>
      <c r="C124" s="493"/>
      <c r="D124" s="21"/>
      <c r="E124" s="492" t="s">
        <v>3328</v>
      </c>
      <c r="F124" s="493"/>
      <c r="G124" s="21"/>
      <c r="H124" s="21"/>
      <c r="I124" s="21"/>
      <c r="J124" s="21"/>
      <c r="K124" s="21"/>
      <c r="L124" s="21"/>
      <c r="M124" s="21"/>
      <c r="N124" s="21"/>
      <c r="O124" s="20"/>
    </row>
    <row r="125" spans="1:15" x14ac:dyDescent="0.3">
      <c r="A125" s="18"/>
      <c r="B125" s="3" t="s">
        <v>2</v>
      </c>
      <c r="C125" s="9" t="s">
        <v>8</v>
      </c>
      <c r="D125" s="21"/>
      <c r="E125" s="5" t="s">
        <v>11</v>
      </c>
      <c r="F125" s="42" t="s">
        <v>29</v>
      </c>
      <c r="G125" s="21"/>
      <c r="H125" s="21"/>
      <c r="I125" s="21"/>
      <c r="J125" s="21"/>
      <c r="K125" s="21"/>
      <c r="L125" s="21"/>
      <c r="M125" s="21"/>
      <c r="N125" s="21"/>
      <c r="O125" s="20"/>
    </row>
    <row r="126" spans="1:15" x14ac:dyDescent="0.3">
      <c r="A126" s="18"/>
      <c r="B126" s="1" t="s">
        <v>3</v>
      </c>
      <c r="C126" s="4">
        <v>2500</v>
      </c>
      <c r="D126" s="21"/>
      <c r="E126" s="5" t="s">
        <v>12</v>
      </c>
      <c r="F126" s="42" t="s">
        <v>158</v>
      </c>
      <c r="G126" s="21"/>
      <c r="H126" s="21"/>
      <c r="I126" s="21"/>
      <c r="J126" s="21"/>
      <c r="K126" s="21"/>
      <c r="L126" s="21"/>
      <c r="M126" s="21"/>
      <c r="N126" s="21"/>
      <c r="O126" s="20"/>
    </row>
    <row r="127" spans="1:15" x14ac:dyDescent="0.3">
      <c r="A127" s="18"/>
      <c r="B127" s="1" t="s">
        <v>4</v>
      </c>
      <c r="C127" s="4">
        <v>-360</v>
      </c>
      <c r="D127" s="21"/>
      <c r="E127" s="7" t="s">
        <v>9</v>
      </c>
      <c r="F127" s="6" cm="1">
        <f t="array" ref="F127">_xll.U.PUBLISH(F125,F126,B125:C127,_xll.U.ENCRYPT())</f>
        <v>46072.453054027777</v>
      </c>
      <c r="G127" s="21"/>
      <c r="H127" s="21"/>
      <c r="I127" s="21"/>
      <c r="J127" s="21"/>
      <c r="K127" s="21"/>
      <c r="L127" s="21"/>
      <c r="M127" s="21"/>
      <c r="N127" s="21"/>
      <c r="O127" s="20"/>
    </row>
    <row r="128" spans="1:15" x14ac:dyDescent="0.3">
      <c r="A128" s="18"/>
      <c r="B128" s="21"/>
      <c r="C128" s="21"/>
      <c r="D128" s="21"/>
      <c r="E128" s="21"/>
      <c r="F128" s="21"/>
      <c r="G128" s="21"/>
      <c r="H128" s="21"/>
      <c r="I128" s="21"/>
      <c r="J128" s="21"/>
      <c r="K128" s="21"/>
      <c r="L128" s="21"/>
      <c r="M128" s="21"/>
      <c r="N128" s="21"/>
      <c r="O128" s="20"/>
    </row>
    <row r="129" spans="1:15" x14ac:dyDescent="0.3">
      <c r="A129" s="18"/>
      <c r="B129" s="21"/>
      <c r="C129" s="21"/>
      <c r="D129" s="21"/>
      <c r="E129" s="21"/>
      <c r="F129" s="21"/>
      <c r="G129" s="21"/>
      <c r="H129" s="21"/>
      <c r="I129" s="21"/>
      <c r="J129" s="21"/>
      <c r="K129" s="21"/>
      <c r="L129" s="21"/>
      <c r="M129" s="21"/>
      <c r="N129" s="21"/>
      <c r="O129" s="20"/>
    </row>
    <row r="130" spans="1:15" x14ac:dyDescent="0.3">
      <c r="A130" s="18"/>
      <c r="B130" s="28" t="s">
        <v>159</v>
      </c>
      <c r="C130" s="21"/>
      <c r="D130" s="21"/>
      <c r="E130" s="21"/>
      <c r="F130" s="21"/>
      <c r="G130" s="21"/>
      <c r="H130" s="21"/>
      <c r="I130" s="21"/>
      <c r="J130" s="21"/>
      <c r="K130" s="21"/>
      <c r="L130" s="21"/>
      <c r="M130" s="21"/>
      <c r="N130" s="21"/>
      <c r="O130" s="20"/>
    </row>
    <row r="131" spans="1:15" x14ac:dyDescent="0.3">
      <c r="A131" s="18"/>
      <c r="B131" s="10" t="str">
        <f t="array" ref="B131:C131">_xll.U.ENCRYPT()</f>
        <v>U.ENCRYPT_REPORT</v>
      </c>
      <c r="C131" s="10" t="str">
        <v>U.ENCRYPT_REPORT</v>
      </c>
      <c r="D131" s="21"/>
      <c r="E131" s="21"/>
      <c r="F131" s="21"/>
      <c r="G131" s="21"/>
      <c r="H131" s="21"/>
      <c r="I131" s="21"/>
      <c r="J131" s="21"/>
      <c r="K131" s="21"/>
      <c r="L131" s="21"/>
      <c r="M131" s="21"/>
      <c r="N131" s="21"/>
      <c r="O131" s="20"/>
    </row>
    <row r="132" spans="1:15" x14ac:dyDescent="0.3">
      <c r="A132" s="18"/>
      <c r="B132" s="21"/>
      <c r="C132" s="21"/>
      <c r="D132" s="21"/>
      <c r="E132" s="21"/>
      <c r="F132" s="21"/>
      <c r="G132" s="21"/>
      <c r="H132" s="21"/>
      <c r="I132" s="21"/>
      <c r="J132" s="21"/>
      <c r="K132" s="21"/>
      <c r="L132" s="21"/>
      <c r="M132" s="21"/>
      <c r="N132" s="21"/>
      <c r="O132" s="20"/>
    </row>
    <row r="133" spans="1:15" x14ac:dyDescent="0.3">
      <c r="A133" s="18"/>
      <c r="B133" s="21"/>
      <c r="C133" s="21"/>
      <c r="D133" s="21"/>
      <c r="E133" s="21"/>
      <c r="F133" s="21"/>
      <c r="G133" s="21"/>
      <c r="H133" s="21"/>
      <c r="I133" s="21"/>
      <c r="J133" s="21"/>
      <c r="K133" s="21"/>
      <c r="L133" s="21"/>
      <c r="M133" s="21"/>
      <c r="N133" s="21"/>
      <c r="O133" s="20"/>
    </row>
    <row r="134" spans="1:15" x14ac:dyDescent="0.3">
      <c r="A134" s="18"/>
      <c r="B134" s="21"/>
      <c r="C134" s="21"/>
      <c r="D134" s="21"/>
      <c r="E134" s="21"/>
      <c r="F134" s="21"/>
      <c r="G134" s="21"/>
      <c r="H134" s="21"/>
      <c r="I134" s="21"/>
      <c r="J134" s="21"/>
      <c r="K134" s="21"/>
      <c r="L134" s="21"/>
      <c r="M134" s="21"/>
      <c r="N134" s="21"/>
      <c r="O134" s="20"/>
    </row>
    <row r="135" spans="1:15" x14ac:dyDescent="0.3">
      <c r="A135" s="18"/>
      <c r="B135" s="21"/>
      <c r="C135" s="21"/>
      <c r="D135" s="21"/>
      <c r="E135" s="21"/>
      <c r="F135" s="21"/>
      <c r="G135" s="21"/>
      <c r="H135" s="21"/>
      <c r="I135" s="21"/>
      <c r="J135" s="21"/>
      <c r="K135" s="21"/>
      <c r="L135" s="21"/>
      <c r="M135" s="21"/>
      <c r="N135" s="21"/>
      <c r="O135" s="20"/>
    </row>
    <row r="136" spans="1:15" x14ac:dyDescent="0.3">
      <c r="A136" s="18"/>
      <c r="B136" s="21"/>
      <c r="C136" s="21"/>
      <c r="D136" s="21"/>
      <c r="E136" s="21"/>
      <c r="F136" s="21"/>
      <c r="G136" s="21"/>
      <c r="H136" s="21"/>
      <c r="I136" s="21"/>
      <c r="J136" s="21"/>
      <c r="K136" s="21"/>
      <c r="L136" s="21"/>
      <c r="M136" s="21"/>
      <c r="N136" s="21"/>
      <c r="O136" s="20"/>
    </row>
    <row r="137" spans="1:15" x14ac:dyDescent="0.3">
      <c r="A137" s="18"/>
      <c r="B137" s="21"/>
      <c r="C137" s="21"/>
      <c r="D137" s="21"/>
      <c r="E137" s="21"/>
      <c r="F137" s="21"/>
      <c r="G137" s="21"/>
      <c r="H137" s="21"/>
      <c r="I137" s="21"/>
      <c r="J137" s="21"/>
      <c r="K137" s="21"/>
      <c r="L137" s="21"/>
      <c r="M137" s="21"/>
      <c r="N137" s="21"/>
      <c r="O137" s="20"/>
    </row>
    <row r="138" spans="1:15" x14ac:dyDescent="0.3">
      <c r="A138" s="18"/>
      <c r="B138" s="21"/>
      <c r="C138" s="21"/>
      <c r="D138" s="21"/>
      <c r="E138" s="21"/>
      <c r="F138" s="21"/>
      <c r="G138" s="21"/>
      <c r="H138" s="21"/>
      <c r="I138" s="21"/>
      <c r="J138" s="21"/>
      <c r="K138" s="21"/>
      <c r="L138" s="21"/>
      <c r="M138" s="21"/>
      <c r="N138" s="21"/>
      <c r="O138" s="20"/>
    </row>
    <row r="139" spans="1:15" x14ac:dyDescent="0.3">
      <c r="A139" s="18"/>
      <c r="B139" s="21"/>
      <c r="C139" s="21"/>
      <c r="D139" s="21"/>
      <c r="E139" s="21"/>
      <c r="F139" s="21"/>
      <c r="G139" s="21"/>
      <c r="H139" s="21"/>
      <c r="I139" s="21"/>
      <c r="J139" s="21"/>
      <c r="K139" s="21"/>
      <c r="L139" s="21"/>
      <c r="M139" s="21"/>
      <c r="N139" s="21"/>
      <c r="O139" s="20"/>
    </row>
    <row r="140" spans="1:15" x14ac:dyDescent="0.3">
      <c r="A140" s="18"/>
      <c r="B140" s="21"/>
      <c r="C140" s="21"/>
      <c r="D140" s="21"/>
      <c r="E140" s="21"/>
      <c r="F140" s="21"/>
      <c r="G140" s="21"/>
      <c r="H140" s="21"/>
      <c r="I140" s="21"/>
      <c r="J140" s="21"/>
      <c r="K140" s="21"/>
      <c r="L140" s="21"/>
      <c r="M140" s="21"/>
      <c r="N140" s="21"/>
      <c r="O140" s="20"/>
    </row>
    <row r="141" spans="1:15" ht="15" thickBot="1" x14ac:dyDescent="0.35">
      <c r="A141" s="22"/>
      <c r="B141" s="23"/>
      <c r="C141" s="23"/>
      <c r="D141" s="23"/>
      <c r="E141" s="23"/>
      <c r="F141" s="23"/>
      <c r="G141" s="23"/>
      <c r="H141" s="23"/>
      <c r="I141" s="23"/>
      <c r="J141" s="23"/>
      <c r="K141" s="23"/>
      <c r="L141" s="23"/>
      <c r="M141" s="23"/>
      <c r="N141" s="23"/>
      <c r="O141" s="24"/>
    </row>
  </sheetData>
  <dataConsolidate/>
  <mergeCells count="72">
    <mergeCell ref="B12:C12"/>
    <mergeCell ref="B25:C25"/>
    <mergeCell ref="E29:F29"/>
    <mergeCell ref="B50:C50"/>
    <mergeCell ref="B42:C42"/>
    <mergeCell ref="B46:C46"/>
    <mergeCell ref="B21:K21"/>
    <mergeCell ref="B38:K38"/>
    <mergeCell ref="Q28:R30"/>
    <mergeCell ref="S28:Y30"/>
    <mergeCell ref="Z28:Z30"/>
    <mergeCell ref="Q34:Z34"/>
    <mergeCell ref="Q35:R37"/>
    <mergeCell ref="S35:Z37"/>
    <mergeCell ref="B124:C124"/>
    <mergeCell ref="E124:F124"/>
    <mergeCell ref="A100:M100"/>
    <mergeCell ref="A79:M79"/>
    <mergeCell ref="B64:K64"/>
    <mergeCell ref="B102:C102"/>
    <mergeCell ref="B71:C71"/>
    <mergeCell ref="B66:C66"/>
    <mergeCell ref="E102:F102"/>
    <mergeCell ref="C1:D1"/>
    <mergeCell ref="B7:C7"/>
    <mergeCell ref="E7:F7"/>
    <mergeCell ref="Q8:R10"/>
    <mergeCell ref="Q3:Z3"/>
    <mergeCell ref="Q4:R6"/>
    <mergeCell ref="S4:Z6"/>
    <mergeCell ref="Q7:R7"/>
    <mergeCell ref="S7:Y7"/>
    <mergeCell ref="A3:M3"/>
    <mergeCell ref="B5:K5"/>
    <mergeCell ref="S8:Y10"/>
    <mergeCell ref="Z8:Z10"/>
    <mergeCell ref="Q11:R13"/>
    <mergeCell ref="S11:Y13"/>
    <mergeCell ref="Z11:Z13"/>
    <mergeCell ref="S21:Y21"/>
    <mergeCell ref="Q25:R27"/>
    <mergeCell ref="S25:Y27"/>
    <mergeCell ref="Z25:Z27"/>
    <mergeCell ref="Q22:R24"/>
    <mergeCell ref="S22:Y24"/>
    <mergeCell ref="Z22:Z24"/>
    <mergeCell ref="Q17:Z17"/>
    <mergeCell ref="Q18:R20"/>
    <mergeCell ref="S18:Z20"/>
    <mergeCell ref="Q21:R21"/>
    <mergeCell ref="Q38:R38"/>
    <mergeCell ref="S38:Y38"/>
    <mergeCell ref="Q39:R41"/>
    <mergeCell ref="S39:Y41"/>
    <mergeCell ref="Z39:Z41"/>
    <mergeCell ref="Q42:R44"/>
    <mergeCell ref="S42:Y44"/>
    <mergeCell ref="Z42:Z44"/>
    <mergeCell ref="Q45:R47"/>
    <mergeCell ref="S45:Y47"/>
    <mergeCell ref="Z45:Z47"/>
    <mergeCell ref="Q51:Z51"/>
    <mergeCell ref="Q52:R54"/>
    <mergeCell ref="S52:Z54"/>
    <mergeCell ref="Z56:Z58"/>
    <mergeCell ref="Q59:R61"/>
    <mergeCell ref="S59:Y61"/>
    <mergeCell ref="Z59:Z61"/>
    <mergeCell ref="Q55:R55"/>
    <mergeCell ref="S55:Y55"/>
    <mergeCell ref="Q56:R58"/>
    <mergeCell ref="S56:Y58"/>
  </mergeCells>
  <pageMargins left="0.7" right="0.7" top="0.75" bottom="0.75" header="0.3" footer="0.3"/>
  <pageSetup orientation="portrait" r:id="rId1"/>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690B-EBDC-4C82-8F70-9AA04E84967B}">
  <sheetPr codeName="Sheet62"/>
  <dimension ref="A1:AE387"/>
  <sheetViews>
    <sheetView workbookViewId="0">
      <pane ySplit="1" topLeftCell="A2" activePane="bottomLeft" state="frozen"/>
      <selection activeCell="C33" sqref="C33"/>
      <selection pane="bottomLeft" activeCell="A2" sqref="A2"/>
    </sheetView>
  </sheetViews>
  <sheetFormatPr defaultRowHeight="14.4" x14ac:dyDescent="0.3"/>
  <cols>
    <col min="2" max="2" width="28.21875" customWidth="1"/>
    <col min="3" max="3" width="27.77734375" customWidth="1"/>
    <col min="4" max="4" width="24.77734375" customWidth="1"/>
    <col min="5" max="5" width="33" customWidth="1"/>
    <col min="6" max="6" width="22" customWidth="1"/>
    <col min="7" max="7" width="22.5546875" customWidth="1"/>
    <col min="8" max="12" width="15.44140625" customWidth="1"/>
    <col min="13" max="13" width="12.44140625" bestFit="1" customWidth="1"/>
    <col min="14" max="14" width="13" customWidth="1"/>
    <col min="15" max="15" width="12.77734375" bestFit="1" customWidth="1"/>
    <col min="16" max="16" width="7.77734375" bestFit="1" customWidth="1"/>
    <col min="17" max="17" width="12.44140625" bestFit="1" customWidth="1"/>
    <col min="18" max="18" width="16.77734375" bestFit="1" customWidth="1"/>
    <col min="19" max="19" width="16.77734375" customWidth="1"/>
    <col min="20" max="20" width="9.77734375" customWidth="1"/>
    <col min="22" max="23" width="12.21875" customWidth="1"/>
    <col min="24" max="30" width="15.77734375" customWidth="1"/>
  </cols>
  <sheetData>
    <row r="1" spans="1:31" ht="34.5" customHeight="1" thickBot="1" x14ac:dyDescent="0.35">
      <c r="A1" s="292" t="s">
        <v>1580</v>
      </c>
      <c r="B1" s="473" t="e" vm="1">
        <v>#VALUE!</v>
      </c>
      <c r="C1" s="8" t="s">
        <v>2310</v>
      </c>
      <c r="D1" s="29"/>
      <c r="E1" s="16"/>
      <c r="F1" s="16"/>
      <c r="G1" s="16"/>
      <c r="H1" s="16"/>
      <c r="I1" s="16"/>
      <c r="J1" s="16"/>
      <c r="K1" s="16"/>
      <c r="L1" s="16"/>
      <c r="M1" s="16"/>
      <c r="N1" s="16"/>
      <c r="O1" s="16"/>
      <c r="P1" s="16"/>
      <c r="Q1" s="16"/>
      <c r="R1" s="16"/>
      <c r="S1" s="16"/>
      <c r="T1" s="19"/>
    </row>
    <row r="2" spans="1:31" ht="15" customHeight="1" x14ac:dyDescent="0.3">
      <c r="A2" s="18"/>
      <c r="B2" s="25"/>
      <c r="C2" s="25"/>
      <c r="D2" s="21"/>
      <c r="E2" s="21"/>
      <c r="F2" s="21"/>
      <c r="G2" s="21"/>
      <c r="H2" s="21"/>
      <c r="I2" s="21"/>
      <c r="J2" s="21"/>
      <c r="K2" s="21"/>
      <c r="L2" s="21"/>
      <c r="M2" s="21"/>
      <c r="N2" s="21"/>
      <c r="O2" s="21"/>
      <c r="P2" s="21"/>
      <c r="Q2" s="21"/>
      <c r="R2" s="21"/>
      <c r="S2" s="21"/>
      <c r="T2" s="20"/>
    </row>
    <row r="3" spans="1:31" ht="15" customHeight="1" x14ac:dyDescent="0.3">
      <c r="A3" s="18"/>
      <c r="B3" s="21"/>
      <c r="C3" s="21"/>
      <c r="D3" s="26"/>
      <c r="E3" s="21"/>
      <c r="F3" s="21"/>
      <c r="G3" s="21"/>
      <c r="H3" s="21"/>
      <c r="I3" s="21"/>
      <c r="J3" s="21"/>
      <c r="K3" s="21"/>
      <c r="L3" s="21"/>
      <c r="M3" s="21"/>
      <c r="N3" s="21"/>
      <c r="O3" s="21"/>
      <c r="P3" s="21"/>
      <c r="Q3" s="21"/>
      <c r="R3" s="21"/>
      <c r="S3" s="21"/>
      <c r="T3" s="20"/>
      <c r="V3" s="486" t="s">
        <v>3599</v>
      </c>
      <c r="W3" s="486"/>
      <c r="X3" s="486"/>
      <c r="Y3" s="486"/>
      <c r="Z3" s="486"/>
      <c r="AA3" s="486"/>
      <c r="AB3" s="486"/>
      <c r="AC3" s="486"/>
      <c r="AD3" s="486"/>
      <c r="AE3" s="486"/>
    </row>
    <row r="4" spans="1:31" x14ac:dyDescent="0.3">
      <c r="A4" s="18"/>
      <c r="B4" s="513" t="s">
        <v>2405</v>
      </c>
      <c r="C4" s="515"/>
      <c r="D4" s="21"/>
      <c r="E4" s="179" t="s">
        <v>3599</v>
      </c>
      <c r="F4" s="21"/>
      <c r="G4" s="21"/>
      <c r="H4" s="21"/>
      <c r="I4" s="21"/>
      <c r="J4" s="21"/>
      <c r="K4" s="159"/>
      <c r="L4" s="21"/>
      <c r="M4" s="21"/>
      <c r="N4" s="21"/>
      <c r="O4" s="21"/>
      <c r="P4" s="21"/>
      <c r="Q4" s="21"/>
      <c r="R4" s="21"/>
      <c r="S4" s="21"/>
      <c r="T4" s="20"/>
      <c r="V4" s="487" t="s">
        <v>333</v>
      </c>
      <c r="W4" s="487"/>
      <c r="X4" s="487" t="s">
        <v>3846</v>
      </c>
      <c r="Y4" s="487"/>
      <c r="Z4" s="487"/>
      <c r="AA4" s="487"/>
      <c r="AB4" s="487"/>
      <c r="AC4" s="487"/>
      <c r="AD4" s="487"/>
      <c r="AE4" s="487"/>
    </row>
    <row r="5" spans="1:31" x14ac:dyDescent="0.3">
      <c r="A5" s="18"/>
      <c r="B5" s="9" t="s">
        <v>679</v>
      </c>
      <c r="C5" s="295" t="s">
        <v>2311</v>
      </c>
      <c r="D5" s="21"/>
      <c r="E5" s="189" t="str" cm="1">
        <f t="array" ref="E5">_xll.U.COMPILE(C5,C6,B10:C12)</f>
        <v>Function Clamp compiled at 2026-05-03 21:26:20</v>
      </c>
      <c r="F5" s="21"/>
      <c r="G5" s="21"/>
      <c r="H5" s="21"/>
      <c r="I5" s="21"/>
      <c r="J5" s="21"/>
      <c r="K5" s="159"/>
      <c r="L5" s="21"/>
      <c r="M5" s="21"/>
      <c r="N5" s="21"/>
      <c r="O5" s="21"/>
      <c r="P5" s="21"/>
      <c r="Q5" s="21"/>
      <c r="R5" s="21"/>
      <c r="S5" s="21"/>
      <c r="T5" s="20"/>
      <c r="V5" s="487"/>
      <c r="W5" s="487"/>
      <c r="X5" s="487"/>
      <c r="Y5" s="487"/>
      <c r="Z5" s="487"/>
      <c r="AA5" s="487"/>
      <c r="AB5" s="487"/>
      <c r="AC5" s="487"/>
      <c r="AD5" s="487"/>
      <c r="AE5" s="487"/>
    </row>
    <row r="6" spans="1:31" x14ac:dyDescent="0.3">
      <c r="A6" s="18"/>
      <c r="B6" s="9" t="s">
        <v>1832</v>
      </c>
      <c r="C6" s="295" t="s">
        <v>2769</v>
      </c>
      <c r="D6" s="21"/>
      <c r="E6" s="21"/>
      <c r="F6" s="21"/>
      <c r="G6" s="21"/>
      <c r="H6" s="21"/>
      <c r="I6" s="21"/>
      <c r="J6" s="21"/>
      <c r="K6" s="21"/>
      <c r="L6" s="21"/>
      <c r="M6" s="21"/>
      <c r="N6" s="21"/>
      <c r="O6" s="21"/>
      <c r="P6" s="21"/>
      <c r="Q6" s="21"/>
      <c r="R6" s="21"/>
      <c r="S6" s="21"/>
      <c r="T6" s="20"/>
      <c r="V6" s="487"/>
      <c r="W6" s="487"/>
      <c r="X6" s="487"/>
      <c r="Y6" s="487"/>
      <c r="Z6" s="487"/>
      <c r="AA6" s="487"/>
      <c r="AB6" s="487"/>
      <c r="AC6" s="487"/>
      <c r="AD6" s="487"/>
      <c r="AE6" s="487"/>
    </row>
    <row r="7" spans="1:31" x14ac:dyDescent="0.3">
      <c r="A7" s="18"/>
      <c r="B7" s="21"/>
      <c r="C7" s="21"/>
      <c r="D7" s="21"/>
      <c r="E7" s="21"/>
      <c r="F7" s="21"/>
      <c r="G7" s="21"/>
      <c r="H7" s="21"/>
      <c r="I7" s="21"/>
      <c r="J7" s="21"/>
      <c r="K7" s="21"/>
      <c r="L7" s="21"/>
      <c r="M7" s="21"/>
      <c r="N7" s="21"/>
      <c r="O7" s="21"/>
      <c r="P7" s="21"/>
      <c r="Q7" s="21"/>
      <c r="R7" s="21"/>
      <c r="S7" s="21"/>
      <c r="T7" s="20"/>
      <c r="V7" s="483" t="s">
        <v>323</v>
      </c>
      <c r="W7" s="483"/>
      <c r="X7" s="483" t="s">
        <v>1</v>
      </c>
      <c r="Y7" s="483"/>
      <c r="Z7" s="483"/>
      <c r="AA7" s="483"/>
      <c r="AB7" s="483"/>
      <c r="AC7" s="483"/>
      <c r="AD7" s="483"/>
      <c r="AE7" s="85" t="s">
        <v>324</v>
      </c>
    </row>
    <row r="8" spans="1:31" x14ac:dyDescent="0.3">
      <c r="A8" s="18"/>
      <c r="B8" s="513" t="s">
        <v>2406</v>
      </c>
      <c r="C8" s="515"/>
      <c r="D8" s="21"/>
      <c r="E8" s="21"/>
      <c r="F8" s="21"/>
      <c r="G8" s="21"/>
      <c r="H8" s="21"/>
      <c r="I8" s="21"/>
      <c r="J8" s="21"/>
      <c r="K8" s="21"/>
      <c r="L8" s="21"/>
      <c r="M8" s="21"/>
      <c r="N8" s="21"/>
      <c r="O8" s="21"/>
      <c r="P8" s="21"/>
      <c r="Q8" s="21"/>
      <c r="R8" s="21"/>
      <c r="S8" s="21"/>
      <c r="T8" s="20"/>
      <c r="V8" s="488" t="s">
        <v>2313</v>
      </c>
      <c r="W8" s="488"/>
      <c r="X8" s="488" t="s">
        <v>2832</v>
      </c>
      <c r="Y8" s="488"/>
      <c r="Z8" s="488"/>
      <c r="AA8" s="488"/>
      <c r="AB8" s="488"/>
      <c r="AC8" s="488"/>
      <c r="AD8" s="488"/>
      <c r="AE8" s="590" t="s">
        <v>325</v>
      </c>
    </row>
    <row r="9" spans="1:31" x14ac:dyDescent="0.3">
      <c r="A9" s="18"/>
      <c r="B9" s="9" t="s">
        <v>323</v>
      </c>
      <c r="C9" s="9" t="s">
        <v>2089</v>
      </c>
      <c r="D9" s="21"/>
      <c r="E9" s="21"/>
      <c r="F9" s="21"/>
      <c r="G9" s="21"/>
      <c r="H9" s="21"/>
      <c r="I9" s="21"/>
      <c r="J9" s="21"/>
      <c r="K9" s="21"/>
      <c r="L9" s="21"/>
      <c r="M9" s="21"/>
      <c r="N9" s="21"/>
      <c r="O9" s="21"/>
      <c r="P9" s="21"/>
      <c r="Q9" s="21"/>
      <c r="R9" s="21"/>
      <c r="S9" s="21"/>
      <c r="T9" s="20"/>
      <c r="V9" s="488"/>
      <c r="W9" s="488"/>
      <c r="X9" s="488"/>
      <c r="Y9" s="488"/>
      <c r="Z9" s="488"/>
      <c r="AA9" s="488"/>
      <c r="AB9" s="488"/>
      <c r="AC9" s="488"/>
      <c r="AD9" s="488"/>
      <c r="AE9" s="591"/>
    </row>
    <row r="10" spans="1:31" x14ac:dyDescent="0.3">
      <c r="A10" s="18"/>
      <c r="B10" s="295" t="s">
        <v>80</v>
      </c>
      <c r="C10" s="295" t="s">
        <v>2312</v>
      </c>
      <c r="D10" s="21"/>
      <c r="E10" s="21"/>
      <c r="F10" s="21"/>
      <c r="G10" s="21"/>
      <c r="H10" s="21"/>
      <c r="I10" s="21"/>
      <c r="J10" s="21"/>
      <c r="K10" s="21"/>
      <c r="L10" s="21"/>
      <c r="M10" s="21"/>
      <c r="N10" s="21"/>
      <c r="O10" s="21"/>
      <c r="P10" s="21"/>
      <c r="Q10" s="21"/>
      <c r="R10" s="21"/>
      <c r="S10" s="21"/>
      <c r="T10" s="20"/>
      <c r="V10" s="488"/>
      <c r="W10" s="488"/>
      <c r="X10" s="488"/>
      <c r="Y10" s="488"/>
      <c r="Z10" s="488"/>
      <c r="AA10" s="488"/>
      <c r="AB10" s="488"/>
      <c r="AC10" s="488"/>
      <c r="AD10" s="488"/>
      <c r="AE10" s="592"/>
    </row>
    <row r="11" spans="1:31" ht="15" customHeight="1" x14ac:dyDescent="0.3">
      <c r="A11" s="18"/>
      <c r="B11" s="295" t="s">
        <v>81</v>
      </c>
      <c r="C11" s="295" t="s">
        <v>2312</v>
      </c>
      <c r="D11" s="21"/>
      <c r="E11" s="21"/>
      <c r="F11" s="21"/>
      <c r="G11" s="21"/>
      <c r="H11" s="21"/>
      <c r="I11" s="21"/>
      <c r="J11" s="21"/>
      <c r="K11" s="21"/>
      <c r="L11" s="21"/>
      <c r="M11" s="21"/>
      <c r="N11" s="21"/>
      <c r="O11" s="21"/>
      <c r="P11" s="21"/>
      <c r="Q11" s="21"/>
      <c r="R11" s="21"/>
      <c r="S11" s="21"/>
      <c r="T11" s="20"/>
      <c r="V11" s="488" t="s">
        <v>2314</v>
      </c>
      <c r="W11" s="488"/>
      <c r="X11" s="488" t="s">
        <v>2830</v>
      </c>
      <c r="Y11" s="488"/>
      <c r="Z11" s="488"/>
      <c r="AA11" s="488"/>
      <c r="AB11" s="488"/>
      <c r="AC11" s="488"/>
      <c r="AD11" s="488"/>
      <c r="AE11" s="590" t="s">
        <v>325</v>
      </c>
    </row>
    <row r="12" spans="1:31" x14ac:dyDescent="0.3">
      <c r="A12" s="18"/>
      <c r="B12" s="295" t="s">
        <v>82</v>
      </c>
      <c r="C12" s="295" t="s">
        <v>2312</v>
      </c>
      <c r="D12" s="21"/>
      <c r="E12" s="21"/>
      <c r="F12" s="21"/>
      <c r="G12" s="21"/>
      <c r="H12" s="21"/>
      <c r="I12" s="21"/>
      <c r="J12" s="21"/>
      <c r="K12" s="21"/>
      <c r="L12" s="21"/>
      <c r="M12" s="21"/>
      <c r="N12" s="21"/>
      <c r="O12" s="21"/>
      <c r="P12" s="21"/>
      <c r="Q12" s="21"/>
      <c r="R12" s="21"/>
      <c r="S12" s="21"/>
      <c r="T12" s="20"/>
      <c r="V12" s="488"/>
      <c r="W12" s="488"/>
      <c r="X12" s="488"/>
      <c r="Y12" s="488"/>
      <c r="Z12" s="488"/>
      <c r="AA12" s="488"/>
      <c r="AB12" s="488"/>
      <c r="AC12" s="488"/>
      <c r="AD12" s="488"/>
      <c r="AE12" s="591"/>
    </row>
    <row r="13" spans="1:31" x14ac:dyDescent="0.3">
      <c r="A13" s="18"/>
      <c r="B13" s="21"/>
      <c r="C13" s="21"/>
      <c r="D13" s="21"/>
      <c r="E13" s="21"/>
      <c r="F13" s="21"/>
      <c r="G13" s="21"/>
      <c r="H13" s="21"/>
      <c r="I13" s="21"/>
      <c r="J13" s="21"/>
      <c r="K13" s="21"/>
      <c r="L13" s="21"/>
      <c r="M13" s="21"/>
      <c r="N13" s="21"/>
      <c r="O13" s="21"/>
      <c r="P13" s="21"/>
      <c r="Q13" s="21"/>
      <c r="R13" s="21"/>
      <c r="S13" s="21"/>
      <c r="T13" s="20"/>
      <c r="V13" s="488"/>
      <c r="W13" s="488"/>
      <c r="X13" s="488"/>
      <c r="Y13" s="488"/>
      <c r="Z13" s="488"/>
      <c r="AA13" s="488"/>
      <c r="AB13" s="488"/>
      <c r="AC13" s="488"/>
      <c r="AD13" s="488"/>
      <c r="AE13" s="592"/>
    </row>
    <row r="14" spans="1:31" x14ac:dyDescent="0.3">
      <c r="A14" s="18"/>
      <c r="B14" s="21"/>
      <c r="C14" s="21"/>
      <c r="D14" s="21"/>
      <c r="E14" s="21"/>
      <c r="F14" s="21"/>
      <c r="G14" s="21"/>
      <c r="H14" s="21"/>
      <c r="I14" s="21"/>
      <c r="J14" s="21"/>
      <c r="K14" s="21"/>
      <c r="L14" s="21"/>
      <c r="M14" s="21"/>
      <c r="N14" s="21"/>
      <c r="O14" s="21"/>
      <c r="P14" s="21"/>
      <c r="Q14" s="21"/>
      <c r="R14" s="21"/>
      <c r="S14" s="21"/>
      <c r="T14" s="20"/>
      <c r="V14" s="496" t="s">
        <v>2315</v>
      </c>
      <c r="W14" s="497"/>
      <c r="X14" s="496" t="s">
        <v>3876</v>
      </c>
      <c r="Y14" s="502"/>
      <c r="Z14" s="502"/>
      <c r="AA14" s="502"/>
      <c r="AB14" s="502"/>
      <c r="AC14" s="502"/>
      <c r="AD14" s="497"/>
      <c r="AE14" s="505" t="s">
        <v>326</v>
      </c>
    </row>
    <row r="15" spans="1:31" x14ac:dyDescent="0.3">
      <c r="A15" s="18"/>
      <c r="B15" s="9" t="s">
        <v>2326</v>
      </c>
      <c r="C15" s="295">
        <v>6</v>
      </c>
      <c r="D15" s="21"/>
      <c r="E15" s="179" t="s">
        <v>3600</v>
      </c>
      <c r="F15" s="21"/>
      <c r="G15" s="21"/>
      <c r="H15" s="21"/>
      <c r="I15" s="21"/>
      <c r="J15" s="21"/>
      <c r="K15" s="21"/>
      <c r="L15" s="21"/>
      <c r="M15" s="21"/>
      <c r="N15" s="21"/>
      <c r="O15" s="21"/>
      <c r="P15" s="21"/>
      <c r="Q15" s="21"/>
      <c r="R15" s="21"/>
      <c r="S15" s="21"/>
      <c r="T15" s="20"/>
      <c r="V15" s="498"/>
      <c r="W15" s="499"/>
      <c r="X15" s="498"/>
      <c r="Y15" s="503"/>
      <c r="Z15" s="503"/>
      <c r="AA15" s="503"/>
      <c r="AB15" s="503"/>
      <c r="AC15" s="503"/>
      <c r="AD15" s="499"/>
      <c r="AE15" s="506"/>
    </row>
    <row r="16" spans="1:31" x14ac:dyDescent="0.3">
      <c r="A16" s="18"/>
      <c r="B16" s="9" t="s">
        <v>2324</v>
      </c>
      <c r="C16" s="295">
        <v>10</v>
      </c>
      <c r="D16" s="21"/>
      <c r="E16" s="354" cm="1">
        <f t="array" ref="E16">_xll.U.INVOKE(C5,C15,C16,C17)</f>
        <v>10</v>
      </c>
      <c r="F16" s="21"/>
      <c r="G16" s="21"/>
      <c r="H16" s="21"/>
      <c r="I16" s="21"/>
      <c r="J16" s="21"/>
      <c r="K16" s="21"/>
      <c r="L16" s="21"/>
      <c r="M16" s="21"/>
      <c r="N16" s="21"/>
      <c r="O16" s="21"/>
      <c r="P16" s="21"/>
      <c r="Q16" s="21"/>
      <c r="R16" s="21"/>
      <c r="S16" s="21"/>
      <c r="T16" s="20"/>
      <c r="V16" s="500"/>
      <c r="W16" s="501"/>
      <c r="X16" s="500"/>
      <c r="Y16" s="504"/>
      <c r="Z16" s="504"/>
      <c r="AA16" s="504"/>
      <c r="AB16" s="504"/>
      <c r="AC16" s="504"/>
      <c r="AD16" s="501"/>
      <c r="AE16" s="507"/>
    </row>
    <row r="17" spans="1:31" x14ac:dyDescent="0.3">
      <c r="A17" s="18"/>
      <c r="B17" s="9" t="s">
        <v>2325</v>
      </c>
      <c r="C17" s="295">
        <v>100</v>
      </c>
      <c r="D17" s="21"/>
      <c r="E17" s="21"/>
      <c r="F17" s="21"/>
      <c r="G17" s="21"/>
      <c r="H17" s="21"/>
      <c r="I17" s="21"/>
      <c r="J17" s="21"/>
      <c r="K17" s="21"/>
      <c r="L17" s="21"/>
      <c r="M17" s="21"/>
      <c r="N17" s="21"/>
      <c r="O17" s="21"/>
      <c r="P17" s="21"/>
      <c r="Q17" s="21"/>
      <c r="R17" s="21"/>
      <c r="S17" s="21"/>
      <c r="T17" s="20"/>
      <c r="V17" s="496" t="s">
        <v>2316</v>
      </c>
      <c r="W17" s="497"/>
      <c r="X17" s="496" t="s">
        <v>2445</v>
      </c>
      <c r="Y17" s="502"/>
      <c r="Z17" s="502"/>
      <c r="AA17" s="502"/>
      <c r="AB17" s="502"/>
      <c r="AC17" s="502"/>
      <c r="AD17" s="497"/>
      <c r="AE17" s="505" t="s">
        <v>326</v>
      </c>
    </row>
    <row r="18" spans="1:31" x14ac:dyDescent="0.3">
      <c r="A18" s="18"/>
      <c r="B18" s="21"/>
      <c r="C18" s="21"/>
      <c r="D18" s="21"/>
      <c r="E18" s="21"/>
      <c r="F18" s="21"/>
      <c r="G18" s="21"/>
      <c r="H18" s="21"/>
      <c r="I18" s="21"/>
      <c r="J18" s="21"/>
      <c r="K18" s="21"/>
      <c r="L18" s="21"/>
      <c r="M18" s="21"/>
      <c r="N18" s="21"/>
      <c r="O18" s="21"/>
      <c r="P18" s="21"/>
      <c r="Q18" s="21"/>
      <c r="R18" s="21"/>
      <c r="S18" s="21"/>
      <c r="T18" s="20"/>
      <c r="V18" s="498"/>
      <c r="W18" s="499"/>
      <c r="X18" s="498"/>
      <c r="Y18" s="503"/>
      <c r="Z18" s="503"/>
      <c r="AA18" s="503"/>
      <c r="AB18" s="503"/>
      <c r="AC18" s="503"/>
      <c r="AD18" s="499"/>
      <c r="AE18" s="506"/>
    </row>
    <row r="19" spans="1:31" x14ac:dyDescent="0.3">
      <c r="A19" s="18"/>
      <c r="B19" s="21"/>
      <c r="C19" s="21"/>
      <c r="D19" s="21"/>
      <c r="E19" s="21"/>
      <c r="F19" s="21"/>
      <c r="G19" s="21"/>
      <c r="H19" s="21"/>
      <c r="I19" s="21"/>
      <c r="J19" s="21"/>
      <c r="K19" s="21"/>
      <c r="L19" s="21"/>
      <c r="M19" s="21"/>
      <c r="N19" s="21"/>
      <c r="O19" s="21"/>
      <c r="P19" s="21"/>
      <c r="Q19" s="21"/>
      <c r="R19" s="21"/>
      <c r="S19" s="21"/>
      <c r="T19" s="20"/>
      <c r="V19" s="500"/>
      <c r="W19" s="501"/>
      <c r="X19" s="500"/>
      <c r="Y19" s="504"/>
      <c r="Z19" s="504"/>
      <c r="AA19" s="504"/>
      <c r="AB19" s="504"/>
      <c r="AC19" s="504"/>
      <c r="AD19" s="501"/>
      <c r="AE19" s="507"/>
    </row>
    <row r="20" spans="1:31" x14ac:dyDescent="0.3">
      <c r="A20" s="18"/>
      <c r="B20" s="513" t="s">
        <v>2367</v>
      </c>
      <c r="C20" s="515"/>
      <c r="D20" s="21"/>
      <c r="E20" s="21"/>
      <c r="F20" s="21"/>
      <c r="G20" s="21"/>
      <c r="H20" s="21"/>
      <c r="I20" s="21"/>
      <c r="J20" s="21"/>
      <c r="K20" s="21"/>
      <c r="L20" s="21"/>
      <c r="M20" s="21"/>
      <c r="N20" s="21"/>
      <c r="O20" s="21"/>
      <c r="P20" s="21"/>
      <c r="Q20" s="21"/>
      <c r="R20" s="21"/>
      <c r="S20" s="21"/>
      <c r="T20" s="20"/>
      <c r="V20" s="496" t="s">
        <v>2317</v>
      </c>
      <c r="W20" s="497"/>
      <c r="X20" s="496" t="s">
        <v>2350</v>
      </c>
      <c r="Y20" s="502"/>
      <c r="Z20" s="502"/>
      <c r="AA20" s="502"/>
      <c r="AB20" s="502"/>
      <c r="AC20" s="502"/>
      <c r="AD20" s="497"/>
      <c r="AE20" s="505" t="s">
        <v>326</v>
      </c>
    </row>
    <row r="21" spans="1:31" x14ac:dyDescent="0.3">
      <c r="A21" s="18"/>
      <c r="B21" s="9" t="s">
        <v>2353</v>
      </c>
      <c r="C21" s="9" t="s">
        <v>2354</v>
      </c>
      <c r="D21" s="21"/>
      <c r="E21" s="21"/>
      <c r="F21" s="21"/>
      <c r="G21" s="21"/>
      <c r="H21" s="21"/>
      <c r="I21" s="21"/>
      <c r="J21" s="21"/>
      <c r="K21" s="21"/>
      <c r="L21" s="21"/>
      <c r="M21" s="21"/>
      <c r="N21" s="21"/>
      <c r="O21" s="21"/>
      <c r="P21" s="21"/>
      <c r="Q21" s="21"/>
      <c r="R21" s="21"/>
      <c r="S21" s="21"/>
      <c r="T21" s="20"/>
      <c r="V21" s="498"/>
      <c r="W21" s="499"/>
      <c r="X21" s="498"/>
      <c r="Y21" s="503"/>
      <c r="Z21" s="503"/>
      <c r="AA21" s="503"/>
      <c r="AB21" s="503"/>
      <c r="AC21" s="503"/>
      <c r="AD21" s="499"/>
      <c r="AE21" s="506"/>
    </row>
    <row r="22" spans="1:31" x14ac:dyDescent="0.3">
      <c r="A22" s="18"/>
      <c r="B22" s="109" t="s">
        <v>2355</v>
      </c>
      <c r="C22" s="356" t="s">
        <v>431</v>
      </c>
      <c r="D22" s="21"/>
      <c r="E22" s="21"/>
      <c r="F22" s="21"/>
      <c r="G22" s="21"/>
      <c r="H22" s="21"/>
      <c r="I22" s="21"/>
      <c r="J22" s="21"/>
      <c r="K22" s="21"/>
      <c r="L22" s="21"/>
      <c r="M22" s="21"/>
      <c r="N22" s="21"/>
      <c r="O22" s="21"/>
      <c r="P22" s="21"/>
      <c r="Q22" s="21"/>
      <c r="R22" s="21"/>
      <c r="S22" s="21"/>
      <c r="T22" s="20"/>
      <c r="V22" s="500"/>
      <c r="W22" s="501"/>
      <c r="X22" s="500"/>
      <c r="Y22" s="504"/>
      <c r="Z22" s="504"/>
      <c r="AA22" s="504"/>
      <c r="AB22" s="504"/>
      <c r="AC22" s="504"/>
      <c r="AD22" s="501"/>
      <c r="AE22" s="507"/>
    </row>
    <row r="23" spans="1:31" x14ac:dyDescent="0.3">
      <c r="A23" s="18"/>
      <c r="B23" s="109" t="s">
        <v>2368</v>
      </c>
      <c r="C23" s="109" t="s">
        <v>2365</v>
      </c>
      <c r="D23" s="21"/>
      <c r="E23" s="21"/>
      <c r="F23" s="21"/>
      <c r="G23" s="21"/>
      <c r="H23" s="21"/>
      <c r="I23" s="21"/>
      <c r="J23" s="21"/>
      <c r="K23" s="21"/>
      <c r="L23" s="21"/>
      <c r="M23" s="21"/>
      <c r="N23" s="21"/>
      <c r="O23" s="21"/>
      <c r="P23" s="21"/>
      <c r="Q23" s="21"/>
      <c r="R23" s="21"/>
      <c r="S23" s="21"/>
      <c r="T23" s="20"/>
      <c r="V23" s="496" t="s">
        <v>2349</v>
      </c>
      <c r="W23" s="497"/>
      <c r="X23" s="496" t="s">
        <v>2351</v>
      </c>
      <c r="Y23" s="502"/>
      <c r="Z23" s="502"/>
      <c r="AA23" s="502"/>
      <c r="AB23" s="502"/>
      <c r="AC23" s="502"/>
      <c r="AD23" s="497"/>
      <c r="AE23" s="505" t="s">
        <v>326</v>
      </c>
    </row>
    <row r="24" spans="1:31" x14ac:dyDescent="0.3">
      <c r="A24" s="18"/>
      <c r="B24" s="109" t="s">
        <v>2356</v>
      </c>
      <c r="C24" s="109" t="s">
        <v>2366</v>
      </c>
      <c r="D24" s="21"/>
      <c r="E24" s="21"/>
      <c r="F24" s="21"/>
      <c r="G24" s="21"/>
      <c r="H24" s="21"/>
      <c r="I24" s="21"/>
      <c r="J24" s="21"/>
      <c r="K24" s="21"/>
      <c r="L24" s="21"/>
      <c r="M24" s="21"/>
      <c r="N24" s="21"/>
      <c r="O24" s="21"/>
      <c r="P24" s="21"/>
      <c r="Q24" s="21"/>
      <c r="R24" s="21"/>
      <c r="S24" s="21"/>
      <c r="T24" s="20"/>
      <c r="V24" s="498"/>
      <c r="W24" s="499"/>
      <c r="X24" s="498"/>
      <c r="Y24" s="503"/>
      <c r="Z24" s="503"/>
      <c r="AA24" s="503"/>
      <c r="AB24" s="503"/>
      <c r="AC24" s="503"/>
      <c r="AD24" s="499"/>
      <c r="AE24" s="506"/>
    </row>
    <row r="25" spans="1:31" x14ac:dyDescent="0.3">
      <c r="A25" s="18"/>
      <c r="B25" s="109" t="s">
        <v>2358</v>
      </c>
      <c r="C25" s="109" t="s">
        <v>2412</v>
      </c>
      <c r="D25" s="21"/>
      <c r="E25" s="21"/>
      <c r="F25" s="21"/>
      <c r="G25" s="21"/>
      <c r="H25" s="21"/>
      <c r="I25" s="21"/>
      <c r="J25" s="21"/>
      <c r="K25" s="21"/>
      <c r="L25" s="21"/>
      <c r="M25" s="21"/>
      <c r="N25" s="21"/>
      <c r="O25" s="21"/>
      <c r="P25" s="21"/>
      <c r="Q25" s="21"/>
      <c r="R25" s="21"/>
      <c r="S25" s="21"/>
      <c r="T25" s="20"/>
      <c r="V25" s="500"/>
      <c r="W25" s="501"/>
      <c r="X25" s="500"/>
      <c r="Y25" s="504"/>
      <c r="Z25" s="504"/>
      <c r="AA25" s="504"/>
      <c r="AB25" s="504"/>
      <c r="AC25" s="504"/>
      <c r="AD25" s="501"/>
      <c r="AE25" s="507"/>
    </row>
    <row r="26" spans="1:31" x14ac:dyDescent="0.3">
      <c r="A26" s="18"/>
      <c r="B26" s="109" t="s">
        <v>2763</v>
      </c>
      <c r="C26" s="109" t="s">
        <v>2411</v>
      </c>
      <c r="D26" s="21"/>
      <c r="E26" s="21"/>
      <c r="F26" s="21"/>
      <c r="G26" s="21"/>
      <c r="H26" s="21"/>
      <c r="I26" s="21"/>
      <c r="J26" s="21"/>
      <c r="K26" s="21"/>
      <c r="L26" s="21"/>
      <c r="M26" s="21"/>
      <c r="N26" s="21"/>
      <c r="O26" s="21"/>
      <c r="P26" s="21"/>
      <c r="Q26" s="21"/>
      <c r="R26" s="21"/>
      <c r="S26" s="21"/>
      <c r="T26" s="20"/>
      <c r="V26" s="496" t="s">
        <v>2347</v>
      </c>
      <c r="W26" s="497"/>
      <c r="X26" s="496" t="s">
        <v>2352</v>
      </c>
      <c r="Y26" s="502"/>
      <c r="Z26" s="502"/>
      <c r="AA26" s="502"/>
      <c r="AB26" s="502"/>
      <c r="AC26" s="502"/>
      <c r="AD26" s="497"/>
      <c r="AE26" s="505" t="s">
        <v>326</v>
      </c>
    </row>
    <row r="27" spans="1:31" ht="15" customHeight="1" x14ac:dyDescent="0.3">
      <c r="A27" s="18"/>
      <c r="B27" s="109" t="s">
        <v>2360</v>
      </c>
      <c r="C27" s="355"/>
      <c r="D27" s="21"/>
      <c r="E27" s="21"/>
      <c r="F27" s="21"/>
      <c r="G27" s="21"/>
      <c r="H27" s="21"/>
      <c r="I27" s="21"/>
      <c r="J27" s="21"/>
      <c r="K27" s="21"/>
      <c r="L27" s="21"/>
      <c r="M27" s="21"/>
      <c r="N27" s="21"/>
      <c r="O27" s="21"/>
      <c r="P27" s="21"/>
      <c r="Q27" s="21"/>
      <c r="R27" s="21"/>
      <c r="S27" s="21"/>
      <c r="T27" s="20"/>
      <c r="V27" s="498"/>
      <c r="W27" s="499"/>
      <c r="X27" s="498"/>
      <c r="Y27" s="503"/>
      <c r="Z27" s="503"/>
      <c r="AA27" s="503"/>
      <c r="AB27" s="503"/>
      <c r="AC27" s="503"/>
      <c r="AD27" s="499"/>
      <c r="AE27" s="506"/>
    </row>
    <row r="28" spans="1:31" x14ac:dyDescent="0.3">
      <c r="A28" s="18"/>
      <c r="B28" s="109" t="s">
        <v>2764</v>
      </c>
      <c r="C28" s="355"/>
      <c r="D28" s="21"/>
      <c r="E28" s="21"/>
      <c r="F28" s="21"/>
      <c r="G28" s="21"/>
      <c r="H28" s="21"/>
      <c r="I28" s="21"/>
      <c r="J28" s="21"/>
      <c r="K28" s="21"/>
      <c r="L28" s="21"/>
      <c r="M28" s="21"/>
      <c r="N28" s="21"/>
      <c r="O28" s="21"/>
      <c r="P28" s="21"/>
      <c r="Q28" s="21"/>
      <c r="R28" s="21"/>
      <c r="S28" s="21"/>
      <c r="T28" s="20"/>
      <c r="V28" s="500"/>
      <c r="W28" s="501"/>
      <c r="X28" s="500"/>
      <c r="Y28" s="504"/>
      <c r="Z28" s="504"/>
      <c r="AA28" s="504"/>
      <c r="AB28" s="504"/>
      <c r="AC28" s="504"/>
      <c r="AD28" s="501"/>
      <c r="AE28" s="507"/>
    </row>
    <row r="29" spans="1:31" x14ac:dyDescent="0.3">
      <c r="A29" s="18"/>
      <c r="B29" s="109" t="s">
        <v>2362</v>
      </c>
      <c r="C29" s="355"/>
      <c r="D29" s="21"/>
      <c r="E29" s="21"/>
      <c r="F29" s="21"/>
      <c r="G29" s="21"/>
      <c r="H29" s="21"/>
      <c r="I29" s="21"/>
      <c r="J29" s="21"/>
      <c r="K29" s="21"/>
      <c r="L29" s="21"/>
      <c r="M29" s="21"/>
      <c r="N29" s="21"/>
      <c r="O29" s="21"/>
      <c r="P29" s="21"/>
      <c r="Q29" s="21"/>
      <c r="R29" s="21"/>
      <c r="S29" s="21"/>
      <c r="T29" s="20"/>
      <c r="V29" s="496" t="s">
        <v>2587</v>
      </c>
      <c r="W29" s="497"/>
      <c r="X29" s="496" t="s">
        <v>2831</v>
      </c>
      <c r="Y29" s="502"/>
      <c r="Z29" s="502"/>
      <c r="AA29" s="502"/>
      <c r="AB29" s="502"/>
      <c r="AC29" s="502"/>
      <c r="AD29" s="497"/>
      <c r="AE29" s="505" t="s">
        <v>326</v>
      </c>
    </row>
    <row r="30" spans="1:31" x14ac:dyDescent="0.3">
      <c r="A30" s="18"/>
      <c r="B30" s="109" t="s">
        <v>771</v>
      </c>
      <c r="C30" s="355"/>
      <c r="D30" s="21"/>
      <c r="E30" s="21"/>
      <c r="F30" s="21"/>
      <c r="G30" s="21"/>
      <c r="H30" s="21"/>
      <c r="I30" s="21"/>
      <c r="J30" s="21"/>
      <c r="K30" s="21"/>
      <c r="L30" s="21"/>
      <c r="M30" s="21"/>
      <c r="N30" s="21"/>
      <c r="O30" s="21"/>
      <c r="P30" s="21"/>
      <c r="Q30" s="21"/>
      <c r="R30" s="21"/>
      <c r="S30" s="21"/>
      <c r="T30" s="20"/>
      <c r="V30" s="498"/>
      <c r="W30" s="499"/>
      <c r="X30" s="498"/>
      <c r="Y30" s="503"/>
      <c r="Z30" s="503"/>
      <c r="AA30" s="503"/>
      <c r="AB30" s="503"/>
      <c r="AC30" s="503"/>
      <c r="AD30" s="499"/>
      <c r="AE30" s="506"/>
    </row>
    <row r="31" spans="1:31" ht="15" customHeight="1" x14ac:dyDescent="0.3">
      <c r="A31" s="18"/>
      <c r="B31" s="109" t="s">
        <v>2364</v>
      </c>
      <c r="C31" s="355"/>
      <c r="D31" s="21"/>
      <c r="E31" s="21"/>
      <c r="F31" s="21"/>
      <c r="G31" s="21"/>
      <c r="H31" s="21"/>
      <c r="I31" s="21"/>
      <c r="J31" s="21"/>
      <c r="K31" s="21"/>
      <c r="L31" s="21"/>
      <c r="M31" s="21"/>
      <c r="N31" s="21"/>
      <c r="O31" s="21"/>
      <c r="P31" s="21"/>
      <c r="Q31" s="21"/>
      <c r="R31" s="21"/>
      <c r="S31" s="21"/>
      <c r="T31" s="20"/>
      <c r="V31" s="500"/>
      <c r="W31" s="501"/>
      <c r="X31" s="500"/>
      <c r="Y31" s="504"/>
      <c r="Z31" s="504"/>
      <c r="AA31" s="504"/>
      <c r="AB31" s="504"/>
      <c r="AC31" s="504"/>
      <c r="AD31" s="501"/>
      <c r="AE31" s="507"/>
    </row>
    <row r="32" spans="1:31" x14ac:dyDescent="0.3">
      <c r="A32" s="18"/>
      <c r="B32" s="109" t="s">
        <v>2369</v>
      </c>
      <c r="C32" s="355"/>
      <c r="D32" s="21"/>
      <c r="E32" s="21"/>
      <c r="F32" s="21"/>
      <c r="G32" s="21"/>
      <c r="H32" s="21"/>
      <c r="I32" s="21"/>
      <c r="J32" s="21"/>
      <c r="K32" s="21"/>
      <c r="L32" s="21"/>
      <c r="M32" s="21"/>
      <c r="N32" s="21"/>
      <c r="O32" s="21"/>
      <c r="P32" s="21"/>
      <c r="Q32" s="21"/>
      <c r="R32" s="21"/>
      <c r="S32" s="21"/>
      <c r="T32" s="20"/>
      <c r="V32" s="496" t="s">
        <v>2960</v>
      </c>
      <c r="W32" s="497"/>
      <c r="X32" s="496" t="s">
        <v>3601</v>
      </c>
      <c r="Y32" s="502"/>
      <c r="Z32" s="502"/>
      <c r="AA32" s="502"/>
      <c r="AB32" s="502"/>
      <c r="AC32" s="502"/>
      <c r="AD32" s="497"/>
      <c r="AE32" s="505" t="s">
        <v>326</v>
      </c>
    </row>
    <row r="33" spans="1:31" x14ac:dyDescent="0.3">
      <c r="A33" s="18"/>
      <c r="B33" s="109" t="s">
        <v>2357</v>
      </c>
      <c r="C33" s="355"/>
      <c r="D33" s="21"/>
      <c r="E33" s="21"/>
      <c r="F33" s="21"/>
      <c r="G33" s="21"/>
      <c r="H33" s="21"/>
      <c r="I33" s="21"/>
      <c r="J33" s="21"/>
      <c r="K33" s="21"/>
      <c r="L33" s="21"/>
      <c r="M33" s="21"/>
      <c r="N33" s="21"/>
      <c r="O33" s="21"/>
      <c r="P33" s="21"/>
      <c r="Q33" s="21"/>
      <c r="R33" s="21"/>
      <c r="S33" s="21"/>
      <c r="T33" s="20"/>
      <c r="V33" s="498"/>
      <c r="W33" s="499"/>
      <c r="X33" s="498"/>
      <c r="Y33" s="503"/>
      <c r="Z33" s="503"/>
      <c r="AA33" s="503"/>
      <c r="AB33" s="503"/>
      <c r="AC33" s="503"/>
      <c r="AD33" s="499"/>
      <c r="AE33" s="506"/>
    </row>
    <row r="34" spans="1:31" ht="15" customHeight="1" x14ac:dyDescent="0.3">
      <c r="A34" s="18"/>
      <c r="B34" s="109" t="s">
        <v>2359</v>
      </c>
      <c r="C34" s="355"/>
      <c r="D34" s="21"/>
      <c r="E34" s="21"/>
      <c r="F34" s="21"/>
      <c r="G34" s="21"/>
      <c r="H34" s="21"/>
      <c r="I34" s="21"/>
      <c r="J34" s="21"/>
      <c r="K34" s="21"/>
      <c r="L34" s="21"/>
      <c r="M34" s="21"/>
      <c r="N34" s="21"/>
      <c r="O34" s="21"/>
      <c r="P34" s="21"/>
      <c r="Q34" s="21"/>
      <c r="R34" s="21"/>
      <c r="S34" s="21"/>
      <c r="T34" s="20"/>
      <c r="V34" s="500"/>
      <c r="W34" s="501"/>
      <c r="X34" s="500"/>
      <c r="Y34" s="504"/>
      <c r="Z34" s="504"/>
      <c r="AA34" s="504"/>
      <c r="AB34" s="504"/>
      <c r="AC34" s="504"/>
      <c r="AD34" s="501"/>
      <c r="AE34" s="507"/>
    </row>
    <row r="35" spans="1:31" x14ac:dyDescent="0.3">
      <c r="A35" s="18"/>
      <c r="B35" s="109" t="s">
        <v>2765</v>
      </c>
      <c r="C35" s="355"/>
      <c r="D35" s="21"/>
      <c r="E35" s="21"/>
      <c r="F35" s="21"/>
      <c r="G35" s="21"/>
      <c r="H35" s="21"/>
      <c r="I35" s="21"/>
      <c r="J35" s="21"/>
      <c r="K35" s="21"/>
      <c r="L35" s="21"/>
      <c r="M35" s="21"/>
      <c r="N35" s="21"/>
      <c r="O35" s="21"/>
      <c r="P35" s="21"/>
      <c r="Q35" s="21"/>
      <c r="R35" s="21"/>
      <c r="S35" s="21"/>
      <c r="T35" s="20"/>
      <c r="V35" s="126" t="s">
        <v>328</v>
      </c>
    </row>
    <row r="36" spans="1:31" x14ac:dyDescent="0.3">
      <c r="A36" s="18"/>
      <c r="B36" s="109" t="s">
        <v>2361</v>
      </c>
      <c r="C36" s="21"/>
      <c r="D36" s="21"/>
      <c r="E36" s="21"/>
      <c r="F36" s="21"/>
      <c r="G36" s="21"/>
      <c r="H36" s="21"/>
      <c r="I36" s="21"/>
      <c r="J36" s="21"/>
      <c r="K36" s="21"/>
      <c r="L36" s="21"/>
      <c r="M36" s="21"/>
      <c r="N36" s="21"/>
      <c r="O36" s="21"/>
      <c r="P36" s="21"/>
      <c r="Q36" s="21"/>
      <c r="R36" s="21"/>
      <c r="S36" s="21"/>
      <c r="T36" s="20"/>
    </row>
    <row r="37" spans="1:31" ht="15" customHeight="1" x14ac:dyDescent="0.3">
      <c r="A37" s="18"/>
      <c r="B37" s="109" t="s">
        <v>2766</v>
      </c>
      <c r="C37" s="21"/>
      <c r="D37" s="21"/>
      <c r="E37" s="21"/>
      <c r="F37" s="21"/>
      <c r="G37" s="21"/>
      <c r="H37" s="21"/>
      <c r="I37" s="21"/>
      <c r="J37" s="21"/>
      <c r="K37" s="21"/>
      <c r="L37" s="21"/>
      <c r="M37" s="21"/>
      <c r="N37" s="21"/>
      <c r="O37" s="21"/>
      <c r="P37" s="21"/>
      <c r="Q37" s="21"/>
      <c r="R37" s="21"/>
      <c r="S37" s="21"/>
      <c r="T37" s="20"/>
    </row>
    <row r="38" spans="1:31" x14ac:dyDescent="0.3">
      <c r="A38" s="18"/>
      <c r="B38" s="109" t="s">
        <v>2363</v>
      </c>
      <c r="C38" s="21"/>
      <c r="D38" s="21"/>
      <c r="E38" s="21"/>
      <c r="F38" s="21"/>
      <c r="G38" s="21"/>
      <c r="H38" s="21"/>
      <c r="I38" s="21"/>
      <c r="J38" s="21"/>
      <c r="K38" s="21"/>
      <c r="L38" s="21"/>
      <c r="M38" s="21"/>
      <c r="N38" s="21"/>
      <c r="O38" s="21"/>
      <c r="P38" s="21"/>
      <c r="Q38" s="21"/>
      <c r="R38" s="21"/>
      <c r="S38" s="21"/>
      <c r="T38" s="20"/>
      <c r="V38" s="486" t="s">
        <v>3600</v>
      </c>
      <c r="W38" s="486"/>
      <c r="X38" s="486"/>
      <c r="Y38" s="486"/>
      <c r="Z38" s="486"/>
      <c r="AA38" s="486"/>
      <c r="AB38" s="486"/>
      <c r="AC38" s="486"/>
      <c r="AD38" s="486"/>
      <c r="AE38" s="486"/>
    </row>
    <row r="39" spans="1:31" x14ac:dyDescent="0.3">
      <c r="A39" s="18"/>
      <c r="B39" s="109" t="s">
        <v>2421</v>
      </c>
      <c r="C39" s="21"/>
      <c r="D39" s="21"/>
      <c r="E39" s="21"/>
      <c r="F39" s="21"/>
      <c r="G39" s="21"/>
      <c r="H39" s="21"/>
      <c r="I39" s="21"/>
      <c r="J39" s="21"/>
      <c r="K39" s="21"/>
      <c r="L39" s="21"/>
      <c r="M39" s="21"/>
      <c r="N39" s="21"/>
      <c r="O39" s="21"/>
      <c r="P39" s="21"/>
      <c r="Q39" s="21"/>
      <c r="R39" s="21"/>
      <c r="S39" s="21"/>
      <c r="T39" s="20"/>
      <c r="V39" s="487" t="s">
        <v>333</v>
      </c>
      <c r="W39" s="487"/>
      <c r="X39" s="487" t="s">
        <v>3297</v>
      </c>
      <c r="Y39" s="487"/>
      <c r="Z39" s="487"/>
      <c r="AA39" s="487"/>
      <c r="AB39" s="487"/>
      <c r="AC39" s="487"/>
      <c r="AD39" s="487"/>
      <c r="AE39" s="487"/>
    </row>
    <row r="40" spans="1:31" ht="15" customHeight="1" x14ac:dyDescent="0.3">
      <c r="A40" s="18"/>
      <c r="B40" s="21"/>
      <c r="C40" s="21"/>
      <c r="D40" s="21"/>
      <c r="E40" s="21"/>
      <c r="F40" s="21"/>
      <c r="G40" s="21"/>
      <c r="H40" s="21"/>
      <c r="I40" s="21"/>
      <c r="J40" s="21"/>
      <c r="K40" s="21"/>
      <c r="L40" s="21"/>
      <c r="M40" s="21"/>
      <c r="N40" s="21"/>
      <c r="O40" s="21"/>
      <c r="P40" s="21"/>
      <c r="Q40" s="21"/>
      <c r="R40" s="21"/>
      <c r="S40" s="21"/>
      <c r="T40" s="20"/>
      <c r="V40" s="487"/>
      <c r="W40" s="487"/>
      <c r="X40" s="487"/>
      <c r="Y40" s="487"/>
      <c r="Z40" s="487"/>
      <c r="AA40" s="487"/>
      <c r="AB40" s="487"/>
      <c r="AC40" s="487"/>
      <c r="AD40" s="487"/>
      <c r="AE40" s="487"/>
    </row>
    <row r="41" spans="1:31" x14ac:dyDescent="0.3">
      <c r="A41" s="18"/>
      <c r="B41" s="21"/>
      <c r="C41" s="21"/>
      <c r="D41" s="21"/>
      <c r="E41" s="21"/>
      <c r="F41" s="21"/>
      <c r="G41" s="21"/>
      <c r="H41" s="21"/>
      <c r="I41" s="21"/>
      <c r="J41" s="21"/>
      <c r="K41" s="21"/>
      <c r="L41" s="21"/>
      <c r="M41" s="21"/>
      <c r="N41" s="21"/>
      <c r="O41" s="21"/>
      <c r="P41" s="21"/>
      <c r="Q41" s="21"/>
      <c r="R41" s="21"/>
      <c r="S41" s="21"/>
      <c r="T41" s="20"/>
      <c r="V41" s="487"/>
      <c r="W41" s="487"/>
      <c r="X41" s="487"/>
      <c r="Y41" s="487"/>
      <c r="Z41" s="487"/>
      <c r="AA41" s="487"/>
      <c r="AB41" s="487"/>
      <c r="AC41" s="487"/>
      <c r="AD41" s="487"/>
      <c r="AE41" s="487"/>
    </row>
    <row r="42" spans="1:31" x14ac:dyDescent="0.3">
      <c r="A42" s="18"/>
      <c r="B42" s="21"/>
      <c r="C42" s="21"/>
      <c r="D42" s="21"/>
      <c r="E42" s="21"/>
      <c r="F42" s="21"/>
      <c r="G42" s="21"/>
      <c r="H42" s="21"/>
      <c r="I42" s="21"/>
      <c r="J42" s="21"/>
      <c r="K42" s="21"/>
      <c r="L42" s="21"/>
      <c r="M42" s="21"/>
      <c r="N42" s="21"/>
      <c r="O42" s="21"/>
      <c r="P42" s="21"/>
      <c r="Q42" s="21"/>
      <c r="R42" s="21"/>
      <c r="S42" s="21"/>
      <c r="T42" s="20"/>
      <c r="V42" s="483" t="s">
        <v>323</v>
      </c>
      <c r="W42" s="483"/>
      <c r="X42" s="483" t="s">
        <v>1</v>
      </c>
      <c r="Y42" s="483"/>
      <c r="Z42" s="483"/>
      <c r="AA42" s="483"/>
      <c r="AB42" s="483"/>
      <c r="AC42" s="483"/>
      <c r="AD42" s="483"/>
      <c r="AE42" s="85" t="s">
        <v>324</v>
      </c>
    </row>
    <row r="43" spans="1:31" ht="15" customHeight="1" x14ac:dyDescent="0.3">
      <c r="A43" s="18"/>
      <c r="B43" s="21"/>
      <c r="C43" s="21"/>
      <c r="D43" s="21"/>
      <c r="E43" s="21"/>
      <c r="F43" s="21"/>
      <c r="G43" s="21"/>
      <c r="H43" s="21"/>
      <c r="I43" s="21"/>
      <c r="J43" s="21"/>
      <c r="K43" s="21"/>
      <c r="L43" s="21"/>
      <c r="M43" s="21"/>
      <c r="N43" s="21"/>
      <c r="O43" s="21"/>
      <c r="P43" s="21"/>
      <c r="Q43" s="21"/>
      <c r="R43" s="21"/>
      <c r="S43" s="21"/>
      <c r="T43" s="20"/>
      <c r="V43" s="487" t="s">
        <v>2313</v>
      </c>
      <c r="W43" s="487"/>
      <c r="X43" s="487" t="s">
        <v>2318</v>
      </c>
      <c r="Y43" s="487"/>
      <c r="Z43" s="487"/>
      <c r="AA43" s="487"/>
      <c r="AB43" s="487"/>
      <c r="AC43" s="487"/>
      <c r="AD43" s="487"/>
      <c r="AE43" s="509" t="s">
        <v>325</v>
      </c>
    </row>
    <row r="44" spans="1:31" x14ac:dyDescent="0.3">
      <c r="A44" s="18"/>
      <c r="B44" s="21"/>
      <c r="C44" s="21"/>
      <c r="D44" s="21"/>
      <c r="E44" s="21"/>
      <c r="F44" s="21"/>
      <c r="G44" s="21"/>
      <c r="H44" s="21"/>
      <c r="I44" s="21"/>
      <c r="J44" s="21"/>
      <c r="K44" s="21"/>
      <c r="L44" s="21"/>
      <c r="M44" s="21"/>
      <c r="N44" s="21"/>
      <c r="O44" s="21"/>
      <c r="P44" s="21"/>
      <c r="Q44" s="21"/>
      <c r="R44" s="21"/>
      <c r="S44" s="21"/>
      <c r="T44" s="20"/>
      <c r="V44" s="487"/>
      <c r="W44" s="487"/>
      <c r="X44" s="487"/>
      <c r="Y44" s="487"/>
      <c r="Z44" s="487"/>
      <c r="AA44" s="487"/>
      <c r="AB44" s="487"/>
      <c r="AC44" s="487"/>
      <c r="AD44" s="487"/>
      <c r="AE44" s="509"/>
    </row>
    <row r="45" spans="1:31" x14ac:dyDescent="0.3">
      <c r="A45" s="18"/>
      <c r="B45" s="21"/>
      <c r="C45" s="21"/>
      <c r="D45" s="21"/>
      <c r="E45" s="21"/>
      <c r="F45" s="21"/>
      <c r="G45" s="21"/>
      <c r="H45" s="21"/>
      <c r="I45" s="21"/>
      <c r="J45" s="21"/>
      <c r="K45" s="21"/>
      <c r="L45" s="21"/>
      <c r="M45" s="21"/>
      <c r="N45" s="21"/>
      <c r="O45" s="21"/>
      <c r="P45" s="21"/>
      <c r="Q45" s="21"/>
      <c r="R45" s="21"/>
      <c r="S45" s="21"/>
      <c r="T45" s="20"/>
      <c r="V45" s="487"/>
      <c r="W45" s="487"/>
      <c r="X45" s="487"/>
      <c r="Y45" s="487"/>
      <c r="Z45" s="487"/>
      <c r="AA45" s="487"/>
      <c r="AB45" s="487"/>
      <c r="AC45" s="487"/>
      <c r="AD45" s="487"/>
      <c r="AE45" s="509"/>
    </row>
    <row r="46" spans="1:31" ht="15" customHeight="1" x14ac:dyDescent="0.3">
      <c r="A46" s="18"/>
      <c r="B46" s="21"/>
      <c r="C46" s="21"/>
      <c r="D46" s="21"/>
      <c r="E46" s="21"/>
      <c r="F46" s="21"/>
      <c r="G46" s="21"/>
      <c r="H46" s="21"/>
      <c r="I46" s="21"/>
      <c r="J46" s="21"/>
      <c r="K46" s="21"/>
      <c r="L46" s="21"/>
      <c r="M46" s="21"/>
      <c r="N46" s="21"/>
      <c r="O46" s="21"/>
      <c r="P46" s="21"/>
      <c r="Q46" s="21"/>
      <c r="R46" s="21"/>
      <c r="S46" s="21"/>
      <c r="T46" s="20"/>
      <c r="V46" s="496" t="s">
        <v>2321</v>
      </c>
      <c r="W46" s="497"/>
      <c r="X46" s="496" t="s">
        <v>2322</v>
      </c>
      <c r="Y46" s="502"/>
      <c r="Z46" s="502"/>
      <c r="AA46" s="502"/>
      <c r="AB46" s="502"/>
      <c r="AC46" s="502"/>
      <c r="AD46" s="497"/>
      <c r="AE46" s="505" t="s">
        <v>326</v>
      </c>
    </row>
    <row r="47" spans="1:31" x14ac:dyDescent="0.3">
      <c r="A47" s="18"/>
      <c r="B47" s="21"/>
      <c r="C47" s="21"/>
      <c r="D47" s="21"/>
      <c r="E47" s="21"/>
      <c r="F47" s="21"/>
      <c r="G47" s="21"/>
      <c r="H47" s="21"/>
      <c r="I47" s="21"/>
      <c r="J47" s="21"/>
      <c r="K47" s="21"/>
      <c r="L47" s="21"/>
      <c r="M47" s="21"/>
      <c r="N47" s="21"/>
      <c r="O47" s="21"/>
      <c r="P47" s="21"/>
      <c r="Q47" s="21"/>
      <c r="R47" s="21"/>
      <c r="S47" s="21"/>
      <c r="T47" s="20"/>
      <c r="V47" s="498"/>
      <c r="W47" s="499"/>
      <c r="X47" s="498"/>
      <c r="Y47" s="503"/>
      <c r="Z47" s="503"/>
      <c r="AA47" s="503"/>
      <c r="AB47" s="503"/>
      <c r="AC47" s="503"/>
      <c r="AD47" s="499"/>
      <c r="AE47" s="506"/>
    </row>
    <row r="48" spans="1:31" x14ac:dyDescent="0.3">
      <c r="A48" s="18"/>
      <c r="B48" s="21"/>
      <c r="C48" s="21"/>
      <c r="D48" s="21"/>
      <c r="E48" s="21"/>
      <c r="F48" s="21"/>
      <c r="G48" s="21"/>
      <c r="H48" s="21"/>
      <c r="I48" s="21"/>
      <c r="J48" s="21"/>
      <c r="K48" s="21"/>
      <c r="L48" s="21"/>
      <c r="M48" s="21"/>
      <c r="N48" s="21"/>
      <c r="O48" s="21"/>
      <c r="P48" s="21"/>
      <c r="Q48" s="21"/>
      <c r="R48" s="21"/>
      <c r="S48" s="21"/>
      <c r="T48" s="20"/>
      <c r="V48" s="500"/>
      <c r="W48" s="501"/>
      <c r="X48" s="500"/>
      <c r="Y48" s="504"/>
      <c r="Z48" s="504"/>
      <c r="AA48" s="504"/>
      <c r="AB48" s="504"/>
      <c r="AC48" s="504"/>
      <c r="AD48" s="501"/>
      <c r="AE48" s="507"/>
    </row>
    <row r="49" spans="1:31" ht="15" customHeight="1" x14ac:dyDescent="0.3">
      <c r="A49" s="18"/>
      <c r="B49" s="21"/>
      <c r="C49" s="21"/>
      <c r="D49" s="21"/>
      <c r="E49" s="21"/>
      <c r="F49" s="21"/>
      <c r="G49" s="21"/>
      <c r="H49" s="21"/>
      <c r="I49" s="21"/>
      <c r="J49" s="21"/>
      <c r="K49" s="21"/>
      <c r="L49" s="21"/>
      <c r="M49" s="21"/>
      <c r="N49" s="21"/>
      <c r="O49" s="21"/>
      <c r="P49" s="21"/>
      <c r="Q49" s="21"/>
      <c r="R49" s="21"/>
      <c r="S49" s="21"/>
      <c r="T49" s="20"/>
      <c r="V49" s="496" t="s">
        <v>2319</v>
      </c>
      <c r="W49" s="497"/>
      <c r="X49" s="496" t="s">
        <v>2323</v>
      </c>
      <c r="Y49" s="502"/>
      <c r="Z49" s="502"/>
      <c r="AA49" s="502"/>
      <c r="AB49" s="502"/>
      <c r="AC49" s="502"/>
      <c r="AD49" s="497"/>
      <c r="AE49" s="505" t="s">
        <v>326</v>
      </c>
    </row>
    <row r="50" spans="1:31" x14ac:dyDescent="0.3">
      <c r="A50" s="18"/>
      <c r="B50" s="513" t="s">
        <v>2402</v>
      </c>
      <c r="C50" s="515"/>
      <c r="D50" s="21"/>
      <c r="E50" s="21"/>
      <c r="F50" s="21"/>
      <c r="G50" s="21"/>
      <c r="H50" s="21"/>
      <c r="I50" s="21"/>
      <c r="J50" s="21"/>
      <c r="K50" s="21"/>
      <c r="L50" s="21"/>
      <c r="M50" s="21"/>
      <c r="N50" s="21"/>
      <c r="O50" s="21"/>
      <c r="P50" s="21"/>
      <c r="Q50" s="21"/>
      <c r="R50" s="21"/>
      <c r="S50" s="21"/>
      <c r="T50" s="20"/>
      <c r="V50" s="498"/>
      <c r="W50" s="499"/>
      <c r="X50" s="498"/>
      <c r="Y50" s="503"/>
      <c r="Z50" s="503"/>
      <c r="AA50" s="503"/>
      <c r="AB50" s="503"/>
      <c r="AC50" s="503"/>
      <c r="AD50" s="499"/>
      <c r="AE50" s="506"/>
    </row>
    <row r="51" spans="1:31" x14ac:dyDescent="0.3">
      <c r="A51" s="18"/>
      <c r="B51" s="9" t="s">
        <v>679</v>
      </c>
      <c r="C51" s="357" t="s">
        <v>2381</v>
      </c>
      <c r="D51" s="21"/>
      <c r="E51" s="21"/>
      <c r="F51" s="21"/>
      <c r="G51" s="179" t="s">
        <v>3599</v>
      </c>
      <c r="H51" s="21"/>
      <c r="I51" s="21"/>
      <c r="J51" s="21"/>
      <c r="K51" s="21"/>
      <c r="L51" s="21"/>
      <c r="M51" s="21"/>
      <c r="N51" s="21"/>
      <c r="O51" s="21"/>
      <c r="P51" s="21"/>
      <c r="Q51" s="21"/>
      <c r="R51" s="21"/>
      <c r="S51" s="21"/>
      <c r="T51" s="20"/>
      <c r="V51" s="500"/>
      <c r="W51" s="501"/>
      <c r="X51" s="500"/>
      <c r="Y51" s="504"/>
      <c r="Z51" s="504"/>
      <c r="AA51" s="504"/>
      <c r="AB51" s="504"/>
      <c r="AC51" s="504"/>
      <c r="AD51" s="501"/>
      <c r="AE51" s="507"/>
    </row>
    <row r="52" spans="1:31" ht="15" customHeight="1" x14ac:dyDescent="0.3">
      <c r="A52" s="18"/>
      <c r="B52" s="302" t="s">
        <v>1832</v>
      </c>
      <c r="C52" s="593" t="s">
        <v>3631</v>
      </c>
      <c r="D52" s="593"/>
      <c r="E52" s="593"/>
      <c r="F52" s="21"/>
      <c r="G52" s="189" t="str" cm="1">
        <f t="array" ref="G52">_xll.U.COMPILE(C51,C52,B65:D66)</f>
        <v>Function BS compiled at 2026-05-03 21:26:20</v>
      </c>
      <c r="H52" s="21"/>
      <c r="I52" s="21"/>
      <c r="J52" s="21"/>
      <c r="K52" s="21"/>
      <c r="L52" s="21"/>
      <c r="M52" s="21"/>
      <c r="N52" s="21"/>
      <c r="O52" s="21"/>
      <c r="P52" s="21"/>
      <c r="Q52" s="21"/>
      <c r="R52" s="21"/>
      <c r="S52" s="21"/>
      <c r="T52" s="20"/>
      <c r="V52" s="496" t="s">
        <v>2319</v>
      </c>
      <c r="W52" s="497"/>
      <c r="X52" s="496" t="s">
        <v>2320</v>
      </c>
      <c r="Y52" s="502"/>
      <c r="Z52" s="502"/>
      <c r="AA52" s="502"/>
      <c r="AB52" s="502"/>
      <c r="AC52" s="502"/>
      <c r="AD52" s="497"/>
      <c r="AE52" s="505" t="s">
        <v>326</v>
      </c>
    </row>
    <row r="53" spans="1:31" x14ac:dyDescent="0.3">
      <c r="A53" s="18"/>
      <c r="B53" s="21"/>
      <c r="C53" s="593"/>
      <c r="D53" s="593"/>
      <c r="E53" s="593"/>
      <c r="F53" s="21"/>
      <c r="G53" s="21"/>
      <c r="H53" s="21"/>
      <c r="I53" s="21"/>
      <c r="J53" s="21"/>
      <c r="K53" s="21"/>
      <c r="L53" s="21"/>
      <c r="M53" s="21"/>
      <c r="N53" s="21"/>
      <c r="O53" s="21"/>
      <c r="P53" s="21"/>
      <c r="Q53" s="21"/>
      <c r="R53" s="21"/>
      <c r="S53" s="21"/>
      <c r="T53" s="20"/>
      <c r="V53" s="498"/>
      <c r="W53" s="499"/>
      <c r="X53" s="498"/>
      <c r="Y53" s="503"/>
      <c r="Z53" s="503"/>
      <c r="AA53" s="503"/>
      <c r="AB53" s="503"/>
      <c r="AC53" s="503"/>
      <c r="AD53" s="499"/>
      <c r="AE53" s="506"/>
    </row>
    <row r="54" spans="1:31" ht="15" customHeight="1" x14ac:dyDescent="0.3">
      <c r="A54" s="18"/>
      <c r="B54" s="21"/>
      <c r="C54" s="593"/>
      <c r="D54" s="593"/>
      <c r="E54" s="593"/>
      <c r="F54" s="21"/>
      <c r="G54" s="21"/>
      <c r="H54" s="21"/>
      <c r="I54" s="21"/>
      <c r="J54" s="21"/>
      <c r="K54" s="21"/>
      <c r="L54" s="21"/>
      <c r="M54" s="21"/>
      <c r="N54" s="21"/>
      <c r="O54" s="21"/>
      <c r="P54" s="21"/>
      <c r="Q54" s="21"/>
      <c r="R54" s="21"/>
      <c r="S54" s="21"/>
      <c r="T54" s="20"/>
      <c r="V54" s="500"/>
      <c r="W54" s="501"/>
      <c r="X54" s="500"/>
      <c r="Y54" s="504"/>
      <c r="Z54" s="504"/>
      <c r="AA54" s="504"/>
      <c r="AB54" s="504"/>
      <c r="AC54" s="504"/>
      <c r="AD54" s="501"/>
      <c r="AE54" s="507"/>
    </row>
    <row r="55" spans="1:31" ht="15" customHeight="1" x14ac:dyDescent="0.3">
      <c r="A55" s="18"/>
      <c r="B55" s="21"/>
      <c r="C55" s="593"/>
      <c r="D55" s="593"/>
      <c r="E55" s="593"/>
      <c r="F55" s="21"/>
      <c r="G55" s="21"/>
      <c r="H55" s="21"/>
      <c r="I55" s="21"/>
      <c r="J55" s="21"/>
      <c r="K55" s="21"/>
      <c r="L55" s="21"/>
      <c r="M55" s="21"/>
      <c r="N55" s="21"/>
      <c r="O55" s="21"/>
      <c r="P55" s="21"/>
      <c r="Q55" s="21"/>
      <c r="R55" s="21"/>
      <c r="S55" s="21"/>
      <c r="T55" s="20"/>
      <c r="V55" s="496" t="s">
        <v>2319</v>
      </c>
      <c r="W55" s="497"/>
      <c r="X55" s="496" t="s">
        <v>2320</v>
      </c>
      <c r="Y55" s="502"/>
      <c r="Z55" s="502"/>
      <c r="AA55" s="502"/>
      <c r="AB55" s="502"/>
      <c r="AC55" s="502"/>
      <c r="AD55" s="497"/>
      <c r="AE55" s="505" t="s">
        <v>326</v>
      </c>
    </row>
    <row r="56" spans="1:31" x14ac:dyDescent="0.3">
      <c r="A56" s="18"/>
      <c r="B56" s="21"/>
      <c r="C56" s="593"/>
      <c r="D56" s="593"/>
      <c r="E56" s="593"/>
      <c r="F56" s="21"/>
      <c r="G56" s="21"/>
      <c r="H56" s="21"/>
      <c r="I56" s="21"/>
      <c r="J56" s="21"/>
      <c r="K56" s="21"/>
      <c r="L56" s="21"/>
      <c r="M56" s="21"/>
      <c r="N56" s="21"/>
      <c r="O56" s="21"/>
      <c r="P56" s="21"/>
      <c r="Q56" s="21"/>
      <c r="R56" s="21"/>
      <c r="S56" s="21"/>
      <c r="T56" s="20"/>
      <c r="V56" s="498"/>
      <c r="W56" s="499"/>
      <c r="X56" s="498"/>
      <c r="Y56" s="503"/>
      <c r="Z56" s="503"/>
      <c r="AA56" s="503"/>
      <c r="AB56" s="503"/>
      <c r="AC56" s="503"/>
      <c r="AD56" s="499"/>
      <c r="AE56" s="506"/>
    </row>
    <row r="57" spans="1:31" x14ac:dyDescent="0.3">
      <c r="A57" s="18"/>
      <c r="B57" s="21"/>
      <c r="C57" s="593"/>
      <c r="D57" s="593"/>
      <c r="E57" s="593"/>
      <c r="F57" s="21"/>
      <c r="G57" s="3" t="s">
        <v>2089</v>
      </c>
      <c r="H57" s="359" t="s">
        <v>2383</v>
      </c>
      <c r="I57" s="21"/>
      <c r="J57" s="21"/>
      <c r="K57" s="21"/>
      <c r="L57" s="21"/>
      <c r="M57" s="21"/>
      <c r="N57" s="21"/>
      <c r="O57" s="21"/>
      <c r="P57" s="21"/>
      <c r="Q57" s="21"/>
      <c r="R57" s="21"/>
      <c r="S57" s="21"/>
      <c r="T57" s="20"/>
      <c r="V57" s="500"/>
      <c r="W57" s="501"/>
      <c r="X57" s="500"/>
      <c r="Y57" s="504"/>
      <c r="Z57" s="504"/>
      <c r="AA57" s="504"/>
      <c r="AB57" s="504"/>
      <c r="AC57" s="504"/>
      <c r="AD57" s="501"/>
      <c r="AE57" s="507"/>
    </row>
    <row r="58" spans="1:31" ht="15" customHeight="1" x14ac:dyDescent="0.3">
      <c r="A58" s="18"/>
      <c r="B58" s="21"/>
      <c r="C58" s="593"/>
      <c r="D58" s="593"/>
      <c r="E58" s="593"/>
      <c r="F58" s="21"/>
      <c r="G58" s="3" t="s">
        <v>2397</v>
      </c>
      <c r="H58" s="203">
        <v>90.5</v>
      </c>
      <c r="I58" s="21"/>
      <c r="J58" s="21"/>
      <c r="K58" s="21"/>
      <c r="L58" s="21"/>
      <c r="M58" s="21"/>
      <c r="N58" s="21"/>
      <c r="O58" s="21"/>
      <c r="P58" s="21"/>
      <c r="Q58" s="21"/>
      <c r="R58" s="21"/>
      <c r="S58" s="21"/>
      <c r="T58" s="20"/>
      <c r="V58" s="496" t="s">
        <v>2319</v>
      </c>
      <c r="W58" s="497"/>
      <c r="X58" s="496" t="s">
        <v>2320</v>
      </c>
      <c r="Y58" s="502"/>
      <c r="Z58" s="502"/>
      <c r="AA58" s="502"/>
      <c r="AB58" s="502"/>
      <c r="AC58" s="502"/>
      <c r="AD58" s="497"/>
      <c r="AE58" s="505" t="s">
        <v>326</v>
      </c>
    </row>
    <row r="59" spans="1:31" x14ac:dyDescent="0.3">
      <c r="A59" s="18"/>
      <c r="B59" s="21"/>
      <c r="C59" s="593"/>
      <c r="D59" s="593"/>
      <c r="E59" s="593"/>
      <c r="F59" s="21"/>
      <c r="G59" s="3" t="s">
        <v>2396</v>
      </c>
      <c r="H59" s="203">
        <v>95</v>
      </c>
      <c r="I59" s="21"/>
      <c r="J59" s="21"/>
      <c r="K59" s="21"/>
      <c r="L59" s="21"/>
      <c r="M59" s="21"/>
      <c r="N59" s="21"/>
      <c r="O59" s="21"/>
      <c r="P59" s="21"/>
      <c r="Q59" s="21"/>
      <c r="R59" s="21"/>
      <c r="S59" s="21"/>
      <c r="T59" s="20"/>
      <c r="V59" s="498"/>
      <c r="W59" s="499"/>
      <c r="X59" s="498"/>
      <c r="Y59" s="503"/>
      <c r="Z59" s="503"/>
      <c r="AA59" s="503"/>
      <c r="AB59" s="503"/>
      <c r="AC59" s="503"/>
      <c r="AD59" s="499"/>
      <c r="AE59" s="506"/>
    </row>
    <row r="60" spans="1:31" ht="15" customHeight="1" x14ac:dyDescent="0.3">
      <c r="A60" s="18"/>
      <c r="B60" s="21"/>
      <c r="C60" s="593"/>
      <c r="D60" s="593"/>
      <c r="E60" s="593"/>
      <c r="F60" s="21"/>
      <c r="G60" s="3" t="s">
        <v>263</v>
      </c>
      <c r="H60" s="203">
        <v>0.75</v>
      </c>
      <c r="I60" s="21"/>
      <c r="J60" s="21"/>
      <c r="K60" s="21"/>
      <c r="L60" s="21"/>
      <c r="M60" s="21"/>
      <c r="N60" s="21"/>
      <c r="O60" s="21"/>
      <c r="P60" s="21"/>
      <c r="Q60" s="21"/>
      <c r="R60" s="21"/>
      <c r="S60" s="21"/>
      <c r="T60" s="20"/>
      <c r="V60" s="500"/>
      <c r="W60" s="501"/>
      <c r="X60" s="500"/>
      <c r="Y60" s="504"/>
      <c r="Z60" s="504"/>
      <c r="AA60" s="504"/>
      <c r="AB60" s="504"/>
      <c r="AC60" s="504"/>
      <c r="AD60" s="501"/>
      <c r="AE60" s="507"/>
    </row>
    <row r="61" spans="1:31" ht="15" customHeight="1" x14ac:dyDescent="0.3">
      <c r="A61" s="18"/>
      <c r="B61" s="21"/>
      <c r="C61" s="21"/>
      <c r="D61" s="21"/>
      <c r="E61" s="21"/>
      <c r="F61" s="21"/>
      <c r="G61" s="3" t="s">
        <v>2398</v>
      </c>
      <c r="H61" s="358">
        <v>0.05</v>
      </c>
      <c r="I61" s="21"/>
      <c r="J61" s="21"/>
      <c r="K61" s="21"/>
      <c r="L61" s="21"/>
      <c r="M61" s="21"/>
      <c r="N61" s="21"/>
      <c r="O61" s="21"/>
      <c r="P61" s="21"/>
      <c r="Q61" s="21"/>
      <c r="R61" s="21"/>
      <c r="S61" s="21"/>
      <c r="T61" s="20"/>
      <c r="V61" s="496" t="s">
        <v>2319</v>
      </c>
      <c r="W61" s="497"/>
      <c r="X61" s="496" t="s">
        <v>2320</v>
      </c>
      <c r="Y61" s="502"/>
      <c r="Z61" s="502"/>
      <c r="AA61" s="502"/>
      <c r="AB61" s="502"/>
      <c r="AC61" s="502"/>
      <c r="AD61" s="497"/>
      <c r="AE61" s="505" t="s">
        <v>326</v>
      </c>
    </row>
    <row r="62" spans="1:31" x14ac:dyDescent="0.3">
      <c r="A62" s="18"/>
      <c r="B62" s="21"/>
      <c r="C62" s="21"/>
      <c r="D62" s="21"/>
      <c r="E62" s="21"/>
      <c r="F62" s="21"/>
      <c r="G62" s="3" t="s">
        <v>2399</v>
      </c>
      <c r="H62" s="358">
        <v>0.3</v>
      </c>
      <c r="I62" s="21"/>
      <c r="J62" s="21"/>
      <c r="K62" s="21"/>
      <c r="L62" s="21"/>
      <c r="M62" s="21"/>
      <c r="N62" s="21"/>
      <c r="O62" s="21"/>
      <c r="P62" s="21"/>
      <c r="Q62" s="21"/>
      <c r="R62" s="21"/>
      <c r="S62" s="21"/>
      <c r="T62" s="20"/>
      <c r="V62" s="498"/>
      <c r="W62" s="499"/>
      <c r="X62" s="498"/>
      <c r="Y62" s="503"/>
      <c r="Z62" s="503"/>
      <c r="AA62" s="503"/>
      <c r="AB62" s="503"/>
      <c r="AC62" s="503"/>
      <c r="AD62" s="499"/>
      <c r="AE62" s="506"/>
    </row>
    <row r="63" spans="1:31" x14ac:dyDescent="0.3">
      <c r="A63" s="18"/>
      <c r="B63" s="513" t="s">
        <v>2404</v>
      </c>
      <c r="C63" s="514"/>
      <c r="D63" s="515"/>
      <c r="E63" s="21"/>
      <c r="F63" s="21"/>
      <c r="G63" s="85" t="s">
        <v>2408</v>
      </c>
      <c r="H63" s="209" cm="1">
        <f t="array" ref="H63">_xll.U.INVOKE("BS",H57,H58,H59,H60,H61,H62)</f>
        <v>8.9124031412619829</v>
      </c>
      <c r="I63" s="21"/>
      <c r="J63" s="21"/>
      <c r="K63" s="21"/>
      <c r="L63" s="21"/>
      <c r="M63" s="21"/>
      <c r="N63" s="21"/>
      <c r="O63" s="21"/>
      <c r="P63" s="21"/>
      <c r="Q63" s="21"/>
      <c r="R63" s="21"/>
      <c r="S63" s="21"/>
      <c r="T63" s="20"/>
      <c r="V63" s="500"/>
      <c r="W63" s="501"/>
      <c r="X63" s="500"/>
      <c r="Y63" s="504"/>
      <c r="Z63" s="504"/>
      <c r="AA63" s="504"/>
      <c r="AB63" s="504"/>
      <c r="AC63" s="504"/>
      <c r="AD63" s="501"/>
      <c r="AE63" s="507"/>
    </row>
    <row r="64" spans="1:31" ht="15" customHeight="1" x14ac:dyDescent="0.3">
      <c r="A64" s="18"/>
      <c r="B64" s="9" t="s">
        <v>323</v>
      </c>
      <c r="C64" s="9" t="s">
        <v>2089</v>
      </c>
      <c r="D64" s="9" t="s">
        <v>2382</v>
      </c>
      <c r="E64" s="21"/>
      <c r="F64" s="21"/>
      <c r="G64" s="21"/>
      <c r="H64" s="21"/>
      <c r="I64" s="21"/>
      <c r="J64" s="21"/>
      <c r="K64" s="21"/>
      <c r="L64" s="21"/>
      <c r="M64" s="21"/>
      <c r="N64" s="21"/>
      <c r="O64" s="21"/>
      <c r="P64" s="21"/>
      <c r="Q64" s="21"/>
      <c r="R64" s="21"/>
      <c r="S64" s="21"/>
      <c r="T64" s="20"/>
      <c r="V64" s="496" t="s">
        <v>2319</v>
      </c>
      <c r="W64" s="497"/>
      <c r="X64" s="496" t="s">
        <v>2320</v>
      </c>
      <c r="Y64" s="502"/>
      <c r="Z64" s="502"/>
      <c r="AA64" s="502"/>
      <c r="AB64" s="502"/>
      <c r="AC64" s="502"/>
      <c r="AD64" s="497"/>
      <c r="AE64" s="505" t="s">
        <v>326</v>
      </c>
    </row>
    <row r="65" spans="1:31" x14ac:dyDescent="0.3">
      <c r="A65" s="18"/>
      <c r="B65" s="295" t="s">
        <v>2371</v>
      </c>
      <c r="C65" s="295" t="s">
        <v>2355</v>
      </c>
      <c r="D65" s="295" t="s">
        <v>2383</v>
      </c>
      <c r="E65" s="21"/>
      <c r="F65" s="21"/>
      <c r="G65" s="85" t="s">
        <v>2408</v>
      </c>
      <c r="H65" s="209" cm="1">
        <f t="array" ref="H65">_xll.U.INVOKE("BS",,H58,H59,H60,H61,H62)</f>
        <v>8.9124031412619829</v>
      </c>
      <c r="I65" s="21"/>
      <c r="J65" s="21"/>
      <c r="K65" s="21"/>
      <c r="L65" s="21"/>
      <c r="M65" s="21"/>
      <c r="N65" s="21"/>
      <c r="O65" s="21"/>
      <c r="P65" s="21"/>
      <c r="Q65" s="21"/>
      <c r="R65" s="21"/>
      <c r="S65" s="21"/>
      <c r="T65" s="20"/>
      <c r="V65" s="498"/>
      <c r="W65" s="499"/>
      <c r="X65" s="498"/>
      <c r="Y65" s="503"/>
      <c r="Z65" s="503"/>
      <c r="AA65" s="503"/>
      <c r="AB65" s="503"/>
      <c r="AC65" s="503"/>
      <c r="AD65" s="499"/>
      <c r="AE65" s="506"/>
    </row>
    <row r="66" spans="1:31" x14ac:dyDescent="0.3">
      <c r="A66" s="18"/>
      <c r="B66" s="295" t="s">
        <v>2374</v>
      </c>
      <c r="C66" s="295" t="s">
        <v>2312</v>
      </c>
      <c r="D66" s="295"/>
      <c r="E66" s="21"/>
      <c r="F66" s="21"/>
      <c r="G66" s="85" t="s">
        <v>2408</v>
      </c>
      <c r="H66" s="209" t="str" cm="1">
        <f t="array" ref="H66">_xll.U.INVOKE("BS",H60,H61,H62,H63,,H65)</f>
        <v>Argument not provided for parameter r</v>
      </c>
      <c r="I66" s="21"/>
      <c r="J66" s="21"/>
      <c r="K66" s="21"/>
      <c r="L66" s="21"/>
      <c r="M66" s="21"/>
      <c r="N66" s="21"/>
      <c r="O66" s="21"/>
      <c r="P66" s="21"/>
      <c r="Q66" s="21"/>
      <c r="R66" s="21"/>
      <c r="S66" s="21"/>
      <c r="T66" s="20"/>
      <c r="V66" s="500"/>
      <c r="W66" s="501"/>
      <c r="X66" s="500"/>
      <c r="Y66" s="504"/>
      <c r="Z66" s="504"/>
      <c r="AA66" s="504"/>
      <c r="AB66" s="504"/>
      <c r="AC66" s="504"/>
      <c r="AD66" s="501"/>
      <c r="AE66" s="507"/>
    </row>
    <row r="67" spans="1:31" ht="15" customHeight="1" x14ac:dyDescent="0.3">
      <c r="A67" s="18"/>
      <c r="B67" s="21"/>
      <c r="C67" s="21"/>
      <c r="D67" s="21"/>
      <c r="E67" s="21"/>
      <c r="F67" s="21"/>
      <c r="G67" s="21"/>
      <c r="H67" s="21"/>
      <c r="I67" s="21"/>
      <c r="J67" s="21"/>
      <c r="K67" s="21"/>
      <c r="L67" s="21"/>
      <c r="M67" s="21"/>
      <c r="N67" s="21"/>
      <c r="O67" s="21"/>
      <c r="P67" s="21"/>
      <c r="Q67" s="21"/>
      <c r="R67" s="21"/>
      <c r="S67" s="21"/>
      <c r="T67" s="20"/>
      <c r="V67" s="496" t="s">
        <v>2319</v>
      </c>
      <c r="W67" s="497"/>
      <c r="X67" s="496" t="s">
        <v>2320</v>
      </c>
      <c r="Y67" s="502"/>
      <c r="Z67" s="502"/>
      <c r="AA67" s="502"/>
      <c r="AB67" s="502"/>
      <c r="AC67" s="502"/>
      <c r="AD67" s="497"/>
      <c r="AE67" s="505" t="s">
        <v>326</v>
      </c>
    </row>
    <row r="68" spans="1:31" x14ac:dyDescent="0.3">
      <c r="A68" s="18"/>
      <c r="B68" s="21"/>
      <c r="C68" s="21"/>
      <c r="D68" s="21"/>
      <c r="E68" s="21"/>
      <c r="F68" s="21"/>
      <c r="G68" s="21"/>
      <c r="H68" s="21"/>
      <c r="I68" s="21"/>
      <c r="J68" s="21"/>
      <c r="K68" s="21"/>
      <c r="L68" s="21"/>
      <c r="M68" s="21"/>
      <c r="N68" s="21"/>
      <c r="O68" s="21"/>
      <c r="P68" s="21"/>
      <c r="Q68" s="21"/>
      <c r="R68" s="21"/>
      <c r="S68" s="21"/>
      <c r="T68" s="20"/>
      <c r="V68" s="498"/>
      <c r="W68" s="499"/>
      <c r="X68" s="498"/>
      <c r="Y68" s="503"/>
      <c r="Z68" s="503"/>
      <c r="AA68" s="503"/>
      <c r="AB68" s="503"/>
      <c r="AC68" s="503"/>
      <c r="AD68" s="499"/>
      <c r="AE68" s="506"/>
    </row>
    <row r="69" spans="1:31" x14ac:dyDescent="0.3">
      <c r="A69" s="18"/>
      <c r="B69" s="513" t="s">
        <v>2403</v>
      </c>
      <c r="C69" s="515"/>
      <c r="D69" s="21"/>
      <c r="E69" s="21"/>
      <c r="F69" s="21"/>
      <c r="G69" s="179" t="s">
        <v>3599</v>
      </c>
      <c r="H69" s="21"/>
      <c r="I69" s="21"/>
      <c r="J69" s="21"/>
      <c r="K69" s="21"/>
      <c r="L69" s="21"/>
      <c r="M69" s="21"/>
      <c r="N69" s="21"/>
      <c r="O69" s="21"/>
      <c r="P69" s="21"/>
      <c r="Q69" s="21"/>
      <c r="R69" s="21"/>
      <c r="S69" s="21"/>
      <c r="T69" s="20"/>
      <c r="V69" s="500"/>
      <c r="W69" s="501"/>
      <c r="X69" s="500"/>
      <c r="Y69" s="504"/>
      <c r="Z69" s="504"/>
      <c r="AA69" s="504"/>
      <c r="AB69" s="504"/>
      <c r="AC69" s="504"/>
      <c r="AD69" s="501"/>
      <c r="AE69" s="507"/>
    </row>
    <row r="70" spans="1:31" ht="15" customHeight="1" x14ac:dyDescent="0.3">
      <c r="A70" s="18"/>
      <c r="B70" s="9" t="s">
        <v>679</v>
      </c>
      <c r="C70" s="357" t="s">
        <v>2373</v>
      </c>
      <c r="D70" s="21"/>
      <c r="E70" s="21"/>
      <c r="F70" s="21"/>
      <c r="G70" s="189" t="str" cm="1">
        <f t="array" ref="G70">_xll.U.COMPILE(C70,C71,"x")</f>
        <v>Function CND compiled at 2026-05-03 21:26:20</v>
      </c>
      <c r="H70" s="21"/>
      <c r="I70" s="21"/>
      <c r="J70" s="21"/>
      <c r="K70" s="21"/>
      <c r="L70" s="21"/>
      <c r="M70" s="21"/>
      <c r="N70" s="21"/>
      <c r="O70" s="21"/>
      <c r="P70" s="21"/>
      <c r="Q70" s="21"/>
      <c r="R70" s="21"/>
      <c r="S70" s="21"/>
      <c r="T70" s="20"/>
      <c r="V70" s="496" t="s">
        <v>2319</v>
      </c>
      <c r="W70" s="497"/>
      <c r="X70" s="496" t="s">
        <v>2320</v>
      </c>
      <c r="Y70" s="502"/>
      <c r="Z70" s="502"/>
      <c r="AA70" s="502"/>
      <c r="AB70" s="502"/>
      <c r="AC70" s="502"/>
      <c r="AD70" s="497"/>
      <c r="AE70" s="505" t="s">
        <v>326</v>
      </c>
    </row>
    <row r="71" spans="1:31" x14ac:dyDescent="0.3">
      <c r="A71" s="18"/>
      <c r="B71" s="302" t="s">
        <v>1832</v>
      </c>
      <c r="C71" s="593" t="s">
        <v>2413</v>
      </c>
      <c r="D71" s="593"/>
      <c r="E71" s="21"/>
      <c r="F71" s="21"/>
      <c r="G71" s="21"/>
      <c r="H71" s="21"/>
      <c r="I71" s="21"/>
      <c r="J71" s="21"/>
      <c r="K71" s="21"/>
      <c r="L71" s="21"/>
      <c r="M71" s="21"/>
      <c r="N71" s="21"/>
      <c r="O71" s="21"/>
      <c r="P71" s="21"/>
      <c r="Q71" s="21"/>
      <c r="R71" s="21"/>
      <c r="S71" s="21"/>
      <c r="T71" s="20"/>
      <c r="V71" s="498"/>
      <c r="W71" s="499"/>
      <c r="X71" s="498"/>
      <c r="Y71" s="503"/>
      <c r="Z71" s="503"/>
      <c r="AA71" s="503"/>
      <c r="AB71" s="503"/>
      <c r="AC71" s="503"/>
      <c r="AD71" s="499"/>
      <c r="AE71" s="506"/>
    </row>
    <row r="72" spans="1:31" x14ac:dyDescent="0.3">
      <c r="A72" s="18"/>
      <c r="B72" s="21"/>
      <c r="C72" s="593"/>
      <c r="D72" s="593"/>
      <c r="E72" s="21"/>
      <c r="F72" s="21"/>
      <c r="G72" s="21"/>
      <c r="H72" s="21"/>
      <c r="I72" s="21"/>
      <c r="J72" s="21"/>
      <c r="K72" s="21"/>
      <c r="L72" s="21"/>
      <c r="M72" s="21"/>
      <c r="N72" s="21"/>
      <c r="O72" s="21"/>
      <c r="P72" s="21"/>
      <c r="Q72" s="21"/>
      <c r="R72" s="21"/>
      <c r="S72" s="21"/>
      <c r="T72" s="20"/>
      <c r="V72" s="500"/>
      <c r="W72" s="501"/>
      <c r="X72" s="500"/>
      <c r="Y72" s="504"/>
      <c r="Z72" s="504"/>
      <c r="AA72" s="504"/>
      <c r="AB72" s="504"/>
      <c r="AC72" s="504"/>
      <c r="AD72" s="501"/>
      <c r="AE72" s="507"/>
    </row>
    <row r="73" spans="1:31" x14ac:dyDescent="0.3">
      <c r="A73" s="18"/>
      <c r="B73" s="21"/>
      <c r="C73" s="593"/>
      <c r="D73" s="593"/>
      <c r="E73" s="21"/>
      <c r="F73" s="21"/>
      <c r="G73" s="21"/>
      <c r="H73" s="21"/>
      <c r="I73" s="21"/>
      <c r="J73" s="21"/>
      <c r="K73" s="21"/>
      <c r="L73" s="21"/>
      <c r="M73" s="21"/>
      <c r="N73" s="21"/>
      <c r="O73" s="21"/>
      <c r="P73" s="21"/>
      <c r="Q73" s="21"/>
      <c r="R73" s="21"/>
      <c r="S73" s="21"/>
      <c r="T73" s="20"/>
      <c r="V73" s="496" t="s">
        <v>2319</v>
      </c>
      <c r="W73" s="497"/>
      <c r="X73" s="496" t="s">
        <v>2320</v>
      </c>
      <c r="Y73" s="502"/>
      <c r="Z73" s="502"/>
      <c r="AA73" s="502"/>
      <c r="AB73" s="502"/>
      <c r="AC73" s="502"/>
      <c r="AD73" s="497"/>
      <c r="AE73" s="505" t="s">
        <v>326</v>
      </c>
    </row>
    <row r="74" spans="1:31" x14ac:dyDescent="0.3">
      <c r="A74" s="18"/>
      <c r="B74" s="21"/>
      <c r="C74" s="593"/>
      <c r="D74" s="593"/>
      <c r="E74" s="21"/>
      <c r="F74" s="21"/>
      <c r="G74" s="21"/>
      <c r="H74" s="21"/>
      <c r="I74" s="21"/>
      <c r="J74" s="21"/>
      <c r="K74" s="21"/>
      <c r="L74" s="21"/>
      <c r="M74" s="21"/>
      <c r="N74" s="21"/>
      <c r="O74" s="21"/>
      <c r="P74" s="21"/>
      <c r="Q74" s="21"/>
      <c r="R74" s="21"/>
      <c r="S74" s="21"/>
      <c r="T74" s="20"/>
      <c r="V74" s="498"/>
      <c r="W74" s="499"/>
      <c r="X74" s="498"/>
      <c r="Y74" s="503"/>
      <c r="Z74" s="503"/>
      <c r="AA74" s="503"/>
      <c r="AB74" s="503"/>
      <c r="AC74" s="503"/>
      <c r="AD74" s="499"/>
      <c r="AE74" s="506"/>
    </row>
    <row r="75" spans="1:31" x14ac:dyDescent="0.3">
      <c r="A75" s="18"/>
      <c r="B75" s="21"/>
      <c r="C75" s="593"/>
      <c r="D75" s="593"/>
      <c r="E75" s="21"/>
      <c r="F75" s="21"/>
      <c r="G75" s="21"/>
      <c r="H75" s="21"/>
      <c r="I75" s="21"/>
      <c r="J75" s="21"/>
      <c r="K75" s="21"/>
      <c r="L75" s="21"/>
      <c r="M75" s="21"/>
      <c r="N75" s="21"/>
      <c r="O75" s="21"/>
      <c r="P75" s="21"/>
      <c r="Q75" s="21"/>
      <c r="R75" s="21"/>
      <c r="S75" s="21"/>
      <c r="T75" s="20"/>
      <c r="V75" s="500"/>
      <c r="W75" s="501"/>
      <c r="X75" s="500"/>
      <c r="Y75" s="504"/>
      <c r="Z75" s="504"/>
      <c r="AA75" s="504"/>
      <c r="AB75" s="504"/>
      <c r="AC75" s="504"/>
      <c r="AD75" s="501"/>
      <c r="AE75" s="507"/>
    </row>
    <row r="76" spans="1:31" x14ac:dyDescent="0.3">
      <c r="A76" s="18"/>
      <c r="B76" s="21"/>
      <c r="C76" s="593"/>
      <c r="D76" s="593"/>
      <c r="E76" s="21"/>
      <c r="F76" s="21"/>
      <c r="G76" s="21"/>
      <c r="H76" s="21"/>
      <c r="I76" s="21"/>
      <c r="J76" s="21"/>
      <c r="K76" s="21"/>
      <c r="L76" s="21"/>
      <c r="M76" s="21"/>
      <c r="N76" s="21"/>
      <c r="O76" s="21"/>
      <c r="P76" s="21"/>
      <c r="Q76" s="21"/>
      <c r="R76" s="21"/>
      <c r="S76" s="21"/>
      <c r="T76" s="20"/>
      <c r="V76" s="496" t="s">
        <v>2319</v>
      </c>
      <c r="W76" s="497"/>
      <c r="X76" s="496" t="s">
        <v>2320</v>
      </c>
      <c r="Y76" s="502"/>
      <c r="Z76" s="502"/>
      <c r="AA76" s="502"/>
      <c r="AB76" s="502"/>
      <c r="AC76" s="502"/>
      <c r="AD76" s="497"/>
      <c r="AE76" s="505" t="s">
        <v>326</v>
      </c>
    </row>
    <row r="77" spans="1:31" x14ac:dyDescent="0.3">
      <c r="A77" s="18"/>
      <c r="B77" s="21"/>
      <c r="C77" s="593"/>
      <c r="D77" s="593"/>
      <c r="E77" s="21"/>
      <c r="F77" s="21"/>
      <c r="G77" s="21"/>
      <c r="H77" s="21"/>
      <c r="I77" s="21"/>
      <c r="J77" s="21"/>
      <c r="K77" s="21"/>
      <c r="L77" s="21"/>
      <c r="M77" s="21"/>
      <c r="N77" s="21"/>
      <c r="O77" s="21"/>
      <c r="P77" s="21"/>
      <c r="Q77" s="21"/>
      <c r="R77" s="21"/>
      <c r="S77" s="21"/>
      <c r="T77" s="20"/>
      <c r="V77" s="498"/>
      <c r="W77" s="499"/>
      <c r="X77" s="498"/>
      <c r="Y77" s="503"/>
      <c r="Z77" s="503"/>
      <c r="AA77" s="503"/>
      <c r="AB77" s="503"/>
      <c r="AC77" s="503"/>
      <c r="AD77" s="499"/>
      <c r="AE77" s="506"/>
    </row>
    <row r="78" spans="1:31" x14ac:dyDescent="0.3">
      <c r="A78" s="18"/>
      <c r="B78" s="21"/>
      <c r="C78" s="593"/>
      <c r="D78" s="593"/>
      <c r="E78" s="21"/>
      <c r="F78" s="21"/>
      <c r="G78" s="21"/>
      <c r="H78" s="21"/>
      <c r="I78" s="21"/>
      <c r="J78" s="21"/>
      <c r="K78" s="21"/>
      <c r="L78" s="21"/>
      <c r="M78" s="21"/>
      <c r="N78" s="21"/>
      <c r="O78" s="21"/>
      <c r="P78" s="21"/>
      <c r="Q78" s="21"/>
      <c r="R78" s="21"/>
      <c r="S78" s="21"/>
      <c r="T78" s="20"/>
      <c r="V78" s="500"/>
      <c r="W78" s="501"/>
      <c r="X78" s="500"/>
      <c r="Y78" s="504"/>
      <c r="Z78" s="504"/>
      <c r="AA78" s="504"/>
      <c r="AB78" s="504"/>
      <c r="AC78" s="504"/>
      <c r="AD78" s="501"/>
      <c r="AE78" s="507"/>
    </row>
    <row r="79" spans="1:31" x14ac:dyDescent="0.3">
      <c r="A79" s="18"/>
      <c r="B79" s="21"/>
      <c r="C79" s="593"/>
      <c r="D79" s="593"/>
      <c r="E79" s="99"/>
      <c r="F79" s="21"/>
      <c r="G79" s="21"/>
      <c r="H79" s="21"/>
      <c r="I79" s="21"/>
      <c r="J79" s="21"/>
      <c r="K79" s="21"/>
      <c r="L79" s="21"/>
      <c r="M79" s="21"/>
      <c r="N79" s="21"/>
      <c r="O79" s="21"/>
      <c r="P79" s="21"/>
      <c r="Q79" s="21"/>
      <c r="R79" s="21"/>
      <c r="S79" s="21"/>
      <c r="T79" s="20"/>
      <c r="V79" s="496" t="s">
        <v>2319</v>
      </c>
      <c r="W79" s="497"/>
      <c r="X79" s="496" t="s">
        <v>2320</v>
      </c>
      <c r="Y79" s="502"/>
      <c r="Z79" s="502"/>
      <c r="AA79" s="502"/>
      <c r="AB79" s="502"/>
      <c r="AC79" s="502"/>
      <c r="AD79" s="497"/>
      <c r="AE79" s="505" t="s">
        <v>326</v>
      </c>
    </row>
    <row r="80" spans="1:31" x14ac:dyDescent="0.3">
      <c r="A80" s="18"/>
      <c r="B80" s="21"/>
      <c r="C80" s="593"/>
      <c r="D80" s="593"/>
      <c r="E80" s="21"/>
      <c r="F80" s="21"/>
      <c r="G80" s="21"/>
      <c r="H80" s="21"/>
      <c r="I80" s="21"/>
      <c r="J80" s="21"/>
      <c r="K80" s="21"/>
      <c r="L80" s="21"/>
      <c r="M80" s="21"/>
      <c r="N80" s="21"/>
      <c r="O80" s="21"/>
      <c r="P80" s="21"/>
      <c r="Q80" s="21"/>
      <c r="R80" s="21"/>
      <c r="S80" s="21"/>
      <c r="T80" s="20"/>
      <c r="V80" s="498"/>
      <c r="W80" s="499"/>
      <c r="X80" s="498"/>
      <c r="Y80" s="503"/>
      <c r="Z80" s="503"/>
      <c r="AA80" s="503"/>
      <c r="AB80" s="503"/>
      <c r="AC80" s="503"/>
      <c r="AD80" s="499"/>
      <c r="AE80" s="506"/>
    </row>
    <row r="81" spans="1:31" x14ac:dyDescent="0.3">
      <c r="A81" s="18"/>
      <c r="B81" s="21"/>
      <c r="C81" s="593"/>
      <c r="D81" s="593"/>
      <c r="E81" s="21"/>
      <c r="F81" s="21"/>
      <c r="G81" s="21"/>
      <c r="H81" s="21"/>
      <c r="I81" s="21"/>
      <c r="J81" s="21"/>
      <c r="K81" s="21"/>
      <c r="L81" s="21"/>
      <c r="M81" s="21"/>
      <c r="N81" s="21"/>
      <c r="O81" s="21"/>
      <c r="P81" s="21"/>
      <c r="Q81" s="21"/>
      <c r="R81" s="21"/>
      <c r="S81" s="21"/>
      <c r="T81" s="20"/>
      <c r="V81" s="500"/>
      <c r="W81" s="501"/>
      <c r="X81" s="500"/>
      <c r="Y81" s="504"/>
      <c r="Z81" s="504"/>
      <c r="AA81" s="504"/>
      <c r="AB81" s="504"/>
      <c r="AC81" s="504"/>
      <c r="AD81" s="501"/>
      <c r="AE81" s="507"/>
    </row>
    <row r="82" spans="1:31" x14ac:dyDescent="0.3">
      <c r="A82" s="18"/>
      <c r="B82" s="21"/>
      <c r="C82" s="593"/>
      <c r="D82" s="593"/>
      <c r="E82" s="21"/>
      <c r="F82" s="21"/>
      <c r="G82" s="21"/>
      <c r="H82" s="21"/>
      <c r="I82" s="21"/>
      <c r="J82" s="21"/>
      <c r="K82" s="21"/>
      <c r="L82" s="21"/>
      <c r="M82" s="21"/>
      <c r="N82" s="21"/>
      <c r="O82" s="21"/>
      <c r="P82" s="21"/>
      <c r="Q82" s="21"/>
      <c r="R82" s="21"/>
      <c r="S82" s="21"/>
      <c r="T82" s="20"/>
      <c r="V82" s="496" t="s">
        <v>2319</v>
      </c>
      <c r="W82" s="497"/>
      <c r="X82" s="496" t="s">
        <v>2320</v>
      </c>
      <c r="Y82" s="502"/>
      <c r="Z82" s="502"/>
      <c r="AA82" s="502"/>
      <c r="AB82" s="502"/>
      <c r="AC82" s="502"/>
      <c r="AD82" s="497"/>
      <c r="AE82" s="505" t="s">
        <v>326</v>
      </c>
    </row>
    <row r="83" spans="1:31" x14ac:dyDescent="0.3">
      <c r="A83" s="18"/>
      <c r="B83" s="21"/>
      <c r="C83" s="593"/>
      <c r="D83" s="593"/>
      <c r="E83" s="21"/>
      <c r="F83" s="21"/>
      <c r="G83" s="21"/>
      <c r="H83" s="21"/>
      <c r="I83" s="21"/>
      <c r="J83" s="21"/>
      <c r="K83" s="21"/>
      <c r="L83" s="21"/>
      <c r="M83" s="21"/>
      <c r="N83" s="21"/>
      <c r="O83" s="21"/>
      <c r="P83" s="21"/>
      <c r="Q83" s="21"/>
      <c r="R83" s="21"/>
      <c r="S83" s="21"/>
      <c r="T83" s="20"/>
      <c r="V83" s="498"/>
      <c r="W83" s="499"/>
      <c r="X83" s="498"/>
      <c r="Y83" s="503"/>
      <c r="Z83" s="503"/>
      <c r="AA83" s="503"/>
      <c r="AB83" s="503"/>
      <c r="AC83" s="503"/>
      <c r="AD83" s="499"/>
      <c r="AE83" s="506"/>
    </row>
    <row r="84" spans="1:31" x14ac:dyDescent="0.3">
      <c r="A84" s="18"/>
      <c r="B84" s="21"/>
      <c r="C84" s="21"/>
      <c r="D84" s="21"/>
      <c r="E84" s="21"/>
      <c r="F84" s="21"/>
      <c r="G84" s="21"/>
      <c r="H84" s="21"/>
      <c r="I84" s="21"/>
      <c r="J84" s="21"/>
      <c r="K84" s="21"/>
      <c r="L84" s="21"/>
      <c r="M84" s="21"/>
      <c r="N84" s="21"/>
      <c r="O84" s="21"/>
      <c r="P84" s="21"/>
      <c r="Q84" s="21"/>
      <c r="R84" s="21"/>
      <c r="S84" s="21"/>
      <c r="T84" s="20"/>
      <c r="V84" s="500"/>
      <c r="W84" s="501"/>
      <c r="X84" s="500"/>
      <c r="Y84" s="504"/>
      <c r="Z84" s="504"/>
      <c r="AA84" s="504"/>
      <c r="AB84" s="504"/>
      <c r="AC84" s="504"/>
      <c r="AD84" s="501"/>
      <c r="AE84" s="507"/>
    </row>
    <row r="85" spans="1:31" x14ac:dyDescent="0.3">
      <c r="A85" s="18"/>
      <c r="B85" s="21"/>
      <c r="C85" s="21"/>
      <c r="D85" s="21"/>
      <c r="E85" s="21"/>
      <c r="F85" s="21"/>
      <c r="G85" s="21"/>
      <c r="H85" s="21"/>
      <c r="I85" s="21"/>
      <c r="J85" s="21"/>
      <c r="K85" s="21"/>
      <c r="L85" s="21"/>
      <c r="M85" s="21"/>
      <c r="N85" s="21"/>
      <c r="O85" s="21"/>
      <c r="P85" s="21"/>
      <c r="Q85" s="21"/>
      <c r="R85" s="21"/>
      <c r="S85" s="21"/>
      <c r="T85" s="20"/>
      <c r="V85" s="496" t="s">
        <v>2319</v>
      </c>
      <c r="W85" s="497"/>
      <c r="X85" s="496" t="s">
        <v>2320</v>
      </c>
      <c r="Y85" s="502"/>
      <c r="Z85" s="502"/>
      <c r="AA85" s="502"/>
      <c r="AB85" s="502"/>
      <c r="AC85" s="502"/>
      <c r="AD85" s="497"/>
      <c r="AE85" s="505" t="s">
        <v>326</v>
      </c>
    </row>
    <row r="86" spans="1:31" x14ac:dyDescent="0.3">
      <c r="A86" s="18"/>
      <c r="B86" s="21"/>
      <c r="C86" s="21"/>
      <c r="D86" s="21"/>
      <c r="E86" s="21"/>
      <c r="F86" s="21"/>
      <c r="G86" s="21"/>
      <c r="H86" s="21"/>
      <c r="I86" s="21"/>
      <c r="J86" s="21"/>
      <c r="K86" s="21"/>
      <c r="L86" s="21"/>
      <c r="M86" s="21"/>
      <c r="N86" s="21"/>
      <c r="O86" s="21"/>
      <c r="P86" s="21"/>
      <c r="Q86" s="21"/>
      <c r="R86" s="21"/>
      <c r="S86" s="21"/>
      <c r="T86" s="20"/>
      <c r="V86" s="498"/>
      <c r="W86" s="499"/>
      <c r="X86" s="498"/>
      <c r="Y86" s="503"/>
      <c r="Z86" s="503"/>
      <c r="AA86" s="503"/>
      <c r="AB86" s="503"/>
      <c r="AC86" s="503"/>
      <c r="AD86" s="499"/>
      <c r="AE86" s="506"/>
    </row>
    <row r="87" spans="1:31" x14ac:dyDescent="0.3">
      <c r="A87" s="18"/>
      <c r="B87" s="21"/>
      <c r="C87" s="21"/>
      <c r="D87" s="21"/>
      <c r="E87" s="21"/>
      <c r="F87" s="21"/>
      <c r="G87" s="21"/>
      <c r="H87" s="21"/>
      <c r="I87" s="21"/>
      <c r="J87" s="21"/>
      <c r="K87" s="21"/>
      <c r="L87" s="21"/>
      <c r="M87" s="21"/>
      <c r="N87" s="21"/>
      <c r="O87" s="21"/>
      <c r="P87" s="21"/>
      <c r="Q87" s="21"/>
      <c r="R87" s="21"/>
      <c r="S87" s="21"/>
      <c r="T87" s="20"/>
      <c r="V87" s="500"/>
      <c r="W87" s="501"/>
      <c r="X87" s="500"/>
      <c r="Y87" s="504"/>
      <c r="Z87" s="504"/>
      <c r="AA87" s="504"/>
      <c r="AB87" s="504"/>
      <c r="AC87" s="504"/>
      <c r="AD87" s="501"/>
      <c r="AE87" s="507"/>
    </row>
    <row r="88" spans="1:31" x14ac:dyDescent="0.3">
      <c r="A88" s="18"/>
      <c r="B88" s="21"/>
      <c r="C88" s="21"/>
      <c r="D88" s="21"/>
      <c r="E88" s="21"/>
      <c r="F88" s="21"/>
      <c r="G88" s="21"/>
      <c r="H88" s="21"/>
      <c r="I88" s="21"/>
      <c r="J88" s="21"/>
      <c r="K88" s="21"/>
      <c r="L88" s="21"/>
      <c r="M88" s="21"/>
      <c r="N88" s="21"/>
      <c r="O88" s="21"/>
      <c r="P88" s="21"/>
      <c r="Q88" s="21"/>
      <c r="R88" s="21"/>
      <c r="S88" s="21"/>
      <c r="T88" s="20"/>
      <c r="V88" s="496" t="s">
        <v>2319</v>
      </c>
      <c r="W88" s="497"/>
      <c r="X88" s="496" t="s">
        <v>2320</v>
      </c>
      <c r="Y88" s="502"/>
      <c r="Z88" s="502"/>
      <c r="AA88" s="502"/>
      <c r="AB88" s="502"/>
      <c r="AC88" s="502"/>
      <c r="AD88" s="497"/>
      <c r="AE88" s="505" t="s">
        <v>326</v>
      </c>
    </row>
    <row r="89" spans="1:31" x14ac:dyDescent="0.3">
      <c r="A89" s="18"/>
      <c r="B89" s="513" t="s">
        <v>2401</v>
      </c>
      <c r="C89" s="515"/>
      <c r="D89" s="21"/>
      <c r="E89" s="21"/>
      <c r="F89" s="21"/>
      <c r="G89" s="179" t="s">
        <v>3599</v>
      </c>
      <c r="H89" s="21"/>
      <c r="I89" s="21"/>
      <c r="J89" s="21"/>
      <c r="K89" s="21"/>
      <c r="L89" s="21"/>
      <c r="M89" s="21"/>
      <c r="N89" s="21"/>
      <c r="O89" s="21"/>
      <c r="P89" s="21"/>
      <c r="Q89" s="21"/>
      <c r="R89" s="21"/>
      <c r="S89" s="21"/>
      <c r="T89" s="20"/>
      <c r="V89" s="498"/>
      <c r="W89" s="499"/>
      <c r="X89" s="498"/>
      <c r="Y89" s="503"/>
      <c r="Z89" s="503"/>
      <c r="AA89" s="503"/>
      <c r="AB89" s="503"/>
      <c r="AC89" s="503"/>
      <c r="AD89" s="499"/>
      <c r="AE89" s="506"/>
    </row>
    <row r="90" spans="1:31" x14ac:dyDescent="0.3">
      <c r="A90" s="18"/>
      <c r="B90" s="9" t="s">
        <v>679</v>
      </c>
      <c r="C90" s="295" t="s">
        <v>2370</v>
      </c>
      <c r="D90" s="21"/>
      <c r="E90" s="21"/>
      <c r="F90" s="21"/>
      <c r="G90" s="189" t="str" cm="1">
        <f t="array" ref="G90">_xll.U.COMPILE(C90,C91,B97:F102,,,,C92)</f>
        <v>Function OPTION_VALUE compiled and registered at 2026-05-03 21:26:20</v>
      </c>
      <c r="H90" s="21"/>
      <c r="I90" s="21"/>
      <c r="J90" s="21"/>
      <c r="K90" s="21"/>
      <c r="L90" s="21"/>
      <c r="M90" s="21"/>
      <c r="N90" s="21"/>
      <c r="O90" s="21"/>
      <c r="P90" s="21"/>
      <c r="Q90" s="21"/>
      <c r="R90" s="21"/>
      <c r="S90" s="21"/>
      <c r="T90" s="20"/>
      <c r="V90" s="500"/>
      <c r="W90" s="501"/>
      <c r="X90" s="500"/>
      <c r="Y90" s="504"/>
      <c r="Z90" s="504"/>
      <c r="AA90" s="504"/>
      <c r="AB90" s="504"/>
      <c r="AC90" s="504"/>
      <c r="AD90" s="501"/>
      <c r="AE90" s="507"/>
    </row>
    <row r="91" spans="1:31" x14ac:dyDescent="0.3">
      <c r="A91" s="18"/>
      <c r="B91" s="9" t="s">
        <v>1832</v>
      </c>
      <c r="C91" s="181" t="s">
        <v>3626</v>
      </c>
      <c r="D91" s="21"/>
      <c r="E91" s="21"/>
      <c r="F91" s="21"/>
      <c r="G91" s="21"/>
      <c r="H91" s="21"/>
      <c r="I91" s="21"/>
      <c r="J91" s="21"/>
      <c r="K91" s="21"/>
      <c r="L91" s="21"/>
      <c r="M91" s="21"/>
      <c r="N91" s="21"/>
      <c r="O91" s="21"/>
      <c r="P91" s="21"/>
      <c r="Q91" s="21"/>
      <c r="R91" s="21"/>
      <c r="S91" s="21"/>
      <c r="T91" s="20"/>
      <c r="V91" s="496" t="s">
        <v>2319</v>
      </c>
      <c r="W91" s="497"/>
      <c r="X91" s="496" t="s">
        <v>2320</v>
      </c>
      <c r="Y91" s="502"/>
      <c r="Z91" s="502"/>
      <c r="AA91" s="502"/>
      <c r="AB91" s="502"/>
      <c r="AC91" s="502"/>
      <c r="AD91" s="497"/>
      <c r="AE91" s="505" t="s">
        <v>326</v>
      </c>
    </row>
    <row r="92" spans="1:31" x14ac:dyDescent="0.3">
      <c r="A92" s="18"/>
      <c r="B92" s="9" t="s">
        <v>2380</v>
      </c>
      <c r="C92" s="181" t="s">
        <v>2524</v>
      </c>
      <c r="D92" s="21"/>
      <c r="E92" s="21"/>
      <c r="F92" s="21"/>
      <c r="G92" s="21"/>
      <c r="H92" s="21"/>
      <c r="I92" s="21"/>
      <c r="J92" s="21"/>
      <c r="K92" s="21"/>
      <c r="L92" s="21"/>
      <c r="M92" s="21"/>
      <c r="N92" s="21"/>
      <c r="O92" s="21"/>
      <c r="P92" s="21"/>
      <c r="Q92" s="21"/>
      <c r="R92" s="21"/>
      <c r="S92" s="21"/>
      <c r="T92" s="20"/>
      <c r="V92" s="498"/>
      <c r="W92" s="499"/>
      <c r="X92" s="498"/>
      <c r="Y92" s="503"/>
      <c r="Z92" s="503"/>
      <c r="AA92" s="503"/>
      <c r="AB92" s="503"/>
      <c r="AC92" s="503"/>
      <c r="AD92" s="499"/>
      <c r="AE92" s="506"/>
    </row>
    <row r="93" spans="1:31" x14ac:dyDescent="0.3">
      <c r="A93" s="18"/>
      <c r="B93" s="21"/>
      <c r="C93" s="21"/>
      <c r="D93" s="21"/>
      <c r="E93" s="21"/>
      <c r="F93" s="21"/>
      <c r="G93" s="21"/>
      <c r="H93" s="21"/>
      <c r="I93" s="21"/>
      <c r="J93" s="21"/>
      <c r="K93" s="21"/>
      <c r="L93" s="21"/>
      <c r="M93" s="21"/>
      <c r="N93" s="21"/>
      <c r="O93" s="21"/>
      <c r="P93" s="21"/>
      <c r="Q93" s="21"/>
      <c r="R93" s="21"/>
      <c r="S93" s="21"/>
      <c r="T93" s="20"/>
      <c r="V93" s="500"/>
      <c r="W93" s="501"/>
      <c r="X93" s="500"/>
      <c r="Y93" s="504"/>
      <c r="Z93" s="504"/>
      <c r="AA93" s="504"/>
      <c r="AB93" s="504"/>
      <c r="AC93" s="504"/>
      <c r="AD93" s="501"/>
      <c r="AE93" s="507"/>
    </row>
    <row r="94" spans="1:31" x14ac:dyDescent="0.3">
      <c r="A94" s="18"/>
      <c r="B94" s="21"/>
      <c r="C94" s="21"/>
      <c r="D94" s="21"/>
      <c r="E94" s="21"/>
      <c r="F94" s="21"/>
      <c r="G94" s="21"/>
      <c r="H94" s="21"/>
      <c r="I94" s="21"/>
      <c r="J94" s="21"/>
      <c r="K94" s="21"/>
      <c r="L94" s="21"/>
      <c r="M94" s="21"/>
      <c r="N94" s="21"/>
      <c r="O94" s="21"/>
      <c r="P94" s="21"/>
      <c r="Q94" s="21"/>
      <c r="R94" s="21"/>
      <c r="S94" s="21"/>
      <c r="T94" s="20"/>
      <c r="V94" s="496" t="s">
        <v>2319</v>
      </c>
      <c r="W94" s="497"/>
      <c r="X94" s="496" t="s">
        <v>2320</v>
      </c>
      <c r="Y94" s="502"/>
      <c r="Z94" s="502"/>
      <c r="AA94" s="502"/>
      <c r="AB94" s="502"/>
      <c r="AC94" s="502"/>
      <c r="AD94" s="497"/>
      <c r="AE94" s="505" t="s">
        <v>326</v>
      </c>
    </row>
    <row r="95" spans="1:31" x14ac:dyDescent="0.3">
      <c r="A95" s="18"/>
      <c r="B95" s="513" t="s">
        <v>2372</v>
      </c>
      <c r="C95" s="515"/>
      <c r="D95" s="21"/>
      <c r="E95" s="21"/>
      <c r="F95" s="21"/>
      <c r="G95" s="21"/>
      <c r="H95" s="3" t="s">
        <v>2397</v>
      </c>
      <c r="I95" s="203">
        <v>90.5</v>
      </c>
      <c r="J95" s="21"/>
      <c r="K95" s="21"/>
      <c r="L95" s="21"/>
      <c r="M95" s="21"/>
      <c r="N95" s="21"/>
      <c r="O95" s="21"/>
      <c r="P95" s="21"/>
      <c r="Q95" s="21"/>
      <c r="R95" s="21"/>
      <c r="S95" s="21"/>
      <c r="T95" s="20"/>
      <c r="V95" s="498"/>
      <c r="W95" s="499"/>
      <c r="X95" s="498"/>
      <c r="Y95" s="503"/>
      <c r="Z95" s="503"/>
      <c r="AA95" s="503"/>
      <c r="AB95" s="503"/>
      <c r="AC95" s="503"/>
      <c r="AD95" s="499"/>
      <c r="AE95" s="506"/>
    </row>
    <row r="96" spans="1:31" x14ac:dyDescent="0.3">
      <c r="A96" s="18"/>
      <c r="B96" s="9" t="s">
        <v>323</v>
      </c>
      <c r="C96" s="9" t="s">
        <v>2089</v>
      </c>
      <c r="D96" s="9" t="s">
        <v>2378</v>
      </c>
      <c r="E96" s="9" t="s">
        <v>2379</v>
      </c>
      <c r="F96" s="9" t="s">
        <v>2382</v>
      </c>
      <c r="G96" s="21"/>
      <c r="H96" s="3" t="s">
        <v>2396</v>
      </c>
      <c r="I96" s="203">
        <v>95</v>
      </c>
      <c r="J96" s="21"/>
      <c r="K96" s="21"/>
      <c r="L96" s="21"/>
      <c r="M96" s="21"/>
      <c r="N96" s="21"/>
      <c r="O96" s="21"/>
      <c r="P96" s="21"/>
      <c r="Q96" s="21"/>
      <c r="R96" s="21"/>
      <c r="S96" s="21"/>
      <c r="T96" s="20"/>
      <c r="V96" s="500"/>
      <c r="W96" s="501"/>
      <c r="X96" s="500"/>
      <c r="Y96" s="504"/>
      <c r="Z96" s="504"/>
      <c r="AA96" s="504"/>
      <c r="AB96" s="504"/>
      <c r="AC96" s="504"/>
      <c r="AD96" s="501"/>
      <c r="AE96" s="507"/>
    </row>
    <row r="97" spans="1:31" x14ac:dyDescent="0.3">
      <c r="A97" s="18"/>
      <c r="B97" s="295" t="s">
        <v>127</v>
      </c>
      <c r="C97" s="295" t="s">
        <v>2312</v>
      </c>
      <c r="D97" s="181" t="s">
        <v>2384</v>
      </c>
      <c r="E97" s="181" t="s">
        <v>2389</v>
      </c>
      <c r="F97" s="181"/>
      <c r="G97" s="21"/>
      <c r="H97" s="3" t="s">
        <v>263</v>
      </c>
      <c r="I97" s="203">
        <v>0.75</v>
      </c>
      <c r="J97" s="21"/>
      <c r="K97" s="21"/>
      <c r="L97" s="21"/>
      <c r="M97" s="21"/>
      <c r="N97" s="21"/>
      <c r="O97" s="21"/>
      <c r="P97" s="21"/>
      <c r="Q97" s="21"/>
      <c r="R97" s="21"/>
      <c r="S97" s="21"/>
      <c r="T97" s="20"/>
      <c r="V97" s="496" t="s">
        <v>2319</v>
      </c>
      <c r="W97" s="497"/>
      <c r="X97" s="496" t="s">
        <v>2320</v>
      </c>
      <c r="Y97" s="502"/>
      <c r="Z97" s="502"/>
      <c r="AA97" s="502"/>
      <c r="AB97" s="502"/>
      <c r="AC97" s="502"/>
      <c r="AD97" s="497"/>
      <c r="AE97" s="505" t="s">
        <v>326</v>
      </c>
    </row>
    <row r="98" spans="1:31" x14ac:dyDescent="0.3">
      <c r="A98" s="18"/>
      <c r="B98" s="295" t="s">
        <v>1786</v>
      </c>
      <c r="C98" s="295" t="s">
        <v>2312</v>
      </c>
      <c r="D98" s="181" t="s">
        <v>2385</v>
      </c>
      <c r="E98" s="181" t="s">
        <v>2390</v>
      </c>
      <c r="F98" s="181"/>
      <c r="G98" s="21"/>
      <c r="H98" s="3" t="s">
        <v>2398</v>
      </c>
      <c r="I98" s="358">
        <v>0.05</v>
      </c>
      <c r="J98" s="21"/>
      <c r="K98" s="21"/>
      <c r="L98" s="21"/>
      <c r="M98" s="21"/>
      <c r="N98" s="21"/>
      <c r="O98" s="21"/>
      <c r="P98" s="21"/>
      <c r="Q98" s="21"/>
      <c r="R98" s="21"/>
      <c r="S98" s="21"/>
      <c r="T98" s="20"/>
      <c r="V98" s="498"/>
      <c r="W98" s="499"/>
      <c r="X98" s="498"/>
      <c r="Y98" s="503"/>
      <c r="Z98" s="503"/>
      <c r="AA98" s="503"/>
      <c r="AB98" s="503"/>
      <c r="AC98" s="503"/>
      <c r="AD98" s="499"/>
      <c r="AE98" s="506"/>
    </row>
    <row r="99" spans="1:31" x14ac:dyDescent="0.3">
      <c r="A99" s="18"/>
      <c r="B99" s="295" t="s">
        <v>2375</v>
      </c>
      <c r="C99" s="295" t="s">
        <v>2312</v>
      </c>
      <c r="D99" s="181" t="s">
        <v>2386</v>
      </c>
      <c r="E99" s="181" t="s">
        <v>2391</v>
      </c>
      <c r="F99" s="181"/>
      <c r="G99" s="21"/>
      <c r="H99" s="3" t="s">
        <v>2399</v>
      </c>
      <c r="I99" s="358">
        <v>0.3</v>
      </c>
      <c r="J99" s="21"/>
      <c r="K99" s="21"/>
      <c r="L99" s="21"/>
      <c r="M99" s="21"/>
      <c r="N99" s="21"/>
      <c r="O99" s="21"/>
      <c r="P99" s="21"/>
      <c r="Q99" s="21"/>
      <c r="R99" s="21"/>
      <c r="S99" s="21"/>
      <c r="T99" s="20"/>
      <c r="V99" s="500"/>
      <c r="W99" s="501"/>
      <c r="X99" s="500"/>
      <c r="Y99" s="504"/>
      <c r="Z99" s="504"/>
      <c r="AA99" s="504"/>
      <c r="AB99" s="504"/>
      <c r="AC99" s="504"/>
      <c r="AD99" s="501"/>
      <c r="AE99" s="507"/>
    </row>
    <row r="100" spans="1:31" ht="15" customHeight="1" x14ac:dyDescent="0.3">
      <c r="A100" s="18"/>
      <c r="B100" s="295" t="s">
        <v>2376</v>
      </c>
      <c r="C100" s="295" t="s">
        <v>2312</v>
      </c>
      <c r="D100" s="181" t="s">
        <v>2387</v>
      </c>
      <c r="E100" s="181" t="s">
        <v>2392</v>
      </c>
      <c r="F100" s="181"/>
      <c r="G100" s="21"/>
      <c r="H100" s="3" t="s">
        <v>2089</v>
      </c>
      <c r="I100" s="359" t="s">
        <v>2400</v>
      </c>
      <c r="J100" s="21"/>
      <c r="K100" s="21"/>
      <c r="L100" s="21"/>
      <c r="M100" s="21"/>
      <c r="N100" s="21"/>
      <c r="O100" s="21"/>
      <c r="P100" s="21"/>
      <c r="Q100" s="21"/>
      <c r="R100" s="21"/>
      <c r="S100" s="21"/>
      <c r="T100" s="20"/>
      <c r="V100" s="496" t="s">
        <v>2319</v>
      </c>
      <c r="W100" s="497"/>
      <c r="X100" s="496" t="s">
        <v>2320</v>
      </c>
      <c r="Y100" s="502"/>
      <c r="Z100" s="502"/>
      <c r="AA100" s="502"/>
      <c r="AB100" s="502"/>
      <c r="AC100" s="502"/>
      <c r="AD100" s="497"/>
      <c r="AE100" s="505" t="s">
        <v>326</v>
      </c>
    </row>
    <row r="101" spans="1:31" x14ac:dyDescent="0.3">
      <c r="A101" s="18"/>
      <c r="B101" s="295" t="s">
        <v>2377</v>
      </c>
      <c r="C101" s="295" t="s">
        <v>2312</v>
      </c>
      <c r="D101" s="181" t="s">
        <v>2388</v>
      </c>
      <c r="E101" s="181" t="s">
        <v>2393</v>
      </c>
      <c r="F101" s="181"/>
      <c r="G101" s="21"/>
      <c r="H101" s="85" t="s">
        <v>17</v>
      </c>
      <c r="I101" s="209" cm="1">
        <f t="array" ref="I101">_xll.OPT_VAL(I95,I96,I97,I98,I99,I100)</f>
        <v>9.915872824740056</v>
      </c>
      <c r="J101" s="21"/>
      <c r="K101" s="21"/>
      <c r="L101" s="21"/>
      <c r="M101" s="21"/>
      <c r="N101" s="21"/>
      <c r="O101" s="21"/>
      <c r="P101" s="21"/>
      <c r="Q101" s="21"/>
      <c r="R101" s="21"/>
      <c r="S101" s="21"/>
      <c r="T101" s="20"/>
      <c r="V101" s="498"/>
      <c r="W101" s="499"/>
      <c r="X101" s="498"/>
      <c r="Y101" s="503"/>
      <c r="Z101" s="503"/>
      <c r="AA101" s="503"/>
      <c r="AB101" s="503"/>
      <c r="AC101" s="503"/>
      <c r="AD101" s="499"/>
      <c r="AE101" s="506"/>
    </row>
    <row r="102" spans="1:31" x14ac:dyDescent="0.3">
      <c r="A102" s="18"/>
      <c r="B102" s="295" t="s">
        <v>2371</v>
      </c>
      <c r="C102" s="295" t="s">
        <v>2355</v>
      </c>
      <c r="D102" s="181" t="s">
        <v>2395</v>
      </c>
      <c r="E102" s="181" t="s">
        <v>2394</v>
      </c>
      <c r="F102" s="181" t="s">
        <v>2383</v>
      </c>
      <c r="G102" s="21"/>
      <c r="H102" s="21"/>
      <c r="I102" s="21"/>
      <c r="J102" s="21"/>
      <c r="K102" s="21"/>
      <c r="L102" s="21"/>
      <c r="M102" s="21"/>
      <c r="N102" s="21"/>
      <c r="O102" s="21"/>
      <c r="P102" s="21"/>
      <c r="Q102" s="21"/>
      <c r="R102" s="21"/>
      <c r="S102" s="21"/>
      <c r="T102" s="20"/>
      <c r="V102" s="500"/>
      <c r="W102" s="501"/>
      <c r="X102" s="500"/>
      <c r="Y102" s="504"/>
      <c r="Z102" s="504"/>
      <c r="AA102" s="504"/>
      <c r="AB102" s="504"/>
      <c r="AC102" s="504"/>
      <c r="AD102" s="501"/>
      <c r="AE102" s="507"/>
    </row>
    <row r="103" spans="1:31" x14ac:dyDescent="0.3">
      <c r="A103" s="18"/>
      <c r="B103" s="21"/>
      <c r="C103" s="21"/>
      <c r="D103" s="21"/>
      <c r="E103" s="21"/>
      <c r="F103" s="21"/>
      <c r="G103" s="21"/>
      <c r="H103" s="21"/>
      <c r="I103" s="21"/>
      <c r="J103" s="21"/>
      <c r="K103" s="21"/>
      <c r="L103" s="21"/>
      <c r="M103" s="21"/>
      <c r="N103" s="21"/>
      <c r="O103" s="21"/>
      <c r="P103" s="21"/>
      <c r="Q103" s="21"/>
      <c r="R103" s="21"/>
      <c r="S103" s="21"/>
      <c r="T103" s="20"/>
      <c r="V103" s="496" t="s">
        <v>2319</v>
      </c>
      <c r="W103" s="497"/>
      <c r="X103" s="496" t="s">
        <v>2320</v>
      </c>
      <c r="Y103" s="502"/>
      <c r="Z103" s="502"/>
      <c r="AA103" s="502"/>
      <c r="AB103" s="502"/>
      <c r="AC103" s="502"/>
      <c r="AD103" s="497"/>
      <c r="AE103" s="505" t="s">
        <v>326</v>
      </c>
    </row>
    <row r="104" spans="1:31" x14ac:dyDescent="0.3">
      <c r="A104" s="18"/>
      <c r="B104" s="21"/>
      <c r="C104" s="21"/>
      <c r="D104" s="21"/>
      <c r="E104" s="21"/>
      <c r="F104" s="21"/>
      <c r="G104" s="21"/>
      <c r="H104" s="21"/>
      <c r="I104" s="21"/>
      <c r="J104" s="21"/>
      <c r="K104" s="21"/>
      <c r="L104" s="21"/>
      <c r="M104" s="21"/>
      <c r="N104" s="21"/>
      <c r="O104" s="21"/>
      <c r="P104" s="21"/>
      <c r="Q104" s="21"/>
      <c r="R104" s="21"/>
      <c r="S104" s="21"/>
      <c r="T104" s="20"/>
      <c r="V104" s="498"/>
      <c r="W104" s="499"/>
      <c r="X104" s="498"/>
      <c r="Y104" s="503"/>
      <c r="Z104" s="503"/>
      <c r="AA104" s="503"/>
      <c r="AB104" s="503"/>
      <c r="AC104" s="503"/>
      <c r="AD104" s="499"/>
      <c r="AE104" s="506"/>
    </row>
    <row r="105" spans="1:31" x14ac:dyDescent="0.3">
      <c r="A105" s="18"/>
      <c r="B105" s="21"/>
      <c r="C105" s="21"/>
      <c r="D105" s="21"/>
      <c r="E105" s="21"/>
      <c r="F105" s="21"/>
      <c r="G105" s="21"/>
      <c r="H105" s="21"/>
      <c r="I105" s="21"/>
      <c r="J105" s="21"/>
      <c r="K105" s="21"/>
      <c r="L105" s="21"/>
      <c r="M105" s="21"/>
      <c r="N105" s="21"/>
      <c r="O105" s="21"/>
      <c r="P105" s="21"/>
      <c r="Q105" s="21"/>
      <c r="R105" s="21"/>
      <c r="S105" s="21"/>
      <c r="T105" s="20"/>
      <c r="V105" s="500"/>
      <c r="W105" s="501"/>
      <c r="X105" s="500"/>
      <c r="Y105" s="504"/>
      <c r="Z105" s="504"/>
      <c r="AA105" s="504"/>
      <c r="AB105" s="504"/>
      <c r="AC105" s="504"/>
      <c r="AD105" s="501"/>
      <c r="AE105" s="507"/>
    </row>
    <row r="106" spans="1:31" x14ac:dyDescent="0.3">
      <c r="A106" s="18"/>
      <c r="B106" s="21"/>
      <c r="C106" s="21"/>
      <c r="D106" s="21"/>
      <c r="E106" s="21"/>
      <c r="F106" s="21"/>
      <c r="G106" s="21"/>
      <c r="H106" s="21"/>
      <c r="I106" s="21"/>
      <c r="J106" s="21"/>
      <c r="K106" s="21"/>
      <c r="L106" s="21"/>
      <c r="M106" s="21"/>
      <c r="N106" s="21"/>
      <c r="O106" s="21"/>
      <c r="P106" s="21"/>
      <c r="Q106" s="21"/>
      <c r="R106" s="21"/>
      <c r="S106" s="21"/>
      <c r="T106" s="20"/>
      <c r="V106" s="126" t="s">
        <v>328</v>
      </c>
    </row>
    <row r="107" spans="1:31" x14ac:dyDescent="0.3">
      <c r="A107" s="18"/>
      <c r="B107" s="21"/>
      <c r="C107" s="21"/>
      <c r="D107" s="21"/>
      <c r="E107" s="21"/>
      <c r="F107" s="21"/>
      <c r="G107" s="21"/>
      <c r="H107" s="21"/>
      <c r="I107" s="21"/>
      <c r="J107" s="21"/>
      <c r="K107" s="21"/>
      <c r="L107" s="21"/>
      <c r="M107" s="21"/>
      <c r="N107" s="21"/>
      <c r="O107" s="21"/>
      <c r="P107" s="21"/>
      <c r="Q107" s="21"/>
      <c r="R107" s="21"/>
      <c r="S107" s="21"/>
      <c r="T107" s="20"/>
    </row>
    <row r="108" spans="1:31" x14ac:dyDescent="0.3">
      <c r="A108" s="18"/>
      <c r="B108" s="21"/>
      <c r="C108" s="21"/>
      <c r="D108" s="21"/>
      <c r="E108" s="21"/>
      <c r="F108" s="21"/>
      <c r="G108" s="21"/>
      <c r="H108" s="21"/>
      <c r="I108" s="21"/>
      <c r="J108" s="21"/>
      <c r="K108" s="21"/>
      <c r="L108" s="21"/>
      <c r="M108" s="21"/>
      <c r="N108" s="21"/>
      <c r="O108" s="21"/>
      <c r="P108" s="21"/>
      <c r="Q108" s="21"/>
      <c r="R108" s="21"/>
      <c r="S108" s="21"/>
      <c r="T108" s="20"/>
    </row>
    <row r="109" spans="1:31" x14ac:dyDescent="0.3">
      <c r="A109" s="18"/>
      <c r="B109" s="21"/>
      <c r="C109" s="21"/>
      <c r="D109" s="21"/>
      <c r="E109" s="21"/>
      <c r="F109" s="21"/>
      <c r="G109" s="21"/>
      <c r="H109" s="21"/>
      <c r="I109" s="21"/>
      <c r="J109" s="21"/>
      <c r="K109" s="21"/>
      <c r="L109" s="21"/>
      <c r="M109" s="21"/>
      <c r="N109" s="21"/>
      <c r="O109" s="21"/>
      <c r="P109" s="21"/>
      <c r="Q109" s="21"/>
      <c r="R109" s="21"/>
      <c r="S109" s="21"/>
      <c r="T109" s="20"/>
      <c r="V109" s="486" t="s">
        <v>3602</v>
      </c>
      <c r="W109" s="486"/>
      <c r="X109" s="486"/>
      <c r="Y109" s="486"/>
      <c r="Z109" s="486"/>
      <c r="AA109" s="486"/>
      <c r="AB109" s="486"/>
      <c r="AC109" s="486"/>
      <c r="AD109" s="486"/>
      <c r="AE109" s="486"/>
    </row>
    <row r="110" spans="1:31" x14ac:dyDescent="0.3">
      <c r="A110" s="18"/>
      <c r="B110" s="21"/>
      <c r="C110" s="21"/>
      <c r="D110" s="21"/>
      <c r="E110" s="21"/>
      <c r="F110" s="21"/>
      <c r="G110" s="21"/>
      <c r="H110" s="21"/>
      <c r="I110" s="21"/>
      <c r="J110" s="21"/>
      <c r="K110" s="21"/>
      <c r="L110" s="21"/>
      <c r="M110" s="21"/>
      <c r="N110" s="21"/>
      <c r="O110" s="21"/>
      <c r="P110" s="21"/>
      <c r="Q110" s="21"/>
      <c r="R110" s="21"/>
      <c r="S110" s="21"/>
      <c r="T110" s="20"/>
      <c r="V110" s="487" t="s">
        <v>333</v>
      </c>
      <c r="W110" s="487"/>
      <c r="X110" s="487" t="s">
        <v>3297</v>
      </c>
      <c r="Y110" s="487"/>
      <c r="Z110" s="487"/>
      <c r="AA110" s="487"/>
      <c r="AB110" s="487"/>
      <c r="AC110" s="487"/>
      <c r="AD110" s="487"/>
      <c r="AE110" s="487"/>
    </row>
    <row r="111" spans="1:31" x14ac:dyDescent="0.3">
      <c r="A111" s="18"/>
      <c r="B111" s="513" t="s">
        <v>2516</v>
      </c>
      <c r="C111" s="515"/>
      <c r="D111" s="21"/>
      <c r="E111" s="21"/>
      <c r="F111" s="179" t="s">
        <v>3599</v>
      </c>
      <c r="G111" s="21"/>
      <c r="H111" s="21"/>
      <c r="I111" s="21"/>
      <c r="J111" s="21"/>
      <c r="K111" s="21"/>
      <c r="L111" s="21"/>
      <c r="M111" s="21"/>
      <c r="N111" s="21"/>
      <c r="O111" s="21"/>
      <c r="P111" s="21"/>
      <c r="Q111" s="21"/>
      <c r="R111" s="21"/>
      <c r="S111" s="21"/>
      <c r="T111" s="20"/>
      <c r="V111" s="487"/>
      <c r="W111" s="487"/>
      <c r="X111" s="487"/>
      <c r="Y111" s="487"/>
      <c r="Z111" s="487"/>
      <c r="AA111" s="487"/>
      <c r="AB111" s="487"/>
      <c r="AC111" s="487"/>
      <c r="AD111" s="487"/>
      <c r="AE111" s="487"/>
    </row>
    <row r="112" spans="1:31" x14ac:dyDescent="0.3">
      <c r="A112" s="18"/>
      <c r="B112" s="9" t="s">
        <v>679</v>
      </c>
      <c r="C112" s="357" t="s">
        <v>2407</v>
      </c>
      <c r="D112" s="21"/>
      <c r="E112" s="21"/>
      <c r="F112" s="30" t="str" cm="1">
        <f t="array" ref="F112">_xll.U.COMPILE(C112,C114,B126:C126,C113)</f>
        <v>Function DoStuff compiled at 2026-05-03 21:26:30</v>
      </c>
      <c r="G112" s="21"/>
      <c r="H112" s="21"/>
      <c r="I112" s="21"/>
      <c r="J112" s="21"/>
      <c r="K112" s="21"/>
      <c r="L112" s="21"/>
      <c r="M112" s="21"/>
      <c r="N112" s="21"/>
      <c r="O112" s="21"/>
      <c r="P112" s="21"/>
      <c r="Q112" s="21"/>
      <c r="R112" s="21"/>
      <c r="S112" s="21"/>
      <c r="T112" s="20"/>
      <c r="V112" s="487"/>
      <c r="W112" s="487"/>
      <c r="X112" s="487"/>
      <c r="Y112" s="487"/>
      <c r="Z112" s="487"/>
      <c r="AA112" s="487"/>
      <c r="AB112" s="487"/>
      <c r="AC112" s="487"/>
      <c r="AD112" s="487"/>
      <c r="AE112" s="487"/>
    </row>
    <row r="113" spans="1:31" ht="14.55" customHeight="1" x14ac:dyDescent="0.3">
      <c r="A113" s="18"/>
      <c r="B113" s="9" t="s">
        <v>2409</v>
      </c>
      <c r="C113" s="357" t="s">
        <v>2410</v>
      </c>
      <c r="D113" s="21"/>
      <c r="E113" s="21"/>
      <c r="F113" s="21"/>
      <c r="G113" s="21"/>
      <c r="H113" s="21"/>
      <c r="I113" s="21"/>
      <c r="J113" s="21"/>
      <c r="K113" s="21"/>
      <c r="L113" s="21"/>
      <c r="M113" s="21"/>
      <c r="N113" s="21"/>
      <c r="O113" s="21"/>
      <c r="P113" s="21"/>
      <c r="Q113" s="21"/>
      <c r="R113" s="21"/>
      <c r="S113" s="21"/>
      <c r="T113" s="20"/>
      <c r="V113" s="483" t="s">
        <v>323</v>
      </c>
      <c r="W113" s="483"/>
      <c r="X113" s="483" t="s">
        <v>1</v>
      </c>
      <c r="Y113" s="483"/>
      <c r="Z113" s="483"/>
      <c r="AA113" s="483"/>
      <c r="AB113" s="483"/>
      <c r="AC113" s="483"/>
      <c r="AD113" s="483"/>
      <c r="AE113" s="85" t="s">
        <v>324</v>
      </c>
    </row>
    <row r="114" spans="1:31" ht="14.55" customHeight="1" x14ac:dyDescent="0.3">
      <c r="A114" s="18"/>
      <c r="B114" s="302" t="s">
        <v>1832</v>
      </c>
      <c r="C114" s="594" t="s">
        <v>3627</v>
      </c>
      <c r="D114" s="594"/>
      <c r="E114" s="21"/>
      <c r="F114" s="21"/>
      <c r="G114" s="21"/>
      <c r="H114" s="21"/>
      <c r="I114" s="21"/>
      <c r="J114" s="21"/>
      <c r="K114" s="21"/>
      <c r="L114" s="21"/>
      <c r="M114" s="21"/>
      <c r="N114" s="21"/>
      <c r="O114" s="21"/>
      <c r="P114" s="21"/>
      <c r="Q114" s="21"/>
      <c r="R114" s="21"/>
      <c r="S114" s="21"/>
      <c r="T114" s="20"/>
      <c r="V114" s="487" t="s">
        <v>2313</v>
      </c>
      <c r="W114" s="487"/>
      <c r="X114" s="487" t="s">
        <v>2318</v>
      </c>
      <c r="Y114" s="487"/>
      <c r="Z114" s="487"/>
      <c r="AA114" s="487"/>
      <c r="AB114" s="487"/>
      <c r="AC114" s="487"/>
      <c r="AD114" s="487"/>
      <c r="AE114" s="509" t="s">
        <v>325</v>
      </c>
    </row>
    <row r="115" spans="1:31" x14ac:dyDescent="0.3">
      <c r="A115" s="18"/>
      <c r="B115" s="21"/>
      <c r="C115" s="594"/>
      <c r="D115" s="594"/>
      <c r="E115" s="21"/>
      <c r="F115" s="3" t="s">
        <v>2417</v>
      </c>
      <c r="G115" s="21"/>
      <c r="H115" s="21"/>
      <c r="I115" s="21"/>
      <c r="J115" s="21"/>
      <c r="K115" s="21"/>
      <c r="L115" s="21"/>
      <c r="M115" s="21"/>
      <c r="N115" s="21"/>
      <c r="O115" s="21"/>
      <c r="P115" s="21"/>
      <c r="Q115" s="21"/>
      <c r="R115" s="21"/>
      <c r="S115" s="21"/>
      <c r="T115" s="20"/>
      <c r="V115" s="487"/>
      <c r="W115" s="487"/>
      <c r="X115" s="487"/>
      <c r="Y115" s="487"/>
      <c r="Z115" s="487"/>
      <c r="AA115" s="487"/>
      <c r="AB115" s="487"/>
      <c r="AC115" s="487"/>
      <c r="AD115" s="487"/>
      <c r="AE115" s="509"/>
    </row>
    <row r="116" spans="1:31" x14ac:dyDescent="0.3">
      <c r="A116" s="18"/>
      <c r="B116" s="21"/>
      <c r="C116" s="594"/>
      <c r="D116" s="594"/>
      <c r="E116" s="21"/>
      <c r="F116" s="30" t="str" cm="1">
        <f t="array" ref="F116">_xll.U.INVOKE("dostuff",(B129:C130,B133:C134))</f>
        <v>Total = 600000; millis = 57</v>
      </c>
      <c r="G116" s="21"/>
      <c r="H116" s="21"/>
      <c r="I116" s="21"/>
      <c r="J116" s="21"/>
      <c r="K116" s="21"/>
      <c r="L116" s="21"/>
      <c r="M116" s="21"/>
      <c r="N116" s="21"/>
      <c r="O116" s="21"/>
      <c r="P116" s="21"/>
      <c r="Q116" s="21"/>
      <c r="R116" s="21"/>
      <c r="S116" s="21"/>
      <c r="T116" s="20"/>
      <c r="V116" s="487"/>
      <c r="W116" s="487"/>
      <c r="X116" s="487"/>
      <c r="Y116" s="487"/>
      <c r="Z116" s="487"/>
      <c r="AA116" s="487"/>
      <c r="AB116" s="487"/>
      <c r="AC116" s="487"/>
      <c r="AD116" s="487"/>
      <c r="AE116" s="509"/>
    </row>
    <row r="117" spans="1:31" x14ac:dyDescent="0.3">
      <c r="A117" s="18"/>
      <c r="B117" s="21"/>
      <c r="C117" s="594"/>
      <c r="D117" s="594"/>
      <c r="E117" s="21"/>
      <c r="F117" s="21"/>
      <c r="G117" s="21"/>
      <c r="I117" s="21"/>
      <c r="J117" s="21"/>
      <c r="K117" s="21"/>
      <c r="L117" s="21"/>
      <c r="M117" s="21"/>
      <c r="N117" s="21"/>
      <c r="O117" s="21"/>
      <c r="P117" s="21"/>
      <c r="Q117" s="21"/>
      <c r="R117" s="21"/>
      <c r="S117" s="21"/>
      <c r="T117" s="20"/>
      <c r="V117" s="496" t="s">
        <v>2321</v>
      </c>
      <c r="W117" s="497"/>
      <c r="X117" s="496" t="s">
        <v>2322</v>
      </c>
      <c r="Y117" s="502"/>
      <c r="Z117" s="502"/>
      <c r="AA117" s="502"/>
      <c r="AB117" s="502"/>
      <c r="AC117" s="502"/>
      <c r="AD117" s="497"/>
      <c r="AE117" s="505" t="s">
        <v>326</v>
      </c>
    </row>
    <row r="118" spans="1:31" x14ac:dyDescent="0.3">
      <c r="A118" s="18"/>
      <c r="B118" s="21"/>
      <c r="C118" s="594"/>
      <c r="D118" s="594"/>
      <c r="E118" s="21"/>
      <c r="F118" s="21"/>
      <c r="G118" s="21"/>
      <c r="H118" s="21"/>
      <c r="I118" s="21"/>
      <c r="J118" s="21"/>
      <c r="K118" s="21"/>
      <c r="L118" s="21"/>
      <c r="M118" s="21"/>
      <c r="N118" s="21"/>
      <c r="O118" s="21"/>
      <c r="P118" s="21"/>
      <c r="Q118" s="21"/>
      <c r="R118" s="21"/>
      <c r="S118" s="21"/>
      <c r="T118" s="20"/>
      <c r="V118" s="498"/>
      <c r="W118" s="499"/>
      <c r="X118" s="498"/>
      <c r="Y118" s="503"/>
      <c r="Z118" s="503"/>
      <c r="AA118" s="503"/>
      <c r="AB118" s="503"/>
      <c r="AC118" s="503"/>
      <c r="AD118" s="499"/>
      <c r="AE118" s="506"/>
    </row>
    <row r="119" spans="1:31" x14ac:dyDescent="0.3">
      <c r="A119" s="18"/>
      <c r="B119" s="21"/>
      <c r="C119" s="594"/>
      <c r="D119" s="594"/>
      <c r="E119" s="21"/>
      <c r="F119" s="21"/>
      <c r="G119" s="21"/>
      <c r="H119" s="21"/>
      <c r="I119" s="21"/>
      <c r="J119" s="21"/>
      <c r="K119" s="21"/>
      <c r="L119" s="21"/>
      <c r="M119" s="21"/>
      <c r="N119" s="21"/>
      <c r="O119" s="21"/>
      <c r="P119" s="21"/>
      <c r="Q119" s="21"/>
      <c r="R119" s="21"/>
      <c r="S119" s="21"/>
      <c r="T119" s="20"/>
      <c r="V119" s="500"/>
      <c r="W119" s="501"/>
      <c r="X119" s="500"/>
      <c r="Y119" s="504"/>
      <c r="Z119" s="504"/>
      <c r="AA119" s="504"/>
      <c r="AB119" s="504"/>
      <c r="AC119" s="504"/>
      <c r="AD119" s="501"/>
      <c r="AE119" s="507"/>
    </row>
    <row r="120" spans="1:31" x14ac:dyDescent="0.3">
      <c r="A120" s="18"/>
      <c r="B120" s="21"/>
      <c r="C120" s="594"/>
      <c r="D120" s="594"/>
      <c r="E120" s="21"/>
      <c r="F120" s="21"/>
      <c r="G120" s="21"/>
      <c r="H120" s="21"/>
      <c r="I120" s="21"/>
      <c r="J120" s="21"/>
      <c r="K120" s="21"/>
      <c r="L120" s="21"/>
      <c r="M120" s="21"/>
      <c r="N120" s="21"/>
      <c r="O120" s="21"/>
      <c r="P120" s="21"/>
      <c r="Q120" s="21"/>
      <c r="R120" s="21"/>
      <c r="S120" s="21"/>
      <c r="T120" s="20"/>
      <c r="V120" s="496" t="s">
        <v>2319</v>
      </c>
      <c r="W120" s="497"/>
      <c r="X120" s="496" t="s">
        <v>2323</v>
      </c>
      <c r="Y120" s="502"/>
      <c r="Z120" s="502"/>
      <c r="AA120" s="502"/>
      <c r="AB120" s="502"/>
      <c r="AC120" s="502"/>
      <c r="AD120" s="497"/>
      <c r="AE120" s="505" t="s">
        <v>326</v>
      </c>
    </row>
    <row r="121" spans="1:31" x14ac:dyDescent="0.3">
      <c r="A121" s="18"/>
      <c r="B121" s="21"/>
      <c r="C121" s="594"/>
      <c r="D121" s="594"/>
      <c r="E121" s="21"/>
      <c r="F121" s="21"/>
      <c r="G121" s="21"/>
      <c r="H121" s="21"/>
      <c r="I121" s="21"/>
      <c r="J121" s="21"/>
      <c r="K121" s="21"/>
      <c r="L121" s="21"/>
      <c r="M121" s="21"/>
      <c r="N121" s="21"/>
      <c r="O121" s="21"/>
      <c r="P121" s="21"/>
      <c r="Q121" s="21"/>
      <c r="R121" s="21"/>
      <c r="S121" s="21"/>
      <c r="T121" s="20"/>
      <c r="V121" s="498"/>
      <c r="W121" s="499"/>
      <c r="X121" s="498"/>
      <c r="Y121" s="503"/>
      <c r="Z121" s="503"/>
      <c r="AA121" s="503"/>
      <c r="AB121" s="503"/>
      <c r="AC121" s="503"/>
      <c r="AD121" s="499"/>
      <c r="AE121" s="506"/>
    </row>
    <row r="122" spans="1:31" x14ac:dyDescent="0.3">
      <c r="A122" s="18"/>
      <c r="B122" s="21"/>
      <c r="C122" s="594"/>
      <c r="D122" s="594"/>
      <c r="E122" s="21"/>
      <c r="F122" s="21"/>
      <c r="G122" s="21"/>
      <c r="H122" s="21"/>
      <c r="I122" s="21"/>
      <c r="J122" s="21"/>
      <c r="K122" s="21"/>
      <c r="L122" s="21"/>
      <c r="M122" s="21"/>
      <c r="N122" s="21"/>
      <c r="O122" s="21"/>
      <c r="P122" s="21"/>
      <c r="Q122" s="21"/>
      <c r="R122" s="21"/>
      <c r="S122" s="21"/>
      <c r="T122" s="20"/>
      <c r="V122" s="500"/>
      <c r="W122" s="501"/>
      <c r="X122" s="500"/>
      <c r="Y122" s="504"/>
      <c r="Z122" s="504"/>
      <c r="AA122" s="504"/>
      <c r="AB122" s="504"/>
      <c r="AC122" s="504"/>
      <c r="AD122" s="501"/>
      <c r="AE122" s="507"/>
    </row>
    <row r="123" spans="1:31" x14ac:dyDescent="0.3">
      <c r="A123" s="18"/>
      <c r="B123" s="21"/>
      <c r="C123" s="594"/>
      <c r="D123" s="594"/>
      <c r="E123" s="21"/>
      <c r="F123" s="21"/>
      <c r="G123" s="21"/>
      <c r="H123" s="21"/>
      <c r="I123" s="21"/>
      <c r="J123" s="21"/>
      <c r="K123" s="21"/>
      <c r="L123" s="21"/>
      <c r="M123" s="21"/>
      <c r="N123" s="21"/>
      <c r="O123" s="21"/>
      <c r="P123" s="21"/>
      <c r="Q123" s="21"/>
      <c r="R123" s="21"/>
      <c r="S123" s="21"/>
      <c r="T123" s="20"/>
      <c r="V123" s="496" t="s">
        <v>2319</v>
      </c>
      <c r="W123" s="497"/>
      <c r="X123" s="496" t="s">
        <v>2320</v>
      </c>
      <c r="Y123" s="502"/>
      <c r="Z123" s="502"/>
      <c r="AA123" s="502"/>
      <c r="AB123" s="502"/>
      <c r="AC123" s="502"/>
      <c r="AD123" s="497"/>
      <c r="AE123" s="505" t="s">
        <v>326</v>
      </c>
    </row>
    <row r="124" spans="1:31" x14ac:dyDescent="0.3">
      <c r="A124" s="18"/>
      <c r="B124" s="21"/>
      <c r="C124" s="21"/>
      <c r="D124" s="21"/>
      <c r="E124" s="21"/>
      <c r="F124" s="21"/>
      <c r="G124" s="21"/>
      <c r="H124" s="21"/>
      <c r="I124" s="21"/>
      <c r="J124" s="21"/>
      <c r="K124" s="21"/>
      <c r="L124" s="21"/>
      <c r="M124" s="21"/>
      <c r="N124" s="21"/>
      <c r="O124" s="21"/>
      <c r="P124" s="21"/>
      <c r="Q124" s="21"/>
      <c r="R124" s="21"/>
      <c r="S124" s="21"/>
      <c r="T124" s="20"/>
      <c r="V124" s="498"/>
      <c r="W124" s="499"/>
      <c r="X124" s="498"/>
      <c r="Y124" s="503"/>
      <c r="Z124" s="503"/>
      <c r="AA124" s="503"/>
      <c r="AB124" s="503"/>
      <c r="AC124" s="503"/>
      <c r="AD124" s="499"/>
      <c r="AE124" s="506"/>
    </row>
    <row r="125" spans="1:31" x14ac:dyDescent="0.3">
      <c r="A125" s="18"/>
      <c r="B125" s="9" t="s">
        <v>323</v>
      </c>
      <c r="C125" s="9" t="s">
        <v>2089</v>
      </c>
      <c r="D125" s="21"/>
      <c r="E125" s="21"/>
      <c r="F125" s="21"/>
      <c r="G125" s="21"/>
      <c r="H125" s="21"/>
      <c r="I125" s="21"/>
      <c r="J125" s="21"/>
      <c r="K125" s="21"/>
      <c r="L125" s="21"/>
      <c r="M125" s="21"/>
      <c r="N125" s="21"/>
      <c r="O125" s="21"/>
      <c r="P125" s="21"/>
      <c r="Q125" s="21"/>
      <c r="R125" s="21"/>
      <c r="S125" s="21"/>
      <c r="T125" s="20"/>
      <c r="V125" s="500"/>
      <c r="W125" s="501"/>
      <c r="X125" s="500"/>
      <c r="Y125" s="504"/>
      <c r="Z125" s="504"/>
      <c r="AA125" s="504"/>
      <c r="AB125" s="504"/>
      <c r="AC125" s="504"/>
      <c r="AD125" s="501"/>
      <c r="AE125" s="507"/>
    </row>
    <row r="126" spans="1:31" x14ac:dyDescent="0.3">
      <c r="A126" s="18"/>
      <c r="B126" s="295" t="s">
        <v>2418</v>
      </c>
      <c r="C126" s="295" t="s">
        <v>2414</v>
      </c>
      <c r="D126" s="21"/>
      <c r="E126" s="21"/>
      <c r="F126" s="21"/>
      <c r="G126" s="21"/>
      <c r="H126" s="21"/>
      <c r="I126" s="21"/>
      <c r="J126" s="21"/>
      <c r="K126" s="21"/>
      <c r="L126" s="21"/>
      <c r="M126" s="21"/>
      <c r="N126" s="21"/>
      <c r="O126" s="21"/>
      <c r="P126" s="21"/>
      <c r="Q126" s="21"/>
      <c r="R126" s="21"/>
      <c r="S126" s="21"/>
      <c r="T126" s="20"/>
      <c r="V126" s="496" t="s">
        <v>2319</v>
      </c>
      <c r="W126" s="497"/>
      <c r="X126" s="496" t="s">
        <v>2320</v>
      </c>
      <c r="Y126" s="502"/>
      <c r="Z126" s="502"/>
      <c r="AA126" s="502"/>
      <c r="AB126" s="502"/>
      <c r="AC126" s="502"/>
      <c r="AD126" s="497"/>
      <c r="AE126" s="505" t="s">
        <v>326</v>
      </c>
    </row>
    <row r="127" spans="1:31" x14ac:dyDescent="0.3">
      <c r="A127" s="18"/>
      <c r="B127" s="21"/>
      <c r="C127" s="21"/>
      <c r="D127" s="21"/>
      <c r="E127" s="21"/>
      <c r="F127" s="21"/>
      <c r="G127" s="21"/>
      <c r="H127" s="21"/>
      <c r="I127" s="21"/>
      <c r="J127" s="21"/>
      <c r="K127" s="21"/>
      <c r="L127" s="21"/>
      <c r="M127" s="21"/>
      <c r="N127" s="21"/>
      <c r="O127" s="21"/>
      <c r="P127" s="21"/>
      <c r="Q127" s="21"/>
      <c r="R127" s="21"/>
      <c r="S127" s="21"/>
      <c r="T127" s="20"/>
      <c r="V127" s="498"/>
      <c r="W127" s="499"/>
      <c r="X127" s="498"/>
      <c r="Y127" s="503"/>
      <c r="Z127" s="503"/>
      <c r="AA127" s="503"/>
      <c r="AB127" s="503"/>
      <c r="AC127" s="503"/>
      <c r="AD127" s="499"/>
      <c r="AE127" s="506"/>
    </row>
    <row r="128" spans="1:31" x14ac:dyDescent="0.3">
      <c r="A128" s="18"/>
      <c r="B128" s="520" t="s">
        <v>2415</v>
      </c>
      <c r="C128" s="520"/>
      <c r="D128" s="21"/>
      <c r="E128" s="21"/>
      <c r="F128" s="21"/>
      <c r="G128" s="21"/>
      <c r="H128" s="21"/>
      <c r="I128" s="21"/>
      <c r="J128" s="21"/>
      <c r="K128" s="21"/>
      <c r="L128" s="21"/>
      <c r="M128" s="21"/>
      <c r="N128" s="21"/>
      <c r="O128" s="21"/>
      <c r="P128" s="21"/>
      <c r="Q128" s="21"/>
      <c r="R128" s="21"/>
      <c r="S128" s="21"/>
      <c r="T128" s="20"/>
      <c r="V128" s="500"/>
      <c r="W128" s="501"/>
      <c r="X128" s="500"/>
      <c r="Y128" s="504"/>
      <c r="Z128" s="504"/>
      <c r="AA128" s="504"/>
      <c r="AB128" s="504"/>
      <c r="AC128" s="504"/>
      <c r="AD128" s="501"/>
      <c r="AE128" s="507"/>
    </row>
    <row r="129" spans="1:31" x14ac:dyDescent="0.3">
      <c r="A129" s="18"/>
      <c r="B129" s="181">
        <v>1</v>
      </c>
      <c r="C129" s="181">
        <v>2</v>
      </c>
      <c r="D129" s="21"/>
      <c r="E129" s="21"/>
      <c r="F129" s="21"/>
      <c r="G129" s="21"/>
      <c r="H129" s="21"/>
      <c r="I129" s="21"/>
      <c r="J129" s="21"/>
      <c r="K129" s="21"/>
      <c r="L129" s="21"/>
      <c r="M129" s="21"/>
      <c r="N129" s="21"/>
      <c r="O129" s="21"/>
      <c r="P129" s="21"/>
      <c r="Q129" s="21"/>
      <c r="R129" s="21"/>
      <c r="S129" s="21"/>
      <c r="T129" s="20"/>
      <c r="V129" s="496" t="s">
        <v>2319</v>
      </c>
      <c r="W129" s="497"/>
      <c r="X129" s="496" t="s">
        <v>2320</v>
      </c>
      <c r="Y129" s="502"/>
      <c r="Z129" s="502"/>
      <c r="AA129" s="502"/>
      <c r="AB129" s="502"/>
      <c r="AC129" s="502"/>
      <c r="AD129" s="497"/>
      <c r="AE129" s="505" t="s">
        <v>326</v>
      </c>
    </row>
    <row r="130" spans="1:31" x14ac:dyDescent="0.3">
      <c r="A130" s="18"/>
      <c r="B130" s="181">
        <v>3</v>
      </c>
      <c r="C130" s="181">
        <v>4</v>
      </c>
      <c r="D130" s="21"/>
      <c r="E130" s="21"/>
      <c r="F130" s="21"/>
      <c r="G130" s="21"/>
      <c r="H130" s="21"/>
      <c r="I130" s="21"/>
      <c r="J130" s="21"/>
      <c r="K130" s="21"/>
      <c r="L130" s="21"/>
      <c r="M130" s="21"/>
      <c r="N130" s="21"/>
      <c r="O130" s="21"/>
      <c r="P130" s="21"/>
      <c r="Q130" s="21"/>
      <c r="R130" s="21"/>
      <c r="S130" s="21"/>
      <c r="T130" s="20"/>
      <c r="V130" s="498"/>
      <c r="W130" s="499"/>
      <c r="X130" s="498"/>
      <c r="Y130" s="503"/>
      <c r="Z130" s="503"/>
      <c r="AA130" s="503"/>
      <c r="AB130" s="503"/>
      <c r="AC130" s="503"/>
      <c r="AD130" s="499"/>
      <c r="AE130" s="506"/>
    </row>
    <row r="131" spans="1:31" x14ac:dyDescent="0.3">
      <c r="A131" s="18"/>
      <c r="B131" s="21"/>
      <c r="C131" s="21"/>
      <c r="D131" s="21"/>
      <c r="E131" s="21"/>
      <c r="F131" s="21"/>
      <c r="G131" s="21"/>
      <c r="H131" s="21"/>
      <c r="I131" s="21"/>
      <c r="J131" s="21"/>
      <c r="K131" s="21"/>
      <c r="L131" s="21"/>
      <c r="M131" s="21"/>
      <c r="N131" s="21"/>
      <c r="O131" s="21"/>
      <c r="P131" s="21"/>
      <c r="Q131" s="21"/>
      <c r="R131" s="21"/>
      <c r="S131" s="21"/>
      <c r="T131" s="20"/>
      <c r="V131" s="500"/>
      <c r="W131" s="501"/>
      <c r="X131" s="500"/>
      <c r="Y131" s="504"/>
      <c r="Z131" s="504"/>
      <c r="AA131" s="504"/>
      <c r="AB131" s="504"/>
      <c r="AC131" s="504"/>
      <c r="AD131" s="501"/>
      <c r="AE131" s="507"/>
    </row>
    <row r="132" spans="1:31" x14ac:dyDescent="0.3">
      <c r="A132" s="18"/>
      <c r="B132" s="520" t="s">
        <v>2416</v>
      </c>
      <c r="C132" s="520"/>
      <c r="D132" s="21"/>
      <c r="E132" s="21"/>
      <c r="F132" s="21"/>
      <c r="G132" s="21"/>
      <c r="H132" s="21"/>
      <c r="I132" s="21"/>
      <c r="J132" s="21"/>
      <c r="K132" s="21"/>
      <c r="L132" s="21"/>
      <c r="M132" s="21"/>
      <c r="N132" s="21"/>
      <c r="O132" s="21"/>
      <c r="P132" s="21"/>
      <c r="Q132" s="21"/>
      <c r="R132" s="21"/>
      <c r="S132" s="21"/>
      <c r="T132" s="20"/>
      <c r="V132" s="496" t="s">
        <v>2319</v>
      </c>
      <c r="W132" s="497"/>
      <c r="X132" s="496" t="s">
        <v>2320</v>
      </c>
      <c r="Y132" s="502"/>
      <c r="Z132" s="502"/>
      <c r="AA132" s="502"/>
      <c r="AB132" s="502"/>
      <c r="AC132" s="502"/>
      <c r="AD132" s="497"/>
      <c r="AE132" s="505" t="s">
        <v>326</v>
      </c>
    </row>
    <row r="133" spans="1:31" x14ac:dyDescent="0.3">
      <c r="A133" s="18"/>
      <c r="B133" s="181">
        <v>11</v>
      </c>
      <c r="C133" s="181">
        <v>12</v>
      </c>
      <c r="D133" s="21"/>
      <c r="E133" s="21"/>
      <c r="F133" s="21"/>
      <c r="G133" s="21"/>
      <c r="H133" s="21"/>
      <c r="I133" s="21"/>
      <c r="J133" s="21"/>
      <c r="K133" s="21"/>
      <c r="L133" s="21"/>
      <c r="M133" s="21"/>
      <c r="N133" s="21"/>
      <c r="O133" s="21"/>
      <c r="P133" s="21"/>
      <c r="Q133" s="21"/>
      <c r="R133" s="21"/>
      <c r="S133" s="21"/>
      <c r="T133" s="20"/>
      <c r="V133" s="498"/>
      <c r="W133" s="499"/>
      <c r="X133" s="498"/>
      <c r="Y133" s="503"/>
      <c r="Z133" s="503"/>
      <c r="AA133" s="503"/>
      <c r="AB133" s="503"/>
      <c r="AC133" s="503"/>
      <c r="AD133" s="499"/>
      <c r="AE133" s="506"/>
    </row>
    <row r="134" spans="1:31" x14ac:dyDescent="0.3">
      <c r="A134" s="18"/>
      <c r="B134" s="181">
        <v>13</v>
      </c>
      <c r="C134" s="181">
        <v>14</v>
      </c>
      <c r="D134" s="21"/>
      <c r="E134" s="21"/>
      <c r="F134" s="21"/>
      <c r="G134" s="21"/>
      <c r="H134" s="21"/>
      <c r="I134" s="21"/>
      <c r="J134" s="21"/>
      <c r="K134" s="21"/>
      <c r="L134" s="21"/>
      <c r="M134" s="21"/>
      <c r="N134" s="21"/>
      <c r="O134" s="21"/>
      <c r="P134" s="21"/>
      <c r="Q134" s="21"/>
      <c r="R134" s="21"/>
      <c r="S134" s="21"/>
      <c r="T134" s="20"/>
      <c r="V134" s="500"/>
      <c r="W134" s="501"/>
      <c r="X134" s="500"/>
      <c r="Y134" s="504"/>
      <c r="Z134" s="504"/>
      <c r="AA134" s="504"/>
      <c r="AB134" s="504"/>
      <c r="AC134" s="504"/>
      <c r="AD134" s="501"/>
      <c r="AE134" s="507"/>
    </row>
    <row r="135" spans="1:31" x14ac:dyDescent="0.3">
      <c r="A135" s="18"/>
      <c r="B135" s="21"/>
      <c r="C135" s="21"/>
      <c r="D135" s="21"/>
      <c r="E135" s="21"/>
      <c r="F135" s="21"/>
      <c r="G135" s="21"/>
      <c r="H135" s="21"/>
      <c r="I135" s="21"/>
      <c r="J135" s="21"/>
      <c r="K135" s="21"/>
      <c r="L135" s="21"/>
      <c r="M135" s="21"/>
      <c r="N135" s="21"/>
      <c r="O135" s="21"/>
      <c r="P135" s="21"/>
      <c r="Q135" s="21"/>
      <c r="R135" s="21"/>
      <c r="S135" s="21"/>
      <c r="T135" s="20"/>
      <c r="V135" s="496" t="s">
        <v>2319</v>
      </c>
      <c r="W135" s="497"/>
      <c r="X135" s="496" t="s">
        <v>2320</v>
      </c>
      <c r="Y135" s="502"/>
      <c r="Z135" s="502"/>
      <c r="AA135" s="502"/>
      <c r="AB135" s="502"/>
      <c r="AC135" s="502"/>
      <c r="AD135" s="497"/>
      <c r="AE135" s="505" t="s">
        <v>326</v>
      </c>
    </row>
    <row r="136" spans="1:31" x14ac:dyDescent="0.3">
      <c r="A136" s="18"/>
      <c r="B136" s="21"/>
      <c r="C136" s="21"/>
      <c r="D136" s="21"/>
      <c r="E136" s="21"/>
      <c r="F136" s="21"/>
      <c r="G136" s="21"/>
      <c r="H136" s="21"/>
      <c r="I136" s="21"/>
      <c r="J136" s="21"/>
      <c r="K136" s="21"/>
      <c r="L136" s="21"/>
      <c r="M136" s="21"/>
      <c r="N136" s="21"/>
      <c r="O136" s="21"/>
      <c r="P136" s="21"/>
      <c r="Q136" s="21"/>
      <c r="R136" s="21"/>
      <c r="S136" s="21"/>
      <c r="T136" s="20"/>
      <c r="V136" s="498"/>
      <c r="W136" s="499"/>
      <c r="X136" s="498"/>
      <c r="Y136" s="503"/>
      <c r="Z136" s="503"/>
      <c r="AA136" s="503"/>
      <c r="AB136" s="503"/>
      <c r="AC136" s="503"/>
      <c r="AD136" s="499"/>
      <c r="AE136" s="506"/>
    </row>
    <row r="137" spans="1:31" x14ac:dyDescent="0.3">
      <c r="A137" s="18"/>
      <c r="B137" s="9" t="s">
        <v>679</v>
      </c>
      <c r="C137" s="357" t="s">
        <v>2419</v>
      </c>
      <c r="D137" s="21"/>
      <c r="E137" s="179" t="s">
        <v>3599</v>
      </c>
      <c r="F137" s="21"/>
      <c r="G137" s="21"/>
      <c r="H137" s="21"/>
      <c r="I137" s="21"/>
      <c r="J137" s="21"/>
      <c r="K137" s="21"/>
      <c r="L137" s="21"/>
      <c r="M137" s="21"/>
      <c r="N137" s="21"/>
      <c r="O137" s="21"/>
      <c r="P137" s="21"/>
      <c r="Q137" s="21"/>
      <c r="R137" s="21"/>
      <c r="S137" s="21"/>
      <c r="T137" s="20"/>
      <c r="V137" s="500"/>
      <c r="W137" s="501"/>
      <c r="X137" s="500"/>
      <c r="Y137" s="504"/>
      <c r="Z137" s="504"/>
      <c r="AA137" s="504"/>
      <c r="AB137" s="504"/>
      <c r="AC137" s="504"/>
      <c r="AD137" s="501"/>
      <c r="AE137" s="507"/>
    </row>
    <row r="138" spans="1:31" x14ac:dyDescent="0.3">
      <c r="A138" s="18"/>
      <c r="B138" s="9" t="s">
        <v>1832</v>
      </c>
      <c r="C138" s="295" t="s">
        <v>3628</v>
      </c>
      <c r="D138" s="21"/>
      <c r="E138" s="30" t="str" cm="1">
        <f t="array" ref="E138">_xll.U.COMPILE(C137,C138,B141:C141)</f>
        <v>Function GetGlobalVal compiled at 2026-05-03 21:26:20</v>
      </c>
      <c r="F138" s="21"/>
      <c r="G138" s="21"/>
      <c r="H138" s="21"/>
      <c r="I138" s="21"/>
      <c r="J138" s="21"/>
      <c r="K138" s="21"/>
      <c r="L138" s="21"/>
      <c r="M138" s="21"/>
      <c r="N138" s="21"/>
      <c r="O138" s="21"/>
      <c r="P138" s="21"/>
      <c r="Q138" s="21"/>
      <c r="R138" s="21"/>
      <c r="S138" s="21"/>
      <c r="T138" s="20"/>
      <c r="V138" s="496" t="s">
        <v>2319</v>
      </c>
      <c r="W138" s="497"/>
      <c r="X138" s="496" t="s">
        <v>2320</v>
      </c>
      <c r="Y138" s="502"/>
      <c r="Z138" s="502"/>
      <c r="AA138" s="502"/>
      <c r="AB138" s="502"/>
      <c r="AC138" s="502"/>
      <c r="AD138" s="497"/>
      <c r="AE138" s="505" t="s">
        <v>326</v>
      </c>
    </row>
    <row r="139" spans="1:31" x14ac:dyDescent="0.3">
      <c r="A139" s="18"/>
      <c r="B139" s="21"/>
      <c r="C139" s="21"/>
      <c r="D139" s="21"/>
      <c r="E139" s="21"/>
      <c r="F139" s="21"/>
      <c r="G139" s="21"/>
      <c r="H139" s="21"/>
      <c r="I139" s="21"/>
      <c r="J139" s="21"/>
      <c r="K139" s="21"/>
      <c r="L139" s="21"/>
      <c r="M139" s="21"/>
      <c r="N139" s="21"/>
      <c r="O139" s="21"/>
      <c r="P139" s="21"/>
      <c r="Q139" s="21"/>
      <c r="R139" s="21"/>
      <c r="S139" s="21"/>
      <c r="T139" s="20"/>
      <c r="V139" s="498"/>
      <c r="W139" s="499"/>
      <c r="X139" s="498"/>
      <c r="Y139" s="503"/>
      <c r="Z139" s="503"/>
      <c r="AA139" s="503"/>
      <c r="AB139" s="503"/>
      <c r="AC139" s="503"/>
      <c r="AD139" s="499"/>
      <c r="AE139" s="506"/>
    </row>
    <row r="140" spans="1:31" x14ac:dyDescent="0.3">
      <c r="A140" s="18"/>
      <c r="B140" s="494" t="s">
        <v>323</v>
      </c>
      <c r="C140" s="495"/>
      <c r="D140" s="21"/>
      <c r="E140" s="3" t="s">
        <v>2417</v>
      </c>
      <c r="F140" s="21"/>
      <c r="G140" s="21"/>
      <c r="H140" s="21"/>
      <c r="I140" s="21"/>
      <c r="J140" s="21"/>
      <c r="K140" s="21"/>
      <c r="L140" s="21"/>
      <c r="M140" s="21"/>
      <c r="N140" s="21"/>
      <c r="O140" s="21"/>
      <c r="P140" s="21"/>
      <c r="Q140" s="21"/>
      <c r="R140" s="21"/>
      <c r="S140" s="21"/>
      <c r="T140" s="20"/>
      <c r="V140" s="500"/>
      <c r="W140" s="501"/>
      <c r="X140" s="500"/>
      <c r="Y140" s="504"/>
      <c r="Z140" s="504"/>
      <c r="AA140" s="504"/>
      <c r="AB140" s="504"/>
      <c r="AC140" s="504"/>
      <c r="AD140" s="501"/>
      <c r="AE140" s="507"/>
    </row>
    <row r="141" spans="1:31" ht="15" customHeight="1" x14ac:dyDescent="0.3">
      <c r="A141" s="18"/>
      <c r="B141" s="295" t="s">
        <v>2420</v>
      </c>
      <c r="C141" s="295" t="s">
        <v>2355</v>
      </c>
      <c r="D141" s="21"/>
      <c r="E141" s="30" t="str" cm="1">
        <f t="array" ref="E141">_xll.U.INVOKE(C137,"sum_time")</f>
        <v>Total = 600000; millis = 72</v>
      </c>
      <c r="F141" s="21"/>
      <c r="G141" s="21"/>
      <c r="H141" s="21"/>
      <c r="I141" s="21"/>
      <c r="J141" s="21"/>
      <c r="K141" s="21"/>
      <c r="L141" s="21"/>
      <c r="M141" s="21"/>
      <c r="N141" s="21"/>
      <c r="O141" s="21"/>
      <c r="P141" s="21"/>
      <c r="Q141" s="21"/>
      <c r="R141" s="21"/>
      <c r="S141" s="21"/>
      <c r="T141" s="20"/>
      <c r="V141" s="496" t="s">
        <v>2319</v>
      </c>
      <c r="W141" s="497"/>
      <c r="X141" s="496" t="s">
        <v>2320</v>
      </c>
      <c r="Y141" s="502"/>
      <c r="Z141" s="502"/>
      <c r="AA141" s="502"/>
      <c r="AB141" s="502"/>
      <c r="AC141" s="502"/>
      <c r="AD141" s="497"/>
      <c r="AE141" s="505" t="s">
        <v>326</v>
      </c>
    </row>
    <row r="142" spans="1:31" x14ac:dyDescent="0.3">
      <c r="A142" s="18"/>
      <c r="B142" s="21"/>
      <c r="C142" s="21"/>
      <c r="D142" s="21"/>
      <c r="E142" s="21"/>
      <c r="F142" s="21"/>
      <c r="G142" s="21"/>
      <c r="H142" s="21"/>
      <c r="I142" s="21"/>
      <c r="J142" s="21"/>
      <c r="K142" s="21"/>
      <c r="L142" s="21"/>
      <c r="M142" s="21"/>
      <c r="N142" s="21"/>
      <c r="O142" s="21"/>
      <c r="P142" s="21"/>
      <c r="Q142" s="21"/>
      <c r="R142" s="21"/>
      <c r="S142" s="21"/>
      <c r="T142" s="20"/>
      <c r="V142" s="498"/>
      <c r="W142" s="499"/>
      <c r="X142" s="498"/>
      <c r="Y142" s="503"/>
      <c r="Z142" s="503"/>
      <c r="AA142" s="503"/>
      <c r="AB142" s="503"/>
      <c r="AC142" s="503"/>
      <c r="AD142" s="499"/>
      <c r="AE142" s="506"/>
    </row>
    <row r="143" spans="1:31" x14ac:dyDescent="0.3">
      <c r="A143" s="18"/>
      <c r="B143" s="21"/>
      <c r="C143" s="21"/>
      <c r="D143" s="21"/>
      <c r="E143" s="21"/>
      <c r="F143" s="21"/>
      <c r="G143" s="21"/>
      <c r="H143" s="21"/>
      <c r="I143" s="21"/>
      <c r="J143" s="21"/>
      <c r="K143" s="21"/>
      <c r="L143" s="21"/>
      <c r="M143" s="21"/>
      <c r="N143" s="21"/>
      <c r="O143" s="21"/>
      <c r="P143" s="21"/>
      <c r="Q143" s="21"/>
      <c r="R143" s="21"/>
      <c r="S143" s="21"/>
      <c r="T143" s="20"/>
      <c r="V143" s="500"/>
      <c r="W143" s="501"/>
      <c r="X143" s="500"/>
      <c r="Y143" s="504"/>
      <c r="Z143" s="504"/>
      <c r="AA143" s="504"/>
      <c r="AB143" s="504"/>
      <c r="AC143" s="504"/>
      <c r="AD143" s="501"/>
      <c r="AE143" s="507"/>
    </row>
    <row r="144" spans="1:31" x14ac:dyDescent="0.3">
      <c r="A144" s="18"/>
      <c r="B144" s="21"/>
      <c r="C144" s="21"/>
      <c r="D144" s="21"/>
      <c r="E144" s="21"/>
      <c r="F144" s="21"/>
      <c r="G144" s="21"/>
      <c r="H144" s="21"/>
      <c r="I144" s="21"/>
      <c r="J144" s="21"/>
      <c r="K144" s="21"/>
      <c r="L144" s="21"/>
      <c r="M144" s="21"/>
      <c r="N144" s="21"/>
      <c r="O144" s="21"/>
      <c r="P144" s="21"/>
      <c r="Q144" s="21"/>
      <c r="R144" s="21"/>
      <c r="S144" s="21"/>
      <c r="T144" s="20"/>
      <c r="V144" s="496" t="s">
        <v>2319</v>
      </c>
      <c r="W144" s="497"/>
      <c r="X144" s="496" t="s">
        <v>2320</v>
      </c>
      <c r="Y144" s="502"/>
      <c r="Z144" s="502"/>
      <c r="AA144" s="502"/>
      <c r="AB144" s="502"/>
      <c r="AC144" s="502"/>
      <c r="AD144" s="497"/>
      <c r="AE144" s="505" t="s">
        <v>326</v>
      </c>
    </row>
    <row r="145" spans="1:31" x14ac:dyDescent="0.3">
      <c r="A145" s="18"/>
      <c r="B145" s="21"/>
      <c r="C145" s="21"/>
      <c r="D145" s="21"/>
      <c r="E145" s="21"/>
      <c r="F145" s="21"/>
      <c r="G145" s="21"/>
      <c r="H145" s="21"/>
      <c r="I145" s="21"/>
      <c r="J145" s="21"/>
      <c r="K145" s="21"/>
      <c r="L145" s="21"/>
      <c r="M145" s="21"/>
      <c r="N145" s="21"/>
      <c r="O145" s="21"/>
      <c r="P145" s="21"/>
      <c r="Q145" s="21"/>
      <c r="R145" s="21"/>
      <c r="S145" s="21"/>
      <c r="T145" s="20"/>
      <c r="V145" s="498"/>
      <c r="W145" s="499"/>
      <c r="X145" s="498"/>
      <c r="Y145" s="503"/>
      <c r="Z145" s="503"/>
      <c r="AA145" s="503"/>
      <c r="AB145" s="503"/>
      <c r="AC145" s="503"/>
      <c r="AD145" s="499"/>
      <c r="AE145" s="506"/>
    </row>
    <row r="146" spans="1:31" x14ac:dyDescent="0.3">
      <c r="A146" s="18"/>
      <c r="B146" s="21"/>
      <c r="C146" s="21"/>
      <c r="D146" s="21"/>
      <c r="E146" s="21"/>
      <c r="F146" s="21"/>
      <c r="G146" s="21"/>
      <c r="H146" s="21"/>
      <c r="I146" s="21"/>
      <c r="J146" s="21"/>
      <c r="K146" s="21"/>
      <c r="L146" s="21"/>
      <c r="M146" s="21"/>
      <c r="N146" s="21"/>
      <c r="O146" s="21"/>
      <c r="P146" s="21"/>
      <c r="Q146" s="21"/>
      <c r="R146" s="21"/>
      <c r="S146" s="21"/>
      <c r="T146" s="20"/>
      <c r="V146" s="500"/>
      <c r="W146" s="501"/>
      <c r="X146" s="500"/>
      <c r="Y146" s="504"/>
      <c r="Z146" s="504"/>
      <c r="AA146" s="504"/>
      <c r="AB146" s="504"/>
      <c r="AC146" s="504"/>
      <c r="AD146" s="501"/>
      <c r="AE146" s="507"/>
    </row>
    <row r="147" spans="1:31" x14ac:dyDescent="0.3">
      <c r="A147" s="18"/>
      <c r="B147" s="21"/>
      <c r="C147" s="21"/>
      <c r="D147" s="21"/>
      <c r="E147" s="21"/>
      <c r="F147" s="21"/>
      <c r="G147" s="21"/>
      <c r="H147" s="21"/>
      <c r="I147" s="21"/>
      <c r="J147" s="21"/>
      <c r="K147" s="21"/>
      <c r="L147" s="21"/>
      <c r="M147" s="21"/>
      <c r="N147" s="21"/>
      <c r="O147" s="21"/>
      <c r="P147" s="21"/>
      <c r="Q147" s="21"/>
      <c r="R147" s="21"/>
      <c r="S147" s="21"/>
      <c r="T147" s="20"/>
      <c r="V147" s="496" t="s">
        <v>2319</v>
      </c>
      <c r="W147" s="497"/>
      <c r="X147" s="496" t="s">
        <v>2320</v>
      </c>
      <c r="Y147" s="502"/>
      <c r="Z147" s="502"/>
      <c r="AA147" s="502"/>
      <c r="AB147" s="502"/>
      <c r="AC147" s="502"/>
      <c r="AD147" s="497"/>
      <c r="AE147" s="505" t="s">
        <v>326</v>
      </c>
    </row>
    <row r="148" spans="1:31" x14ac:dyDescent="0.3">
      <c r="A148" s="18"/>
      <c r="B148" s="302" t="s">
        <v>679</v>
      </c>
      <c r="C148" s="295" t="s">
        <v>2424</v>
      </c>
      <c r="D148" s="21"/>
      <c r="E148" s="179" t="s">
        <v>3599</v>
      </c>
      <c r="F148" s="21"/>
      <c r="G148" s="21"/>
      <c r="H148" s="21"/>
      <c r="I148" s="21"/>
      <c r="J148" s="21"/>
      <c r="K148" s="21"/>
      <c r="L148" s="21"/>
      <c r="M148" s="21"/>
      <c r="N148" s="21"/>
      <c r="O148" s="21"/>
      <c r="P148" s="21"/>
      <c r="Q148" s="21"/>
      <c r="R148" s="21"/>
      <c r="S148" s="21"/>
      <c r="T148" s="20"/>
      <c r="V148" s="498"/>
      <c r="W148" s="499"/>
      <c r="X148" s="498"/>
      <c r="Y148" s="503"/>
      <c r="Z148" s="503"/>
      <c r="AA148" s="503"/>
      <c r="AB148" s="503"/>
      <c r="AC148" s="503"/>
      <c r="AD148" s="499"/>
      <c r="AE148" s="506"/>
    </row>
    <row r="149" spans="1:31" x14ac:dyDescent="0.3">
      <c r="A149" s="18"/>
      <c r="B149" s="302" t="s">
        <v>1832</v>
      </c>
      <c r="C149" s="390" t="s">
        <v>2542</v>
      </c>
      <c r="D149" s="383"/>
      <c r="E149" s="30" t="str" cm="1">
        <f t="array" ref="E149">_xll.U.COMPILE(C148,C149:C151,C152)</f>
        <v>Function TimesTenSlow compiled at 2026-05-03 21:26:20</v>
      </c>
      <c r="F149" s="21"/>
      <c r="G149" s="21"/>
      <c r="H149" s="21"/>
      <c r="I149" s="21"/>
      <c r="J149" s="21"/>
      <c r="K149" s="21"/>
      <c r="L149" s="21"/>
      <c r="M149" s="21"/>
      <c r="N149" s="21"/>
      <c r="O149" s="21"/>
      <c r="P149" s="21"/>
      <c r="Q149" s="21"/>
      <c r="R149" s="21"/>
      <c r="S149" s="21"/>
      <c r="T149" s="20"/>
      <c r="V149" s="500"/>
      <c r="W149" s="501"/>
      <c r="X149" s="500"/>
      <c r="Y149" s="504"/>
      <c r="Z149" s="504"/>
      <c r="AA149" s="504"/>
      <c r="AB149" s="504"/>
      <c r="AC149" s="504"/>
      <c r="AD149" s="501"/>
      <c r="AE149" s="507"/>
    </row>
    <row r="150" spans="1:31" x14ac:dyDescent="0.3">
      <c r="A150" s="18"/>
      <c r="B150" s="21"/>
      <c r="C150" s="390" t="s">
        <v>2540</v>
      </c>
      <c r="D150" s="21"/>
      <c r="E150" s="21"/>
      <c r="F150" s="21"/>
      <c r="G150" s="21"/>
      <c r="H150" s="21"/>
      <c r="I150" s="21"/>
      <c r="J150" s="21"/>
      <c r="K150" s="21"/>
      <c r="L150" s="21"/>
      <c r="M150" s="21"/>
      <c r="N150" s="21"/>
      <c r="O150" s="21"/>
      <c r="P150" s="21"/>
      <c r="Q150" s="21"/>
      <c r="R150" s="21"/>
      <c r="S150" s="21"/>
      <c r="T150" s="20"/>
      <c r="V150" s="496" t="s">
        <v>2319</v>
      </c>
      <c r="W150" s="497"/>
      <c r="X150" s="496" t="s">
        <v>2320</v>
      </c>
      <c r="Y150" s="502"/>
      <c r="Z150" s="502"/>
      <c r="AA150" s="502"/>
      <c r="AB150" s="502"/>
      <c r="AC150" s="502"/>
      <c r="AD150" s="497"/>
      <c r="AE150" s="505" t="s">
        <v>326</v>
      </c>
    </row>
    <row r="151" spans="1:31" x14ac:dyDescent="0.3">
      <c r="A151" s="18"/>
      <c r="B151" s="21"/>
      <c r="C151" s="390" t="s">
        <v>2541</v>
      </c>
      <c r="D151" s="21"/>
      <c r="E151" s="21"/>
      <c r="F151" s="21"/>
      <c r="G151" s="21"/>
      <c r="H151" s="21"/>
      <c r="I151" s="21"/>
      <c r="J151" s="21"/>
      <c r="K151" s="21"/>
      <c r="L151" s="21"/>
      <c r="M151" s="21"/>
      <c r="N151" s="21"/>
      <c r="O151" s="21"/>
      <c r="P151" s="21"/>
      <c r="Q151" s="21"/>
      <c r="R151" s="21"/>
      <c r="S151" s="21"/>
      <c r="T151" s="20"/>
      <c r="V151" s="498"/>
      <c r="W151" s="499"/>
      <c r="X151" s="498"/>
      <c r="Y151" s="503"/>
      <c r="Z151" s="503"/>
      <c r="AA151" s="503"/>
      <c r="AB151" s="503"/>
      <c r="AC151" s="503"/>
      <c r="AD151" s="499"/>
      <c r="AE151" s="506"/>
    </row>
    <row r="152" spans="1:31" x14ac:dyDescent="0.3">
      <c r="A152" s="18"/>
      <c r="B152" s="9" t="s">
        <v>323</v>
      </c>
      <c r="C152" s="295" t="s">
        <v>80</v>
      </c>
      <c r="D152" s="21"/>
      <c r="E152" s="21"/>
      <c r="F152" s="21"/>
      <c r="G152" s="21"/>
      <c r="H152" s="21"/>
      <c r="I152" s="21"/>
      <c r="J152" s="21"/>
      <c r="K152" s="21"/>
      <c r="L152" s="21"/>
      <c r="M152" s="21"/>
      <c r="N152" s="21"/>
      <c r="O152" s="21"/>
      <c r="P152" s="21"/>
      <c r="Q152" s="21"/>
      <c r="R152" s="21"/>
      <c r="S152" s="21"/>
      <c r="T152" s="20"/>
      <c r="V152" s="500"/>
      <c r="W152" s="501"/>
      <c r="X152" s="500"/>
      <c r="Y152" s="504"/>
      <c r="Z152" s="504"/>
      <c r="AA152" s="504"/>
      <c r="AB152" s="504"/>
      <c r="AC152" s="504"/>
      <c r="AD152" s="501"/>
      <c r="AE152" s="507"/>
    </row>
    <row r="153" spans="1:31" x14ac:dyDescent="0.3">
      <c r="A153" s="18"/>
      <c r="B153" s="21"/>
      <c r="C153" s="21"/>
      <c r="D153" s="21"/>
      <c r="F153" s="21"/>
      <c r="G153" s="21"/>
      <c r="H153" s="21"/>
      <c r="I153" s="21"/>
      <c r="J153" s="21"/>
      <c r="K153" s="21"/>
      <c r="L153" s="21"/>
      <c r="M153" s="21"/>
      <c r="N153" s="21"/>
      <c r="O153" s="21"/>
      <c r="P153" s="21"/>
      <c r="Q153" s="21"/>
      <c r="R153" s="21"/>
      <c r="S153" s="21"/>
      <c r="T153" s="20"/>
      <c r="V153" s="496" t="s">
        <v>2319</v>
      </c>
      <c r="W153" s="497"/>
      <c r="X153" s="496" t="s">
        <v>2320</v>
      </c>
      <c r="Y153" s="502"/>
      <c r="Z153" s="502"/>
      <c r="AA153" s="502"/>
      <c r="AB153" s="502"/>
      <c r="AC153" s="502"/>
      <c r="AD153" s="497"/>
      <c r="AE153" s="505" t="s">
        <v>326</v>
      </c>
    </row>
    <row r="154" spans="1:31" x14ac:dyDescent="0.3">
      <c r="A154" s="18"/>
      <c r="B154" s="190" t="s">
        <v>2422</v>
      </c>
      <c r="C154" s="242" t="str" cm="1">
        <f t="array" ref="C154">_xll.U.FORMAT_STRING("config({0})",_xll.U.CONCAT(_xll.U.CONCAT(B155:C156,"=",,TRUE),","))</f>
        <v>config(TimeoutInSeconds=0.8,Permissive=True)</v>
      </c>
      <c r="D154" s="21"/>
      <c r="E154" s="179" t="s">
        <v>3600</v>
      </c>
      <c r="F154" s="21"/>
      <c r="G154" s="21"/>
      <c r="H154" s="21"/>
      <c r="I154" s="21"/>
      <c r="J154" s="21"/>
      <c r="K154" s="21"/>
      <c r="L154" s="21"/>
      <c r="M154" s="21"/>
      <c r="N154" s="21"/>
      <c r="O154" s="21"/>
      <c r="P154" s="21"/>
      <c r="Q154" s="21"/>
      <c r="R154" s="21"/>
      <c r="S154" s="21"/>
      <c r="T154" s="20"/>
      <c r="V154" s="498"/>
      <c r="W154" s="499"/>
      <c r="X154" s="498"/>
      <c r="Y154" s="503"/>
      <c r="Z154" s="503"/>
      <c r="AA154" s="503"/>
      <c r="AB154" s="503"/>
      <c r="AC154" s="503"/>
      <c r="AD154" s="499"/>
      <c r="AE154" s="506"/>
    </row>
    <row r="155" spans="1:31" x14ac:dyDescent="0.3">
      <c r="A155" s="18"/>
      <c r="B155" s="9" t="s">
        <v>2425</v>
      </c>
      <c r="C155" s="295">
        <v>0.8</v>
      </c>
      <c r="D155" s="21"/>
      <c r="E155" s="36" cm="1">
        <f t="array" ref="E155">_xll.U.INVOKE(C148,C154,C158)</f>
        <v>20</v>
      </c>
      <c r="F155" s="21"/>
      <c r="G155" s="21"/>
      <c r="H155" s="21"/>
      <c r="I155" s="21"/>
      <c r="J155" s="21"/>
      <c r="K155" s="21"/>
      <c r="L155" s="21"/>
      <c r="M155" s="21"/>
      <c r="N155" s="21"/>
      <c r="O155" s="21"/>
      <c r="P155" s="21"/>
      <c r="Q155" s="21"/>
      <c r="R155" s="21"/>
      <c r="S155" s="21"/>
      <c r="T155" s="20"/>
      <c r="V155" s="500"/>
      <c r="W155" s="501"/>
      <c r="X155" s="500"/>
      <c r="Y155" s="504"/>
      <c r="Z155" s="504"/>
      <c r="AA155" s="504"/>
      <c r="AB155" s="504"/>
      <c r="AC155" s="504"/>
      <c r="AD155" s="501"/>
      <c r="AE155" s="507"/>
    </row>
    <row r="156" spans="1:31" x14ac:dyDescent="0.3">
      <c r="A156" s="18"/>
      <c r="B156" s="9" t="s">
        <v>2423</v>
      </c>
      <c r="C156" s="295" t="b">
        <v>1</v>
      </c>
      <c r="D156" s="21"/>
      <c r="E156" s="21"/>
      <c r="F156" s="21"/>
      <c r="G156" s="21"/>
      <c r="H156" s="21"/>
      <c r="I156" s="21"/>
      <c r="J156" s="21"/>
      <c r="K156" s="21"/>
      <c r="L156" s="21"/>
      <c r="M156" s="21"/>
      <c r="N156" s="21"/>
      <c r="O156" s="21"/>
      <c r="P156" s="21"/>
      <c r="Q156" s="21"/>
      <c r="R156" s="21"/>
      <c r="S156" s="21"/>
      <c r="T156" s="20"/>
      <c r="V156" s="496" t="s">
        <v>2319</v>
      </c>
      <c r="W156" s="497"/>
      <c r="X156" s="496" t="s">
        <v>2320</v>
      </c>
      <c r="Y156" s="502"/>
      <c r="Z156" s="502"/>
      <c r="AA156" s="502"/>
      <c r="AB156" s="502"/>
      <c r="AC156" s="502"/>
      <c r="AD156" s="497"/>
      <c r="AE156" s="505" t="s">
        <v>326</v>
      </c>
    </row>
    <row r="157" spans="1:31" x14ac:dyDescent="0.3">
      <c r="A157" s="18"/>
      <c r="B157" s="21"/>
      <c r="C157" s="21"/>
      <c r="D157" s="21"/>
      <c r="E157" s="21"/>
      <c r="F157" s="21"/>
      <c r="G157" s="21"/>
      <c r="H157" s="21"/>
      <c r="I157" s="21"/>
      <c r="J157" s="21"/>
      <c r="K157" s="21"/>
      <c r="L157" s="21"/>
      <c r="M157" s="21"/>
      <c r="N157" s="21"/>
      <c r="O157" s="21"/>
      <c r="P157" s="21"/>
      <c r="Q157" s="21"/>
      <c r="R157" s="21"/>
      <c r="S157" s="21"/>
      <c r="T157" s="20"/>
      <c r="V157" s="498"/>
      <c r="W157" s="499"/>
      <c r="X157" s="498"/>
      <c r="Y157" s="503"/>
      <c r="Z157" s="503"/>
      <c r="AA157" s="503"/>
      <c r="AB157" s="503"/>
      <c r="AC157" s="503"/>
      <c r="AD157" s="499"/>
      <c r="AE157" s="506"/>
    </row>
    <row r="158" spans="1:31" x14ac:dyDescent="0.3">
      <c r="A158" s="18"/>
      <c r="B158" s="9" t="s">
        <v>80</v>
      </c>
      <c r="C158" s="295">
        <v>2</v>
      </c>
      <c r="D158" s="21"/>
      <c r="E158" s="21"/>
      <c r="F158" s="21"/>
      <c r="G158" s="21"/>
      <c r="H158" s="21"/>
      <c r="I158" s="21"/>
      <c r="J158" s="21"/>
      <c r="K158" s="21"/>
      <c r="L158" s="21"/>
      <c r="M158" s="21"/>
      <c r="N158" s="21"/>
      <c r="O158" s="21"/>
      <c r="P158" s="21"/>
      <c r="Q158" s="21"/>
      <c r="R158" s="21"/>
      <c r="S158" s="21"/>
      <c r="T158" s="20"/>
      <c r="V158" s="500"/>
      <c r="W158" s="501"/>
      <c r="X158" s="500"/>
      <c r="Y158" s="504"/>
      <c r="Z158" s="504"/>
      <c r="AA158" s="504"/>
      <c r="AB158" s="504"/>
      <c r="AC158" s="504"/>
      <c r="AD158" s="501"/>
      <c r="AE158" s="507"/>
    </row>
    <row r="159" spans="1:31" x14ac:dyDescent="0.3">
      <c r="A159" s="18"/>
      <c r="B159" s="21"/>
      <c r="C159" s="21"/>
      <c r="D159" s="21"/>
      <c r="E159" s="21"/>
      <c r="F159" s="21"/>
      <c r="G159" s="21"/>
      <c r="H159" s="21"/>
      <c r="I159" s="21"/>
      <c r="J159" s="21"/>
      <c r="K159" s="21"/>
      <c r="L159" s="21"/>
      <c r="M159" s="21"/>
      <c r="N159" s="21"/>
      <c r="O159" s="21"/>
      <c r="P159" s="21"/>
      <c r="Q159" s="21"/>
      <c r="R159" s="21"/>
      <c r="S159" s="21"/>
      <c r="T159" s="20"/>
      <c r="V159" s="496" t="s">
        <v>2319</v>
      </c>
      <c r="W159" s="497"/>
      <c r="X159" s="496" t="s">
        <v>2320</v>
      </c>
      <c r="Y159" s="502"/>
      <c r="Z159" s="502"/>
      <c r="AA159" s="502"/>
      <c r="AB159" s="502"/>
      <c r="AC159" s="502"/>
      <c r="AD159" s="497"/>
      <c r="AE159" s="505" t="s">
        <v>326</v>
      </c>
    </row>
    <row r="160" spans="1:31" x14ac:dyDescent="0.3">
      <c r="A160" s="18"/>
      <c r="B160" s="21"/>
      <c r="C160" s="21"/>
      <c r="D160" s="21"/>
      <c r="E160" s="21"/>
      <c r="F160" s="21"/>
      <c r="G160" s="21"/>
      <c r="H160" s="21"/>
      <c r="I160" s="21"/>
      <c r="J160" s="21"/>
      <c r="K160" s="21"/>
      <c r="L160" s="21"/>
      <c r="M160" s="21"/>
      <c r="N160" s="21"/>
      <c r="O160" s="21"/>
      <c r="P160" s="21"/>
      <c r="Q160" s="21"/>
      <c r="R160" s="21"/>
      <c r="S160" s="21"/>
      <c r="T160" s="20"/>
      <c r="V160" s="498"/>
      <c r="W160" s="499"/>
      <c r="X160" s="498"/>
      <c r="Y160" s="503"/>
      <c r="Z160" s="503"/>
      <c r="AA160" s="503"/>
      <c r="AB160" s="503"/>
      <c r="AC160" s="503"/>
      <c r="AD160" s="499"/>
      <c r="AE160" s="506"/>
    </row>
    <row r="161" spans="1:31" x14ac:dyDescent="0.3">
      <c r="A161" s="18"/>
      <c r="B161" s="21"/>
      <c r="C161" s="21"/>
      <c r="D161" s="21"/>
      <c r="E161" s="21"/>
      <c r="F161" s="21"/>
      <c r="G161" s="21"/>
      <c r="H161" s="21"/>
      <c r="I161" s="21"/>
      <c r="J161" s="21"/>
      <c r="K161" s="21"/>
      <c r="L161" s="21"/>
      <c r="M161" s="21"/>
      <c r="N161" s="21"/>
      <c r="O161" s="21"/>
      <c r="P161" s="21"/>
      <c r="Q161" s="21"/>
      <c r="R161" s="21"/>
      <c r="S161" s="21"/>
      <c r="T161" s="20"/>
      <c r="V161" s="500"/>
      <c r="W161" s="501"/>
      <c r="X161" s="500"/>
      <c r="Y161" s="504"/>
      <c r="Z161" s="504"/>
      <c r="AA161" s="504"/>
      <c r="AB161" s="504"/>
      <c r="AC161" s="504"/>
      <c r="AD161" s="501"/>
      <c r="AE161" s="507"/>
    </row>
    <row r="162" spans="1:31" x14ac:dyDescent="0.3">
      <c r="A162" s="18"/>
      <c r="B162" s="21"/>
      <c r="C162" s="21"/>
      <c r="D162" s="21"/>
      <c r="E162" s="21"/>
      <c r="F162" s="21"/>
      <c r="G162" s="21"/>
      <c r="H162" s="21"/>
      <c r="I162" s="21"/>
      <c r="J162" s="21"/>
      <c r="K162" s="21"/>
      <c r="L162" s="21"/>
      <c r="M162" s="21"/>
      <c r="N162" s="21"/>
      <c r="O162" s="21"/>
      <c r="P162" s="21"/>
      <c r="Q162" s="21"/>
      <c r="R162" s="21"/>
      <c r="S162" s="21"/>
      <c r="T162" s="20"/>
      <c r="V162" s="496" t="s">
        <v>2319</v>
      </c>
      <c r="W162" s="497"/>
      <c r="X162" s="496" t="s">
        <v>2320</v>
      </c>
      <c r="Y162" s="502"/>
      <c r="Z162" s="502"/>
      <c r="AA162" s="502"/>
      <c r="AB162" s="502"/>
      <c r="AC162" s="502"/>
      <c r="AD162" s="497"/>
      <c r="AE162" s="505" t="s">
        <v>326</v>
      </c>
    </row>
    <row r="163" spans="1:31" x14ac:dyDescent="0.3">
      <c r="A163" s="18"/>
      <c r="B163" s="3" t="s">
        <v>2516</v>
      </c>
      <c r="C163" s="203" t="s">
        <v>2517</v>
      </c>
      <c r="D163" s="21"/>
      <c r="E163" s="21"/>
      <c r="F163" s="21"/>
      <c r="G163" s="21"/>
      <c r="H163" s="21"/>
      <c r="I163" s="21"/>
      <c r="J163" s="21"/>
      <c r="K163" s="21"/>
      <c r="L163" s="21"/>
      <c r="M163" s="21"/>
      <c r="N163" s="21"/>
      <c r="O163" s="21"/>
      <c r="P163" s="21"/>
      <c r="Q163" s="21"/>
      <c r="R163" s="21"/>
      <c r="S163" s="21"/>
      <c r="T163" s="20"/>
      <c r="V163" s="498"/>
      <c r="W163" s="499"/>
      <c r="X163" s="498"/>
      <c r="Y163" s="503"/>
      <c r="Z163" s="503"/>
      <c r="AA163" s="503"/>
      <c r="AB163" s="503"/>
      <c r="AC163" s="503"/>
      <c r="AD163" s="499"/>
      <c r="AE163" s="506"/>
    </row>
    <row r="164" spans="1:31" x14ac:dyDescent="0.3">
      <c r="A164" s="18"/>
      <c r="B164" s="21"/>
      <c r="C164" s="21"/>
      <c r="D164" s="21"/>
      <c r="E164" s="21"/>
      <c r="F164" s="21"/>
      <c r="G164" s="21"/>
      <c r="H164" s="21"/>
      <c r="I164" s="21"/>
      <c r="J164" s="21"/>
      <c r="K164" s="21"/>
      <c r="L164" s="21"/>
      <c r="M164" s="21"/>
      <c r="N164" s="21"/>
      <c r="O164" s="21"/>
      <c r="P164" s="21"/>
      <c r="Q164" s="21"/>
      <c r="R164" s="21"/>
      <c r="S164" s="21"/>
      <c r="T164" s="20"/>
      <c r="V164" s="500"/>
      <c r="W164" s="501"/>
      <c r="X164" s="500"/>
      <c r="Y164" s="504"/>
      <c r="Z164" s="504"/>
      <c r="AA164" s="504"/>
      <c r="AB164" s="504"/>
      <c r="AC164" s="504"/>
      <c r="AD164" s="501"/>
      <c r="AE164" s="507"/>
    </row>
    <row r="165" spans="1:31" x14ac:dyDescent="0.3">
      <c r="A165" s="18"/>
      <c r="B165" s="9" t="s">
        <v>2089</v>
      </c>
      <c r="C165" s="9" t="s">
        <v>2397</v>
      </c>
      <c r="D165" s="9" t="s">
        <v>2396</v>
      </c>
      <c r="E165" s="9" t="s">
        <v>17</v>
      </c>
      <c r="F165" s="9" t="s">
        <v>263</v>
      </c>
      <c r="G165" s="9" t="s">
        <v>2398</v>
      </c>
      <c r="H165" s="9" t="s">
        <v>2399</v>
      </c>
      <c r="I165" s="21"/>
      <c r="J165" s="21"/>
      <c r="K165" s="21"/>
      <c r="L165" s="21"/>
      <c r="M165" s="21"/>
      <c r="N165" s="21"/>
      <c r="O165" s="21"/>
      <c r="P165" s="21"/>
      <c r="Q165" s="21"/>
      <c r="R165" s="21"/>
      <c r="S165" s="21"/>
      <c r="T165" s="20"/>
      <c r="V165" s="496" t="s">
        <v>2319</v>
      </c>
      <c r="W165" s="497"/>
      <c r="X165" s="496" t="s">
        <v>2320</v>
      </c>
      <c r="Y165" s="502"/>
      <c r="Z165" s="502"/>
      <c r="AA165" s="502"/>
      <c r="AB165" s="502"/>
      <c r="AC165" s="502"/>
      <c r="AD165" s="497"/>
      <c r="AE165" s="505" t="s">
        <v>326</v>
      </c>
    </row>
    <row r="166" spans="1:31" x14ac:dyDescent="0.3">
      <c r="A166" s="18"/>
      <c r="B166" s="372" t="s">
        <v>2383</v>
      </c>
      <c r="C166" s="203">
        <v>90.5</v>
      </c>
      <c r="D166" s="203">
        <v>95</v>
      </c>
      <c r="E166" s="376" t="str">
        <f>C163</f>
        <v>bs(type,und price,strike,time,rate,vol)</v>
      </c>
      <c r="F166" s="203">
        <v>0.75</v>
      </c>
      <c r="G166" s="372">
        <v>0.05</v>
      </c>
      <c r="H166" s="373">
        <v>0.35</v>
      </c>
      <c r="I166" s="21"/>
      <c r="J166" s="21"/>
      <c r="K166" s="21"/>
      <c r="L166" s="21"/>
      <c r="M166" s="21"/>
      <c r="N166" s="21"/>
      <c r="O166" s="21"/>
      <c r="P166" s="21"/>
      <c r="Q166" s="21"/>
      <c r="R166" s="21"/>
      <c r="S166" s="21"/>
      <c r="T166" s="20"/>
      <c r="V166" s="498"/>
      <c r="W166" s="499"/>
      <c r="X166" s="498"/>
      <c r="Y166" s="503"/>
      <c r="Z166" s="503"/>
      <c r="AA166" s="503"/>
      <c r="AB166" s="503"/>
      <c r="AC166" s="503"/>
      <c r="AD166" s="499"/>
      <c r="AE166" s="506"/>
    </row>
    <row r="167" spans="1:31" x14ac:dyDescent="0.3">
      <c r="A167" s="18"/>
      <c r="B167" s="372" t="s">
        <v>2400</v>
      </c>
      <c r="C167" s="203">
        <v>90.5</v>
      </c>
      <c r="D167" s="203">
        <v>95</v>
      </c>
      <c r="E167" s="319"/>
      <c r="F167" s="203">
        <v>0.75</v>
      </c>
      <c r="G167" s="372">
        <v>0.05</v>
      </c>
      <c r="H167" s="373">
        <v>0.35</v>
      </c>
      <c r="I167" s="21"/>
      <c r="J167" s="21"/>
      <c r="K167" s="21"/>
      <c r="L167" s="21"/>
      <c r="M167" s="21"/>
      <c r="N167" s="21"/>
      <c r="O167" s="21"/>
      <c r="P167" s="21"/>
      <c r="Q167" s="21"/>
      <c r="R167" s="21"/>
      <c r="S167" s="21"/>
      <c r="T167" s="20"/>
      <c r="V167" s="500"/>
      <c r="W167" s="501"/>
      <c r="X167" s="500"/>
      <c r="Y167" s="504"/>
      <c r="Z167" s="504"/>
      <c r="AA167" s="504"/>
      <c r="AB167" s="504"/>
      <c r="AC167" s="504"/>
      <c r="AD167" s="501"/>
      <c r="AE167" s="507"/>
    </row>
    <row r="168" spans="1:31" x14ac:dyDescent="0.3">
      <c r="A168" s="18"/>
      <c r="B168" s="372" t="s">
        <v>2383</v>
      </c>
      <c r="C168" s="203">
        <v>90.5</v>
      </c>
      <c r="D168" s="203">
        <v>90</v>
      </c>
      <c r="E168" s="319"/>
      <c r="F168" s="203">
        <v>0.75</v>
      </c>
      <c r="G168" s="372">
        <v>0.05</v>
      </c>
      <c r="H168" s="373">
        <v>0.36</v>
      </c>
      <c r="I168" s="21"/>
      <c r="J168" s="21"/>
      <c r="K168" s="21"/>
      <c r="L168" s="21"/>
      <c r="M168" s="21"/>
      <c r="N168" s="21"/>
      <c r="O168" s="21"/>
      <c r="P168" s="21"/>
      <c r="Q168" s="21"/>
      <c r="R168" s="21"/>
      <c r="S168" s="21"/>
      <c r="T168" s="20"/>
      <c r="V168" s="496" t="s">
        <v>2319</v>
      </c>
      <c r="W168" s="497"/>
      <c r="X168" s="496" t="s">
        <v>2320</v>
      </c>
      <c r="Y168" s="502"/>
      <c r="Z168" s="502"/>
      <c r="AA168" s="502"/>
      <c r="AB168" s="502"/>
      <c r="AC168" s="502"/>
      <c r="AD168" s="497"/>
      <c r="AE168" s="505" t="s">
        <v>326</v>
      </c>
    </row>
    <row r="169" spans="1:31" x14ac:dyDescent="0.3">
      <c r="A169" s="18"/>
      <c r="B169" s="372" t="s">
        <v>2400</v>
      </c>
      <c r="C169" s="203">
        <v>90.5</v>
      </c>
      <c r="D169" s="203">
        <v>90</v>
      </c>
      <c r="E169" s="319"/>
      <c r="F169" s="203">
        <v>0.75</v>
      </c>
      <c r="G169" s="372">
        <v>0.05</v>
      </c>
      <c r="H169" s="373">
        <v>0.36</v>
      </c>
      <c r="I169" s="21"/>
      <c r="J169" s="21"/>
      <c r="K169" s="21"/>
      <c r="L169" s="21"/>
      <c r="M169" s="21"/>
      <c r="N169" s="21"/>
      <c r="O169" s="21"/>
      <c r="P169" s="21"/>
      <c r="Q169" s="21"/>
      <c r="R169" s="21"/>
      <c r="S169" s="21"/>
      <c r="T169" s="20"/>
      <c r="V169" s="498"/>
      <c r="W169" s="499"/>
      <c r="X169" s="498"/>
      <c r="Y169" s="503"/>
      <c r="Z169" s="503"/>
      <c r="AA169" s="503"/>
      <c r="AB169" s="503"/>
      <c r="AC169" s="503"/>
      <c r="AD169" s="499"/>
      <c r="AE169" s="506"/>
    </row>
    <row r="170" spans="1:31" x14ac:dyDescent="0.3">
      <c r="A170" s="18"/>
      <c r="B170" s="21"/>
      <c r="C170" s="21"/>
      <c r="D170" s="21"/>
      <c r="E170" s="21"/>
      <c r="F170" s="21"/>
      <c r="G170" s="21"/>
      <c r="H170" s="21"/>
      <c r="I170" s="21"/>
      <c r="J170" s="21"/>
      <c r="K170" s="21"/>
      <c r="L170" s="21"/>
      <c r="M170" s="21"/>
      <c r="N170" s="21"/>
      <c r="O170" s="21"/>
      <c r="P170" s="21"/>
      <c r="Q170" s="21"/>
      <c r="R170" s="21"/>
      <c r="S170" s="21"/>
      <c r="T170" s="20"/>
      <c r="V170" s="500"/>
      <c r="W170" s="501"/>
      <c r="X170" s="500"/>
      <c r="Y170" s="504"/>
      <c r="Z170" s="504"/>
      <c r="AA170" s="504"/>
      <c r="AB170" s="504"/>
      <c r="AC170" s="504"/>
      <c r="AD170" s="501"/>
      <c r="AE170" s="507"/>
    </row>
    <row r="171" spans="1:31" x14ac:dyDescent="0.3">
      <c r="A171" s="18"/>
      <c r="B171" s="21"/>
      <c r="C171" s="21"/>
      <c r="D171" s="21"/>
      <c r="E171" s="21"/>
      <c r="F171" s="21"/>
      <c r="G171" s="21"/>
      <c r="H171" s="21"/>
      <c r="I171" s="21"/>
      <c r="J171" s="21"/>
      <c r="K171" s="21"/>
      <c r="L171" s="21"/>
      <c r="M171" s="21"/>
      <c r="N171" s="21"/>
      <c r="O171" s="21"/>
      <c r="P171" s="21"/>
      <c r="Q171" s="21"/>
      <c r="R171" s="21"/>
      <c r="S171" s="21"/>
      <c r="T171" s="20"/>
      <c r="V171" s="496" t="s">
        <v>2319</v>
      </c>
      <c r="W171" s="497"/>
      <c r="X171" s="496" t="s">
        <v>2320</v>
      </c>
      <c r="Y171" s="502"/>
      <c r="Z171" s="502"/>
      <c r="AA171" s="502"/>
      <c r="AB171" s="502"/>
      <c r="AC171" s="502"/>
      <c r="AD171" s="497"/>
      <c r="AE171" s="505" t="s">
        <v>326</v>
      </c>
    </row>
    <row r="172" spans="1:31" x14ac:dyDescent="0.3">
      <c r="A172" s="18"/>
      <c r="B172" s="9" t="str">
        <f t="array" ref="B172:H176">_xll.U.INVOKE(B165:H169,"config(FillFunctions)")</f>
        <v>Type</v>
      </c>
      <c r="C172" s="9" t="str">
        <v>Und Price</v>
      </c>
      <c r="D172" s="9" t="str">
        <v>Strike</v>
      </c>
      <c r="E172" s="190" t="str">
        <v>Value</v>
      </c>
      <c r="F172" s="9" t="str">
        <v>Time</v>
      </c>
      <c r="G172" s="9" t="str">
        <v>Rate</v>
      </c>
      <c r="H172" s="9" t="str">
        <v>Vol</v>
      </c>
      <c r="I172" s="21"/>
      <c r="J172" s="21"/>
      <c r="K172" s="21"/>
      <c r="L172" s="21"/>
      <c r="M172" s="21"/>
      <c r="N172" s="21"/>
      <c r="O172" s="21"/>
      <c r="P172" s="21"/>
      <c r="Q172" s="21"/>
      <c r="R172" s="21"/>
      <c r="S172" s="21"/>
      <c r="T172" s="20"/>
      <c r="V172" s="498"/>
      <c r="W172" s="499"/>
      <c r="X172" s="498"/>
      <c r="Y172" s="503"/>
      <c r="Z172" s="503"/>
      <c r="AA172" s="503"/>
      <c r="AB172" s="503"/>
      <c r="AC172" s="503"/>
      <c r="AD172" s="499"/>
      <c r="AE172" s="506"/>
    </row>
    <row r="173" spans="1:31" x14ac:dyDescent="0.3">
      <c r="A173" s="18"/>
      <c r="B173" s="109" t="str">
        <v>Call</v>
      </c>
      <c r="C173" s="374">
        <v>90.5</v>
      </c>
      <c r="D173" s="374">
        <v>95</v>
      </c>
      <c r="E173" s="267">
        <v>10.467684096415006</v>
      </c>
      <c r="F173" s="374">
        <v>0.75</v>
      </c>
      <c r="G173" s="375">
        <v>0.05</v>
      </c>
      <c r="H173" s="375">
        <v>0.35</v>
      </c>
      <c r="I173" s="21"/>
      <c r="J173" s="21"/>
      <c r="K173" s="21"/>
      <c r="L173" s="21"/>
      <c r="M173" s="21"/>
      <c r="N173" s="21"/>
      <c r="O173" s="21"/>
      <c r="P173" s="21"/>
      <c r="Q173" s="21"/>
      <c r="R173" s="21"/>
      <c r="S173" s="21"/>
      <c r="T173" s="20"/>
      <c r="V173" s="500"/>
      <c r="W173" s="501"/>
      <c r="X173" s="500"/>
      <c r="Y173" s="504"/>
      <c r="Z173" s="504"/>
      <c r="AA173" s="504"/>
      <c r="AB173" s="504"/>
      <c r="AC173" s="504"/>
      <c r="AD173" s="501"/>
      <c r="AE173" s="507"/>
    </row>
    <row r="174" spans="1:31" x14ac:dyDescent="0.3">
      <c r="A174" s="18"/>
      <c r="B174" s="109" t="str">
        <v>Put</v>
      </c>
      <c r="C174" s="374">
        <v>90.5</v>
      </c>
      <c r="D174" s="374">
        <v>95</v>
      </c>
      <c r="E174" s="267">
        <v>11.471153779893079</v>
      </c>
      <c r="F174" s="374">
        <v>0.75</v>
      </c>
      <c r="G174" s="375">
        <v>0.05</v>
      </c>
      <c r="H174" s="375">
        <v>0.35</v>
      </c>
      <c r="I174" s="21"/>
      <c r="J174" s="21"/>
      <c r="K174" s="21"/>
      <c r="L174" s="21"/>
      <c r="M174" s="21"/>
      <c r="N174" s="21"/>
      <c r="O174" s="21"/>
      <c r="P174" s="21"/>
      <c r="Q174" s="21"/>
      <c r="R174" s="21"/>
      <c r="S174" s="21"/>
      <c r="T174" s="20"/>
      <c r="V174" s="496" t="s">
        <v>2319</v>
      </c>
      <c r="W174" s="497"/>
      <c r="X174" s="496" t="s">
        <v>2320</v>
      </c>
      <c r="Y174" s="502"/>
      <c r="Z174" s="502"/>
      <c r="AA174" s="502"/>
      <c r="AB174" s="502"/>
      <c r="AC174" s="502"/>
      <c r="AD174" s="497"/>
      <c r="AE174" s="505" t="s">
        <v>326</v>
      </c>
    </row>
    <row r="175" spans="1:31" x14ac:dyDescent="0.3">
      <c r="A175" s="18"/>
      <c r="B175" s="109" t="str">
        <v>Call</v>
      </c>
      <c r="C175" s="374">
        <v>90.5</v>
      </c>
      <c r="D175" s="374">
        <v>90</v>
      </c>
      <c r="E175" s="267">
        <v>12.984437085531994</v>
      </c>
      <c r="F175" s="374">
        <v>0.75</v>
      </c>
      <c r="G175" s="375">
        <v>0.05</v>
      </c>
      <c r="H175" s="375">
        <v>0.36</v>
      </c>
      <c r="I175" s="21"/>
      <c r="J175" s="21"/>
      <c r="K175" s="21"/>
      <c r="L175" s="21"/>
      <c r="M175" s="21"/>
      <c r="N175" s="21"/>
      <c r="O175" s="21"/>
      <c r="P175" s="21"/>
      <c r="Q175" s="21"/>
      <c r="R175" s="21"/>
      <c r="S175" s="21"/>
      <c r="T175" s="20"/>
      <c r="V175" s="498"/>
      <c r="W175" s="499"/>
      <c r="X175" s="498"/>
      <c r="Y175" s="503"/>
      <c r="Z175" s="503"/>
      <c r="AA175" s="503"/>
      <c r="AB175" s="503"/>
      <c r="AC175" s="503"/>
      <c r="AD175" s="499"/>
      <c r="AE175" s="506"/>
    </row>
    <row r="176" spans="1:31" x14ac:dyDescent="0.3">
      <c r="A176" s="18"/>
      <c r="B176" s="109" t="str">
        <v>Put</v>
      </c>
      <c r="C176" s="374">
        <v>90.5</v>
      </c>
      <c r="D176" s="374">
        <v>90</v>
      </c>
      <c r="E176" s="267">
        <v>9.1719346804059541</v>
      </c>
      <c r="F176" s="374">
        <v>0.75</v>
      </c>
      <c r="G176" s="375">
        <v>0.05</v>
      </c>
      <c r="H176" s="375">
        <v>0.36</v>
      </c>
      <c r="I176" s="21"/>
      <c r="J176" s="21"/>
      <c r="K176" s="21"/>
      <c r="L176" s="21"/>
      <c r="M176" s="21"/>
      <c r="N176" s="21"/>
      <c r="O176" s="21"/>
      <c r="P176" s="21"/>
      <c r="Q176" s="21"/>
      <c r="R176" s="21"/>
      <c r="S176" s="21"/>
      <c r="T176" s="20"/>
      <c r="V176" s="500"/>
      <c r="W176" s="501"/>
      <c r="X176" s="500"/>
      <c r="Y176" s="504"/>
      <c r="Z176" s="504"/>
      <c r="AA176" s="504"/>
      <c r="AB176" s="504"/>
      <c r="AC176" s="504"/>
      <c r="AD176" s="501"/>
      <c r="AE176" s="507"/>
    </row>
    <row r="177" spans="1:31" x14ac:dyDescent="0.3">
      <c r="A177" s="18"/>
      <c r="B177" s="21"/>
      <c r="C177" s="21"/>
      <c r="D177" s="21"/>
      <c r="E177" s="21"/>
      <c r="F177" s="355"/>
      <c r="G177" s="355"/>
      <c r="H177" s="355"/>
      <c r="I177" s="21"/>
      <c r="J177" s="21"/>
      <c r="K177" s="21"/>
      <c r="L177" s="21"/>
      <c r="M177" s="21"/>
      <c r="N177" s="21"/>
      <c r="O177" s="21"/>
      <c r="P177" s="21"/>
      <c r="Q177" s="21"/>
      <c r="R177" s="21"/>
      <c r="S177" s="21"/>
      <c r="T177" s="20"/>
      <c r="V177" s="126" t="s">
        <v>328</v>
      </c>
    </row>
    <row r="178" spans="1:31" x14ac:dyDescent="0.3">
      <c r="A178" s="18"/>
      <c r="B178" s="379"/>
      <c r="C178" s="379"/>
      <c r="D178" s="379"/>
      <c r="E178" s="379"/>
      <c r="F178" s="379"/>
      <c r="G178" s="379"/>
      <c r="H178" s="379"/>
      <c r="I178" s="379"/>
      <c r="J178" s="21"/>
      <c r="K178" s="21"/>
      <c r="L178" s="21"/>
      <c r="M178" s="21"/>
      <c r="N178" s="21"/>
      <c r="O178" s="21"/>
      <c r="P178" s="21"/>
      <c r="Q178" s="21"/>
      <c r="R178" s="21"/>
      <c r="S178" s="21"/>
      <c r="T178" s="20"/>
    </row>
    <row r="179" spans="1:31" x14ac:dyDescent="0.3">
      <c r="A179" s="18"/>
      <c r="B179" s="21"/>
      <c r="C179" s="21"/>
      <c r="D179" s="21"/>
      <c r="E179" s="21"/>
      <c r="F179" s="21"/>
      <c r="G179" s="21"/>
      <c r="H179" s="21"/>
      <c r="I179" s="21"/>
      <c r="J179" s="21"/>
      <c r="K179" s="21"/>
      <c r="L179" s="21"/>
      <c r="M179" s="21"/>
      <c r="N179" s="21"/>
      <c r="O179" s="21"/>
      <c r="P179" s="21"/>
      <c r="Q179" s="21"/>
      <c r="R179" s="21"/>
      <c r="S179" s="21"/>
      <c r="T179" s="20"/>
    </row>
    <row r="180" spans="1:31" x14ac:dyDescent="0.3">
      <c r="A180" s="18"/>
      <c r="B180" s="3" t="s">
        <v>2516</v>
      </c>
      <c r="C180" s="203" t="s">
        <v>2522</v>
      </c>
      <c r="D180" s="21"/>
      <c r="E180" s="21"/>
      <c r="F180" s="21"/>
      <c r="G180" s="21"/>
      <c r="H180" s="21"/>
      <c r="I180" s="21"/>
      <c r="J180" s="21"/>
      <c r="K180" s="21"/>
      <c r="L180" s="21"/>
      <c r="M180" s="21"/>
      <c r="N180" s="21"/>
      <c r="O180" s="21"/>
      <c r="P180" s="21"/>
      <c r="Q180" s="21"/>
      <c r="R180" s="21"/>
      <c r="S180" s="21"/>
      <c r="T180" s="20"/>
      <c r="V180" s="486" t="s">
        <v>3603</v>
      </c>
      <c r="W180" s="486"/>
      <c r="X180" s="486"/>
      <c r="Y180" s="486"/>
      <c r="Z180" s="486"/>
      <c r="AA180" s="486"/>
      <c r="AB180" s="486"/>
      <c r="AC180" s="486"/>
      <c r="AD180" s="486"/>
      <c r="AE180" s="486"/>
    </row>
    <row r="181" spans="1:31" x14ac:dyDescent="0.3">
      <c r="A181" s="18"/>
      <c r="B181" s="21"/>
      <c r="C181" s="21"/>
      <c r="D181" s="21"/>
      <c r="E181" s="21"/>
      <c r="F181" s="21"/>
      <c r="G181" s="21"/>
      <c r="H181" s="21"/>
      <c r="I181" s="21"/>
      <c r="J181" s="21"/>
      <c r="K181" s="21"/>
      <c r="L181" s="21"/>
      <c r="M181" s="21"/>
      <c r="N181" s="21"/>
      <c r="O181" s="21"/>
      <c r="P181" s="21"/>
      <c r="Q181" s="21"/>
      <c r="R181" s="21"/>
      <c r="S181" s="21"/>
      <c r="T181" s="20"/>
      <c r="V181" s="487" t="s">
        <v>333</v>
      </c>
      <c r="W181" s="487"/>
      <c r="X181" s="487" t="s">
        <v>3299</v>
      </c>
      <c r="Y181" s="487"/>
      <c r="Z181" s="487"/>
      <c r="AA181" s="487"/>
      <c r="AB181" s="487"/>
      <c r="AC181" s="487"/>
      <c r="AD181" s="487"/>
      <c r="AE181" s="487"/>
    </row>
    <row r="182" spans="1:31" x14ac:dyDescent="0.3">
      <c r="A182" s="18"/>
      <c r="B182" s="9" t="s">
        <v>2089</v>
      </c>
      <c r="C182" s="9" t="s">
        <v>2397</v>
      </c>
      <c r="D182" s="9" t="s">
        <v>2396</v>
      </c>
      <c r="E182" s="9" t="s">
        <v>17</v>
      </c>
      <c r="F182" s="9" t="s">
        <v>263</v>
      </c>
      <c r="G182" s="9" t="s">
        <v>2398</v>
      </c>
      <c r="H182" s="9" t="s">
        <v>2399</v>
      </c>
      <c r="I182" s="9" t="s">
        <v>2519</v>
      </c>
      <c r="J182" s="21"/>
      <c r="K182" s="21"/>
      <c r="L182" s="21"/>
      <c r="M182" s="21"/>
      <c r="N182" s="21"/>
      <c r="O182" s="21"/>
      <c r="P182" s="21"/>
      <c r="Q182" s="21"/>
      <c r="R182" s="21"/>
      <c r="S182" s="21"/>
      <c r="T182" s="20"/>
      <c r="V182" s="487"/>
      <c r="W182" s="487"/>
      <c r="X182" s="487"/>
      <c r="Y182" s="487"/>
      <c r="Z182" s="487"/>
      <c r="AA182" s="487"/>
      <c r="AB182" s="487"/>
      <c r="AC182" s="487"/>
      <c r="AD182" s="487"/>
      <c r="AE182" s="487"/>
    </row>
    <row r="183" spans="1:31" ht="15" customHeight="1" x14ac:dyDescent="0.3">
      <c r="A183" s="18"/>
      <c r="B183" s="372" t="s">
        <v>2383</v>
      </c>
      <c r="C183" s="203">
        <v>90.5</v>
      </c>
      <c r="D183" s="203">
        <v>95</v>
      </c>
      <c r="E183" s="381" t="s">
        <v>2525</v>
      </c>
      <c r="F183" s="203">
        <v>0.75</v>
      </c>
      <c r="G183" s="372">
        <v>0.05</v>
      </c>
      <c r="H183" s="373">
        <v>0.35</v>
      </c>
      <c r="I183" s="377" t="s">
        <v>2518</v>
      </c>
      <c r="J183" s="21"/>
      <c r="K183" s="21"/>
      <c r="L183" s="21"/>
      <c r="M183" s="21"/>
      <c r="N183" s="21"/>
      <c r="O183" s="21"/>
      <c r="P183" s="21"/>
      <c r="Q183" s="21"/>
      <c r="R183" s="21"/>
      <c r="S183" s="21"/>
      <c r="T183" s="20"/>
      <c r="V183" s="487"/>
      <c r="W183" s="487"/>
      <c r="X183" s="487"/>
      <c r="Y183" s="487"/>
      <c r="Z183" s="487"/>
      <c r="AA183" s="487"/>
      <c r="AB183" s="487"/>
      <c r="AC183" s="487"/>
      <c r="AD183" s="487"/>
      <c r="AE183" s="487"/>
    </row>
    <row r="184" spans="1:31" x14ac:dyDescent="0.3">
      <c r="A184" s="18"/>
      <c r="B184" s="372" t="s">
        <v>2400</v>
      </c>
      <c r="C184" s="21"/>
      <c r="D184" s="21"/>
      <c r="E184" s="380" t="str">
        <f>C180</f>
        <v>bs(col(type),col(,-1),col(,-1),col(time),col(6),rowcol(2,vol))</v>
      </c>
      <c r="F184" s="203">
        <v>0.75</v>
      </c>
      <c r="G184" s="372">
        <v>0.05</v>
      </c>
      <c r="H184" s="21"/>
      <c r="I184" s="378"/>
      <c r="J184" s="21"/>
      <c r="K184" s="21"/>
      <c r="L184" s="21"/>
      <c r="M184" s="21"/>
      <c r="N184" s="21"/>
      <c r="O184" s="21"/>
      <c r="P184" s="21"/>
      <c r="Q184" s="21"/>
      <c r="R184" s="21"/>
      <c r="S184" s="21"/>
      <c r="T184" s="20"/>
      <c r="V184" s="483" t="s">
        <v>323</v>
      </c>
      <c r="W184" s="483"/>
      <c r="X184" s="483" t="s">
        <v>1</v>
      </c>
      <c r="Y184" s="483"/>
      <c r="Z184" s="483"/>
      <c r="AA184" s="483"/>
      <c r="AB184" s="483"/>
      <c r="AC184" s="483"/>
      <c r="AD184" s="483"/>
      <c r="AE184" s="85" t="s">
        <v>324</v>
      </c>
    </row>
    <row r="185" spans="1:31" x14ac:dyDescent="0.3">
      <c r="A185" s="18"/>
      <c r="B185" s="372" t="s">
        <v>2383</v>
      </c>
      <c r="C185" s="21"/>
      <c r="D185" s="21"/>
      <c r="E185" s="319"/>
      <c r="F185" s="203">
        <v>0.75</v>
      </c>
      <c r="G185" s="372">
        <v>0.05</v>
      </c>
      <c r="H185" s="21"/>
      <c r="I185" s="378"/>
      <c r="J185" s="21"/>
      <c r="K185" s="21"/>
      <c r="L185" s="21"/>
      <c r="M185" s="21"/>
      <c r="N185" s="21"/>
      <c r="O185" s="21"/>
      <c r="P185" s="21"/>
      <c r="Q185" s="21"/>
      <c r="R185" s="21"/>
      <c r="S185" s="21"/>
      <c r="T185" s="20"/>
      <c r="V185" s="487" t="s">
        <v>2313</v>
      </c>
      <c r="W185" s="487"/>
      <c r="X185" s="487" t="s">
        <v>2348</v>
      </c>
      <c r="Y185" s="487"/>
      <c r="Z185" s="487"/>
      <c r="AA185" s="487"/>
      <c r="AB185" s="487"/>
      <c r="AC185" s="487"/>
      <c r="AD185" s="487"/>
      <c r="AE185" s="509" t="s">
        <v>325</v>
      </c>
    </row>
    <row r="186" spans="1:31" x14ac:dyDescent="0.3">
      <c r="A186" s="18"/>
      <c r="B186" s="372" t="s">
        <v>2400</v>
      </c>
      <c r="C186" s="21"/>
      <c r="D186" s="21"/>
      <c r="E186" s="319"/>
      <c r="F186" s="203">
        <v>0.75</v>
      </c>
      <c r="G186" s="372">
        <v>0.05</v>
      </c>
      <c r="H186" s="21"/>
      <c r="I186" s="378"/>
      <c r="J186" s="21"/>
      <c r="K186" s="21"/>
      <c r="L186" s="21"/>
      <c r="M186" s="21"/>
      <c r="N186" s="21"/>
      <c r="O186" s="21"/>
      <c r="P186" s="21"/>
      <c r="Q186" s="21"/>
      <c r="R186" s="21"/>
      <c r="S186" s="21"/>
      <c r="T186" s="20"/>
      <c r="V186" s="487"/>
      <c r="W186" s="487"/>
      <c r="X186" s="487"/>
      <c r="Y186" s="487"/>
      <c r="Z186" s="487"/>
      <c r="AA186" s="487"/>
      <c r="AB186" s="487"/>
      <c r="AC186" s="487"/>
      <c r="AD186" s="487"/>
      <c r="AE186" s="509"/>
    </row>
    <row r="187" spans="1:31" x14ac:dyDescent="0.3">
      <c r="A187" s="18"/>
      <c r="B187" s="21"/>
      <c r="C187" s="21"/>
      <c r="D187" s="21"/>
      <c r="E187" s="21"/>
      <c r="F187" s="21"/>
      <c r="G187" s="21"/>
      <c r="H187" s="21"/>
      <c r="I187" s="21"/>
      <c r="J187" s="21"/>
      <c r="K187" s="21"/>
      <c r="L187" s="21"/>
      <c r="M187" s="21"/>
      <c r="N187" s="21"/>
      <c r="O187" s="21"/>
      <c r="P187" s="21"/>
      <c r="Q187" s="21"/>
      <c r="R187" s="21"/>
      <c r="S187" s="21"/>
      <c r="T187" s="20"/>
      <c r="V187" s="487"/>
      <c r="W187" s="487"/>
      <c r="X187" s="487"/>
      <c r="Y187" s="487"/>
      <c r="Z187" s="487"/>
      <c r="AA187" s="487"/>
      <c r="AB187" s="487"/>
      <c r="AC187" s="487"/>
      <c r="AD187" s="487"/>
      <c r="AE187" s="509"/>
    </row>
    <row r="188" spans="1:31" x14ac:dyDescent="0.3">
      <c r="A188" s="18"/>
      <c r="B188" s="21"/>
      <c r="C188" s="21"/>
      <c r="D188" s="21"/>
      <c r="E188" s="21"/>
      <c r="F188" s="21"/>
      <c r="G188" s="21"/>
      <c r="H188" s="21"/>
      <c r="I188" s="21"/>
      <c r="J188" s="21"/>
      <c r="K188" s="21"/>
      <c r="L188" s="21"/>
      <c r="M188" s="21"/>
      <c r="N188" s="21"/>
      <c r="O188" s="21"/>
      <c r="P188" s="21"/>
      <c r="Q188" s="21"/>
      <c r="R188" s="21"/>
      <c r="S188" s="21"/>
      <c r="T188" s="20"/>
      <c r="V188" s="496" t="s">
        <v>2321</v>
      </c>
      <c r="W188" s="497"/>
      <c r="X188" s="496" t="s">
        <v>2322</v>
      </c>
      <c r="Y188" s="502"/>
      <c r="Z188" s="502"/>
      <c r="AA188" s="502"/>
      <c r="AB188" s="502"/>
      <c r="AC188" s="502"/>
      <c r="AD188" s="497"/>
      <c r="AE188" s="505" t="s">
        <v>326</v>
      </c>
    </row>
    <row r="189" spans="1:31" x14ac:dyDescent="0.3">
      <c r="A189" s="18"/>
      <c r="B189" s="9" t="str">
        <f t="array" ref="B189:I193">_xll.U.INVOKE_AS_MACRO(B182:I186,"config(FillFunctions)")</f>
        <v>Type</v>
      </c>
      <c r="C189" s="9" t="str">
        <v>Und Price</v>
      </c>
      <c r="D189" s="9" t="str">
        <v>Strike</v>
      </c>
      <c r="E189" s="190" t="str">
        <v>Value</v>
      </c>
      <c r="F189" s="9" t="str">
        <v>Time</v>
      </c>
      <c r="G189" s="9" t="str">
        <v>Rate</v>
      </c>
      <c r="H189" s="9" t="str">
        <v>Vol</v>
      </c>
      <c r="I189" s="9" t="str">
        <v>Type Upper</v>
      </c>
      <c r="J189" s="21"/>
      <c r="K189" s="21"/>
      <c r="L189" s="21"/>
      <c r="M189" s="21"/>
      <c r="N189" s="21"/>
      <c r="O189" s="21"/>
      <c r="P189" s="21"/>
      <c r="Q189" s="21"/>
      <c r="R189" s="21"/>
      <c r="S189" s="21"/>
      <c r="T189" s="20"/>
      <c r="V189" s="498"/>
      <c r="W189" s="499"/>
      <c r="X189" s="498"/>
      <c r="Y189" s="503"/>
      <c r="Z189" s="503"/>
      <c r="AA189" s="503"/>
      <c r="AB189" s="503"/>
      <c r="AC189" s="503"/>
      <c r="AD189" s="499"/>
      <c r="AE189" s="506"/>
    </row>
    <row r="190" spans="1:31" x14ac:dyDescent="0.3">
      <c r="A190" s="18"/>
      <c r="B190" s="109" t="str">
        <v>Call</v>
      </c>
      <c r="C190" s="374">
        <v>90.5</v>
      </c>
      <c r="D190" s="374">
        <v>95</v>
      </c>
      <c r="E190" s="267">
        <v>10.467684096415006</v>
      </c>
      <c r="F190" s="374">
        <v>0.75</v>
      </c>
      <c r="G190" s="375">
        <v>0.05</v>
      </c>
      <c r="H190" s="375">
        <v>0.35</v>
      </c>
      <c r="I190" s="377" t="str">
        <v>CALL</v>
      </c>
      <c r="J190" s="21"/>
      <c r="K190" s="21"/>
      <c r="L190" s="21"/>
      <c r="M190" s="21"/>
      <c r="N190" s="21"/>
      <c r="O190" s="21"/>
      <c r="P190" s="21"/>
      <c r="Q190" s="21"/>
      <c r="R190" s="21"/>
      <c r="S190" s="21"/>
      <c r="T190" s="20"/>
      <c r="V190" s="500"/>
      <c r="W190" s="501"/>
      <c r="X190" s="500"/>
      <c r="Y190" s="504"/>
      <c r="Z190" s="504"/>
      <c r="AA190" s="504"/>
      <c r="AB190" s="504"/>
      <c r="AC190" s="504"/>
      <c r="AD190" s="501"/>
      <c r="AE190" s="507"/>
    </row>
    <row r="191" spans="1:31" x14ac:dyDescent="0.3">
      <c r="A191" s="18"/>
      <c r="B191" s="109" t="str">
        <v>Put</v>
      </c>
      <c r="C191" s="374" t="str">
        <v/>
      </c>
      <c r="D191" s="374" t="str">
        <v/>
      </c>
      <c r="E191" s="267">
        <v>1.0545014655287925</v>
      </c>
      <c r="F191" s="374">
        <v>0.75</v>
      </c>
      <c r="G191" s="375">
        <v>0.05</v>
      </c>
      <c r="H191" s="375" t="str">
        <v/>
      </c>
      <c r="I191" s="377" t="str">
        <v>PUT</v>
      </c>
      <c r="J191" s="21"/>
      <c r="K191" s="21"/>
      <c r="L191" s="21"/>
      <c r="M191" s="21"/>
      <c r="N191" s="21"/>
      <c r="O191" s="21"/>
      <c r="P191" s="21"/>
      <c r="Q191" s="21"/>
      <c r="R191" s="21"/>
      <c r="S191" s="21"/>
      <c r="T191" s="20"/>
      <c r="V191" s="496" t="s">
        <v>2319</v>
      </c>
      <c r="W191" s="497"/>
      <c r="X191" s="496" t="s">
        <v>2323</v>
      </c>
      <c r="Y191" s="502"/>
      <c r="Z191" s="502"/>
      <c r="AA191" s="502"/>
      <c r="AB191" s="502"/>
      <c r="AC191" s="502"/>
      <c r="AD191" s="497"/>
      <c r="AE191" s="505" t="s">
        <v>326</v>
      </c>
    </row>
    <row r="192" spans="1:31" x14ac:dyDescent="0.3">
      <c r="A192" s="18"/>
      <c r="B192" s="109" t="str">
        <v>Call</v>
      </c>
      <c r="C192" s="374" t="str">
        <v/>
      </c>
      <c r="D192" s="374" t="str">
        <v/>
      </c>
      <c r="E192" s="267">
        <v>0.14504070542976483</v>
      </c>
      <c r="F192" s="374">
        <v>0.75</v>
      </c>
      <c r="G192" s="375">
        <v>0.05</v>
      </c>
      <c r="H192" s="375" t="str">
        <v/>
      </c>
      <c r="I192" s="377" t="str">
        <v>CALL</v>
      </c>
      <c r="J192" s="21"/>
      <c r="K192" s="21"/>
      <c r="L192" s="21"/>
      <c r="M192" s="21"/>
      <c r="N192" s="21"/>
      <c r="O192" s="21"/>
      <c r="P192" s="21"/>
      <c r="Q192" s="21"/>
      <c r="R192" s="21"/>
      <c r="S192" s="21"/>
      <c r="T192" s="20"/>
      <c r="V192" s="498"/>
      <c r="W192" s="499"/>
      <c r="X192" s="498"/>
      <c r="Y192" s="503"/>
      <c r="Z192" s="503"/>
      <c r="AA192" s="503"/>
      <c r="AB192" s="503"/>
      <c r="AC192" s="503"/>
      <c r="AD192" s="499"/>
      <c r="AE192" s="506"/>
    </row>
    <row r="193" spans="1:31" x14ac:dyDescent="0.3">
      <c r="A193" s="18"/>
      <c r="B193" s="109" t="str">
        <v>Put</v>
      </c>
      <c r="C193" s="374" t="str">
        <v/>
      </c>
      <c r="D193" s="374" t="str">
        <v/>
      </c>
      <c r="E193" s="267">
        <v>1.4611220115956489E-2</v>
      </c>
      <c r="F193" s="374">
        <v>0.75</v>
      </c>
      <c r="G193" s="375">
        <v>0.05</v>
      </c>
      <c r="H193" s="375" t="str">
        <v/>
      </c>
      <c r="I193" s="377" t="str">
        <v>PUT</v>
      </c>
      <c r="J193" s="21"/>
      <c r="K193" s="21"/>
      <c r="L193" s="21"/>
      <c r="M193" s="21"/>
      <c r="N193" s="21"/>
      <c r="O193" s="21"/>
      <c r="P193" s="21"/>
      <c r="Q193" s="21"/>
      <c r="R193" s="21"/>
      <c r="S193" s="21"/>
      <c r="T193" s="20"/>
      <c r="V193" s="500"/>
      <c r="W193" s="501"/>
      <c r="X193" s="500"/>
      <c r="Y193" s="504"/>
      <c r="Z193" s="504"/>
      <c r="AA193" s="504"/>
      <c r="AB193" s="504"/>
      <c r="AC193" s="504"/>
      <c r="AD193" s="501"/>
      <c r="AE193" s="507"/>
    </row>
    <row r="194" spans="1:31" x14ac:dyDescent="0.3">
      <c r="A194" s="18"/>
      <c r="B194" s="21"/>
      <c r="C194" s="21"/>
      <c r="D194" s="21"/>
      <c r="E194" s="21"/>
      <c r="F194" s="21"/>
      <c r="G194" s="21"/>
      <c r="H194" s="21"/>
      <c r="I194" s="21"/>
      <c r="J194" s="21"/>
      <c r="K194" s="21"/>
      <c r="L194" s="21"/>
      <c r="M194" s="21"/>
      <c r="N194" s="21"/>
      <c r="O194" s="21"/>
      <c r="P194" s="21"/>
      <c r="Q194" s="21"/>
      <c r="R194" s="21"/>
      <c r="S194" s="21"/>
      <c r="T194" s="20"/>
      <c r="V194" s="496" t="s">
        <v>2319</v>
      </c>
      <c r="W194" s="497"/>
      <c r="X194" s="496" t="s">
        <v>2320</v>
      </c>
      <c r="Y194" s="502"/>
      <c r="Z194" s="502"/>
      <c r="AA194" s="502"/>
      <c r="AB194" s="502"/>
      <c r="AC194" s="502"/>
      <c r="AD194" s="497"/>
      <c r="AE194" s="505" t="s">
        <v>326</v>
      </c>
    </row>
    <row r="195" spans="1:31" x14ac:dyDescent="0.3">
      <c r="A195" s="18"/>
      <c r="B195" s="21"/>
      <c r="C195" s="21"/>
      <c r="D195" s="21"/>
      <c r="E195" s="21"/>
      <c r="F195" s="21"/>
      <c r="G195" s="21"/>
      <c r="H195" s="21"/>
      <c r="I195" s="21"/>
      <c r="J195" s="21"/>
      <c r="K195" s="21"/>
      <c r="L195" s="21"/>
      <c r="M195" s="21"/>
      <c r="N195" s="21"/>
      <c r="O195" s="21"/>
      <c r="P195" s="21"/>
      <c r="Q195" s="21"/>
      <c r="R195" s="21"/>
      <c r="S195" s="21"/>
      <c r="T195" s="20"/>
      <c r="V195" s="498"/>
      <c r="W195" s="499"/>
      <c r="X195" s="498"/>
      <c r="Y195" s="503"/>
      <c r="Z195" s="503"/>
      <c r="AA195" s="503"/>
      <c r="AB195" s="503"/>
      <c r="AC195" s="503"/>
      <c r="AD195" s="499"/>
      <c r="AE195" s="506"/>
    </row>
    <row r="196" spans="1:31" x14ac:dyDescent="0.3">
      <c r="A196" s="18"/>
      <c r="B196" s="21"/>
      <c r="C196" s="21"/>
      <c r="D196" s="21"/>
      <c r="E196" s="21"/>
      <c r="F196" s="21"/>
      <c r="G196" s="21"/>
      <c r="H196" s="21"/>
      <c r="I196" s="21"/>
      <c r="J196" s="21"/>
      <c r="K196" s="21"/>
      <c r="L196" s="21"/>
      <c r="M196" s="21"/>
      <c r="N196" s="21"/>
      <c r="O196" s="21"/>
      <c r="P196" s="21"/>
      <c r="Q196" s="21"/>
      <c r="R196" s="21"/>
      <c r="S196" s="21"/>
      <c r="T196" s="20"/>
      <c r="V196" s="500"/>
      <c r="W196" s="501"/>
      <c r="X196" s="500"/>
      <c r="Y196" s="504"/>
      <c r="Z196" s="504"/>
      <c r="AA196" s="504"/>
      <c r="AB196" s="504"/>
      <c r="AC196" s="504"/>
      <c r="AD196" s="501"/>
      <c r="AE196" s="507"/>
    </row>
    <row r="197" spans="1:31" x14ac:dyDescent="0.3">
      <c r="A197" s="18"/>
      <c r="B197" s="21"/>
      <c r="C197" s="21"/>
      <c r="D197" s="21"/>
      <c r="E197" s="21"/>
      <c r="F197" s="21"/>
      <c r="G197" s="21"/>
      <c r="H197" s="21"/>
      <c r="I197" s="21"/>
      <c r="J197" s="21"/>
      <c r="K197" s="21"/>
      <c r="L197" s="21"/>
      <c r="M197" s="21"/>
      <c r="N197" s="21"/>
      <c r="O197" s="21"/>
      <c r="P197" s="21"/>
      <c r="Q197" s="21"/>
      <c r="R197" s="21"/>
      <c r="S197" s="21"/>
      <c r="T197" s="20"/>
      <c r="V197" s="496" t="s">
        <v>2319</v>
      </c>
      <c r="W197" s="497"/>
      <c r="X197" s="496" t="s">
        <v>2320</v>
      </c>
      <c r="Y197" s="502"/>
      <c r="Z197" s="502"/>
      <c r="AA197" s="502"/>
      <c r="AB197" s="502"/>
      <c r="AC197" s="502"/>
      <c r="AD197" s="497"/>
      <c r="AE197" s="505" t="s">
        <v>326</v>
      </c>
    </row>
    <row r="198" spans="1:31" x14ac:dyDescent="0.3">
      <c r="A198" s="18"/>
      <c r="B198" s="513" t="s">
        <v>2441</v>
      </c>
      <c r="C198" s="514"/>
      <c r="D198" s="514"/>
      <c r="E198" s="514"/>
      <c r="F198" s="514"/>
      <c r="G198" s="514"/>
      <c r="H198" s="515"/>
      <c r="I198" s="21"/>
      <c r="J198" s="21"/>
      <c r="K198" s="21"/>
      <c r="L198" s="21"/>
      <c r="M198" s="21"/>
      <c r="N198" s="21"/>
      <c r="O198" s="21"/>
      <c r="P198" s="21"/>
      <c r="Q198" s="21"/>
      <c r="R198" s="21"/>
      <c r="S198" s="21"/>
      <c r="T198" s="20"/>
      <c r="V198" s="498"/>
      <c r="W198" s="499"/>
      <c r="X198" s="498"/>
      <c r="Y198" s="503"/>
      <c r="Z198" s="503"/>
      <c r="AA198" s="503"/>
      <c r="AB198" s="503"/>
      <c r="AC198" s="503"/>
      <c r="AD198" s="499"/>
      <c r="AE198" s="506"/>
    </row>
    <row r="199" spans="1:31" x14ac:dyDescent="0.3">
      <c r="A199" s="18"/>
      <c r="B199" s="9" t="s">
        <v>2161</v>
      </c>
      <c r="C199" s="302" t="s">
        <v>2429</v>
      </c>
      <c r="D199" s="183" t="s">
        <v>1</v>
      </c>
      <c r="E199" s="262"/>
      <c r="F199" s="262"/>
      <c r="G199" s="262"/>
      <c r="H199" s="263"/>
      <c r="I199" s="21"/>
      <c r="J199" s="21"/>
      <c r="K199" s="21"/>
      <c r="L199" s="21"/>
      <c r="M199" s="21"/>
      <c r="N199" s="21"/>
      <c r="O199" s="21"/>
      <c r="P199" s="21"/>
      <c r="Q199" s="21"/>
      <c r="R199" s="21"/>
      <c r="S199" s="21"/>
      <c r="T199" s="20"/>
      <c r="V199" s="500"/>
      <c r="W199" s="501"/>
      <c r="X199" s="500"/>
      <c r="Y199" s="504"/>
      <c r="Z199" s="504"/>
      <c r="AA199" s="504"/>
      <c r="AB199" s="504"/>
      <c r="AC199" s="504"/>
      <c r="AD199" s="501"/>
      <c r="AE199" s="507"/>
    </row>
    <row r="200" spans="1:31" x14ac:dyDescent="0.3">
      <c r="A200" s="18"/>
      <c r="B200" s="109" t="s">
        <v>2427</v>
      </c>
      <c r="C200" s="109"/>
      <c r="D200" s="250" t="s">
        <v>2442</v>
      </c>
      <c r="E200" s="112"/>
      <c r="F200" s="112"/>
      <c r="G200" s="112"/>
      <c r="H200" s="113"/>
      <c r="I200" s="21"/>
      <c r="J200" s="21"/>
      <c r="K200" s="21"/>
      <c r="L200" s="21"/>
      <c r="M200" s="21"/>
      <c r="N200" s="21"/>
      <c r="O200" s="21"/>
      <c r="P200" s="21"/>
      <c r="Q200" s="21"/>
      <c r="R200" s="21"/>
      <c r="S200" s="21"/>
      <c r="T200" s="20"/>
      <c r="V200" s="496" t="s">
        <v>2319</v>
      </c>
      <c r="W200" s="497"/>
      <c r="X200" s="496" t="s">
        <v>2320</v>
      </c>
      <c r="Y200" s="502"/>
      <c r="Z200" s="502"/>
      <c r="AA200" s="502"/>
      <c r="AB200" s="502"/>
      <c r="AC200" s="502"/>
      <c r="AD200" s="497"/>
      <c r="AE200" s="505" t="s">
        <v>326</v>
      </c>
    </row>
    <row r="201" spans="1:31" x14ac:dyDescent="0.3">
      <c r="A201" s="18"/>
      <c r="B201" s="109" t="s">
        <v>2423</v>
      </c>
      <c r="C201" s="109"/>
      <c r="D201" s="250" t="s">
        <v>2435</v>
      </c>
      <c r="E201" s="112"/>
      <c r="F201" s="112"/>
      <c r="G201" s="112"/>
      <c r="H201" s="113"/>
      <c r="I201" s="21"/>
      <c r="J201" s="21"/>
      <c r="K201" s="21"/>
      <c r="L201" s="21"/>
      <c r="M201" s="21"/>
      <c r="N201" s="21"/>
      <c r="O201" s="21"/>
      <c r="P201" s="21"/>
      <c r="Q201" s="21"/>
      <c r="R201" s="21"/>
      <c r="S201" s="21"/>
      <c r="T201" s="20"/>
      <c r="V201" s="498"/>
      <c r="W201" s="499"/>
      <c r="X201" s="498"/>
      <c r="Y201" s="503"/>
      <c r="Z201" s="503"/>
      <c r="AA201" s="503"/>
      <c r="AB201" s="503"/>
      <c r="AC201" s="503"/>
      <c r="AD201" s="499"/>
      <c r="AE201" s="506"/>
    </row>
    <row r="202" spans="1:31" x14ac:dyDescent="0.3">
      <c r="A202" s="18"/>
      <c r="B202" s="109" t="s">
        <v>2426</v>
      </c>
      <c r="C202" s="109"/>
      <c r="D202" s="250" t="s">
        <v>3091</v>
      </c>
      <c r="E202" s="112"/>
      <c r="F202" s="112"/>
      <c r="G202" s="112"/>
      <c r="H202" s="113"/>
      <c r="I202" s="21"/>
      <c r="J202" s="21"/>
      <c r="K202" s="21"/>
      <c r="L202" s="21"/>
      <c r="M202" s="21"/>
      <c r="N202" s="21"/>
      <c r="O202" s="21"/>
      <c r="P202" s="21"/>
      <c r="Q202" s="21"/>
      <c r="R202" s="21"/>
      <c r="S202" s="21"/>
      <c r="T202" s="20"/>
      <c r="V202" s="500"/>
      <c r="W202" s="501"/>
      <c r="X202" s="500"/>
      <c r="Y202" s="504"/>
      <c r="Z202" s="504"/>
      <c r="AA202" s="504"/>
      <c r="AB202" s="504"/>
      <c r="AC202" s="504"/>
      <c r="AD202" s="501"/>
      <c r="AE202" s="507"/>
    </row>
    <row r="203" spans="1:31" x14ac:dyDescent="0.3">
      <c r="A203" s="18"/>
      <c r="B203" s="109" t="s">
        <v>2428</v>
      </c>
      <c r="C203" s="109"/>
      <c r="D203" s="250" t="s">
        <v>2757</v>
      </c>
      <c r="E203" s="112"/>
      <c r="F203" s="112"/>
      <c r="G203" s="112"/>
      <c r="H203" s="113"/>
      <c r="I203" s="21"/>
      <c r="J203" s="21"/>
      <c r="K203" s="21"/>
      <c r="L203" s="21"/>
      <c r="M203" s="21"/>
      <c r="N203" s="21"/>
      <c r="O203" s="21"/>
      <c r="P203" s="21"/>
      <c r="Q203" s="21"/>
      <c r="R203" s="21"/>
      <c r="S203" s="21"/>
      <c r="T203" s="20"/>
      <c r="V203" s="496" t="s">
        <v>2319</v>
      </c>
      <c r="W203" s="497"/>
      <c r="X203" s="496" t="s">
        <v>2320</v>
      </c>
      <c r="Y203" s="502"/>
      <c r="Z203" s="502"/>
      <c r="AA203" s="502"/>
      <c r="AB203" s="502"/>
      <c r="AC203" s="502"/>
      <c r="AD203" s="497"/>
      <c r="AE203" s="505" t="s">
        <v>326</v>
      </c>
    </row>
    <row r="204" spans="1:31" x14ac:dyDescent="0.3">
      <c r="A204" s="18"/>
      <c r="B204" s="109" t="s">
        <v>2520</v>
      </c>
      <c r="C204" s="109"/>
      <c r="D204" s="250" t="s">
        <v>2521</v>
      </c>
      <c r="E204" s="112"/>
      <c r="F204" s="112"/>
      <c r="G204" s="112"/>
      <c r="H204" s="113"/>
      <c r="I204" s="21"/>
      <c r="J204" s="21"/>
      <c r="K204" s="21"/>
      <c r="L204" s="21"/>
      <c r="M204" s="21"/>
      <c r="N204" s="21"/>
      <c r="O204" s="21"/>
      <c r="P204" s="21"/>
      <c r="Q204" s="21"/>
      <c r="R204" s="21"/>
      <c r="S204" s="21"/>
      <c r="T204" s="20"/>
      <c r="V204" s="498"/>
      <c r="W204" s="499"/>
      <c r="X204" s="498"/>
      <c r="Y204" s="503"/>
      <c r="Z204" s="503"/>
      <c r="AA204" s="503"/>
      <c r="AB204" s="503"/>
      <c r="AC204" s="503"/>
      <c r="AD204" s="499"/>
      <c r="AE204" s="506"/>
    </row>
    <row r="205" spans="1:31" x14ac:dyDescent="0.3">
      <c r="A205" s="18"/>
      <c r="B205" s="109" t="s">
        <v>2537</v>
      </c>
      <c r="C205" s="109"/>
      <c r="D205" s="250" t="s">
        <v>2538</v>
      </c>
      <c r="E205" s="112"/>
      <c r="F205" s="112"/>
      <c r="G205" s="112"/>
      <c r="H205" s="113"/>
      <c r="I205" s="21"/>
      <c r="J205" s="21"/>
      <c r="K205" s="21"/>
      <c r="L205" s="21"/>
      <c r="M205" s="21"/>
      <c r="N205" s="21"/>
      <c r="O205" s="21"/>
      <c r="P205" s="21"/>
      <c r="Q205" s="21"/>
      <c r="R205" s="21"/>
      <c r="S205" s="21"/>
      <c r="T205" s="20"/>
      <c r="V205" s="500"/>
      <c r="W205" s="501"/>
      <c r="X205" s="500"/>
      <c r="Y205" s="504"/>
      <c r="Z205" s="504"/>
      <c r="AA205" s="504"/>
      <c r="AB205" s="504"/>
      <c r="AC205" s="504"/>
      <c r="AD205" s="501"/>
      <c r="AE205" s="507"/>
    </row>
    <row r="206" spans="1:31" x14ac:dyDescent="0.3">
      <c r="A206" s="18"/>
      <c r="B206" s="109" t="s">
        <v>2436</v>
      </c>
      <c r="C206" s="109" t="s">
        <v>1786</v>
      </c>
      <c r="D206" s="250" t="s">
        <v>2438</v>
      </c>
      <c r="E206" s="112"/>
      <c r="F206" s="112"/>
      <c r="G206" s="112"/>
      <c r="H206" s="113"/>
      <c r="I206" s="21"/>
      <c r="J206" s="21"/>
      <c r="K206" s="21"/>
      <c r="L206" s="21"/>
      <c r="M206" s="21"/>
      <c r="N206" s="21"/>
      <c r="O206" s="21"/>
      <c r="P206" s="21"/>
      <c r="Q206" s="21"/>
      <c r="R206" s="21"/>
      <c r="S206" s="21"/>
      <c r="T206" s="20"/>
      <c r="V206" s="496" t="s">
        <v>2319</v>
      </c>
      <c r="W206" s="497"/>
      <c r="X206" s="496" t="s">
        <v>2320</v>
      </c>
      <c r="Y206" s="502"/>
      <c r="Z206" s="502"/>
      <c r="AA206" s="502"/>
      <c r="AB206" s="502"/>
      <c r="AC206" s="502"/>
      <c r="AD206" s="497"/>
      <c r="AE206" s="505" t="s">
        <v>326</v>
      </c>
    </row>
    <row r="207" spans="1:31" x14ac:dyDescent="0.3">
      <c r="A207" s="18"/>
      <c r="B207" s="109" t="s">
        <v>2430</v>
      </c>
      <c r="C207" s="109" t="s">
        <v>1786</v>
      </c>
      <c r="D207" s="250" t="s">
        <v>2437</v>
      </c>
      <c r="E207" s="112"/>
      <c r="F207" s="112"/>
      <c r="G207" s="112"/>
      <c r="H207" s="113"/>
      <c r="I207" s="21"/>
      <c r="J207" s="21"/>
      <c r="K207" s="21"/>
      <c r="L207" s="21"/>
      <c r="M207" s="21"/>
      <c r="N207" s="21"/>
      <c r="O207" s="21"/>
      <c r="P207" s="21"/>
      <c r="Q207" s="21"/>
      <c r="R207" s="21"/>
      <c r="S207" s="21"/>
      <c r="T207" s="20"/>
      <c r="V207" s="498"/>
      <c r="W207" s="499"/>
      <c r="X207" s="498"/>
      <c r="Y207" s="503"/>
      <c r="Z207" s="503"/>
      <c r="AA207" s="503"/>
      <c r="AB207" s="503"/>
      <c r="AC207" s="503"/>
      <c r="AD207" s="499"/>
      <c r="AE207" s="506"/>
    </row>
    <row r="208" spans="1:31" x14ac:dyDescent="0.3">
      <c r="A208" s="18"/>
      <c r="B208" s="109" t="s">
        <v>2431</v>
      </c>
      <c r="C208" s="109" t="s">
        <v>1786</v>
      </c>
      <c r="D208" s="250" t="s">
        <v>2439</v>
      </c>
      <c r="E208" s="112"/>
      <c r="F208" s="112"/>
      <c r="G208" s="112"/>
      <c r="H208" s="113"/>
      <c r="I208" s="21"/>
      <c r="J208" s="21"/>
      <c r="K208" s="21"/>
      <c r="L208" s="21"/>
      <c r="M208" s="21"/>
      <c r="N208" s="21"/>
      <c r="O208" s="21"/>
      <c r="P208" s="21"/>
      <c r="Q208" s="21"/>
      <c r="R208" s="21"/>
      <c r="S208" s="21"/>
      <c r="T208" s="20"/>
      <c r="V208" s="500"/>
      <c r="W208" s="501"/>
      <c r="X208" s="500"/>
      <c r="Y208" s="504"/>
      <c r="Z208" s="504"/>
      <c r="AA208" s="504"/>
      <c r="AB208" s="504"/>
      <c r="AC208" s="504"/>
      <c r="AD208" s="501"/>
      <c r="AE208" s="507"/>
    </row>
    <row r="209" spans="1:31" x14ac:dyDescent="0.3">
      <c r="A209" s="18"/>
      <c r="B209" s="109" t="s">
        <v>2432</v>
      </c>
      <c r="C209" s="109" t="s">
        <v>1786</v>
      </c>
      <c r="D209" s="250" t="s">
        <v>2759</v>
      </c>
      <c r="E209" s="112"/>
      <c r="F209" s="112"/>
      <c r="G209" s="112"/>
      <c r="H209" s="113"/>
      <c r="I209" s="21"/>
      <c r="J209" s="21"/>
      <c r="K209" s="21"/>
      <c r="L209" s="21"/>
      <c r="M209" s="21"/>
      <c r="N209" s="21"/>
      <c r="O209" s="21"/>
      <c r="P209" s="21"/>
      <c r="Q209" s="21"/>
      <c r="R209" s="21"/>
      <c r="S209" s="21"/>
      <c r="T209" s="20"/>
      <c r="V209" s="496" t="s">
        <v>2319</v>
      </c>
      <c r="W209" s="497"/>
      <c r="X209" s="496" t="s">
        <v>2320</v>
      </c>
      <c r="Y209" s="502"/>
      <c r="Z209" s="502"/>
      <c r="AA209" s="502"/>
      <c r="AB209" s="502"/>
      <c r="AC209" s="502"/>
      <c r="AD209" s="497"/>
      <c r="AE209" s="505" t="s">
        <v>326</v>
      </c>
    </row>
    <row r="210" spans="1:31" x14ac:dyDescent="0.3">
      <c r="A210" s="18"/>
      <c r="B210" s="109" t="s">
        <v>2433</v>
      </c>
      <c r="C210" s="109" t="s">
        <v>1786</v>
      </c>
      <c r="D210" s="250" t="s">
        <v>2758</v>
      </c>
      <c r="E210" s="112"/>
      <c r="F210" s="112"/>
      <c r="G210" s="112"/>
      <c r="H210" s="113"/>
      <c r="I210" s="21"/>
      <c r="J210" s="21"/>
      <c r="K210" s="21"/>
      <c r="L210" s="21"/>
      <c r="M210" s="21"/>
      <c r="N210" s="21"/>
      <c r="O210" s="21"/>
      <c r="P210" s="21"/>
      <c r="Q210" s="21"/>
      <c r="R210" s="21"/>
      <c r="S210" s="21"/>
      <c r="T210" s="20"/>
      <c r="V210" s="498"/>
      <c r="W210" s="499"/>
      <c r="X210" s="498"/>
      <c r="Y210" s="503"/>
      <c r="Z210" s="503"/>
      <c r="AA210" s="503"/>
      <c r="AB210" s="503"/>
      <c r="AC210" s="503"/>
      <c r="AD210" s="499"/>
      <c r="AE210" s="506"/>
    </row>
    <row r="211" spans="1:31" x14ac:dyDescent="0.3">
      <c r="A211" s="18"/>
      <c r="B211" s="109" t="s">
        <v>2434</v>
      </c>
      <c r="C211" s="109" t="s">
        <v>1786</v>
      </c>
      <c r="D211" s="250" t="s">
        <v>2440</v>
      </c>
      <c r="E211" s="112"/>
      <c r="F211" s="112"/>
      <c r="G211" s="112"/>
      <c r="H211" s="113"/>
      <c r="I211" s="21"/>
      <c r="J211" s="21"/>
      <c r="K211" s="21"/>
      <c r="L211" s="21"/>
      <c r="M211" s="21"/>
      <c r="N211" s="21"/>
      <c r="O211" s="21"/>
      <c r="P211" s="21"/>
      <c r="Q211" s="21"/>
      <c r="R211" s="21"/>
      <c r="S211" s="21"/>
      <c r="T211" s="20"/>
      <c r="V211" s="500"/>
      <c r="W211" s="501"/>
      <c r="X211" s="500"/>
      <c r="Y211" s="504"/>
      <c r="Z211" s="504"/>
      <c r="AA211" s="504"/>
      <c r="AB211" s="504"/>
      <c r="AC211" s="504"/>
      <c r="AD211" s="501"/>
      <c r="AE211" s="507"/>
    </row>
    <row r="212" spans="1:31" x14ac:dyDescent="0.3">
      <c r="A212" s="18"/>
      <c r="B212" s="21"/>
      <c r="C212" s="21"/>
      <c r="D212" s="21"/>
      <c r="E212" s="21"/>
      <c r="F212" s="21"/>
      <c r="G212" s="21"/>
      <c r="H212" s="21"/>
      <c r="I212" s="21"/>
      <c r="J212" s="21"/>
      <c r="K212" s="21"/>
      <c r="L212" s="21"/>
      <c r="M212" s="21"/>
      <c r="N212" s="21"/>
      <c r="O212" s="21"/>
      <c r="P212" s="21"/>
      <c r="Q212" s="21"/>
      <c r="R212" s="21"/>
      <c r="S212" s="21"/>
      <c r="T212" s="20"/>
      <c r="V212" s="496" t="s">
        <v>2319</v>
      </c>
      <c r="W212" s="497"/>
      <c r="X212" s="496" t="s">
        <v>2320</v>
      </c>
      <c r="Y212" s="502"/>
      <c r="Z212" s="502"/>
      <c r="AA212" s="502"/>
      <c r="AB212" s="502"/>
      <c r="AC212" s="502"/>
      <c r="AD212" s="497"/>
      <c r="AE212" s="505" t="s">
        <v>326</v>
      </c>
    </row>
    <row r="213" spans="1:31" x14ac:dyDescent="0.3">
      <c r="A213" s="18"/>
      <c r="B213" s="21"/>
      <c r="C213" s="21"/>
      <c r="D213" s="21"/>
      <c r="E213" s="21"/>
      <c r="F213" s="21"/>
      <c r="G213" s="21"/>
      <c r="H213" s="21"/>
      <c r="I213" s="21"/>
      <c r="J213" s="21"/>
      <c r="K213" s="21"/>
      <c r="L213" s="21"/>
      <c r="M213" s="21"/>
      <c r="N213" s="21"/>
      <c r="O213" s="21"/>
      <c r="P213" s="21"/>
      <c r="Q213" s="21"/>
      <c r="R213" s="21"/>
      <c r="S213" s="21"/>
      <c r="T213" s="20"/>
      <c r="V213" s="498"/>
      <c r="W213" s="499"/>
      <c r="X213" s="498"/>
      <c r="Y213" s="503"/>
      <c r="Z213" s="503"/>
      <c r="AA213" s="503"/>
      <c r="AB213" s="503"/>
      <c r="AC213" s="503"/>
      <c r="AD213" s="499"/>
      <c r="AE213" s="506"/>
    </row>
    <row r="214" spans="1:31" x14ac:dyDescent="0.3">
      <c r="A214" s="18"/>
      <c r="B214" s="513" t="s">
        <v>2775</v>
      </c>
      <c r="C214" s="515"/>
      <c r="D214" s="21"/>
      <c r="E214" s="21"/>
      <c r="F214" s="21"/>
      <c r="G214" s="179" t="s">
        <v>3599</v>
      </c>
      <c r="H214" s="21"/>
      <c r="I214" s="21"/>
      <c r="J214" s="21"/>
      <c r="K214" s="21"/>
      <c r="L214" s="21"/>
      <c r="M214" s="21"/>
      <c r="N214" s="21"/>
      <c r="O214" s="21"/>
      <c r="P214" s="21"/>
      <c r="Q214" s="21"/>
      <c r="R214" s="21"/>
      <c r="S214" s="21"/>
      <c r="T214" s="20"/>
      <c r="V214" s="500"/>
      <c r="W214" s="501"/>
      <c r="X214" s="500"/>
      <c r="Y214" s="504"/>
      <c r="Z214" s="504"/>
      <c r="AA214" s="504"/>
      <c r="AB214" s="504"/>
      <c r="AC214" s="504"/>
      <c r="AD214" s="501"/>
      <c r="AE214" s="507"/>
    </row>
    <row r="215" spans="1:31" x14ac:dyDescent="0.3">
      <c r="A215" s="18"/>
      <c r="B215" s="9" t="s">
        <v>679</v>
      </c>
      <c r="C215" s="360" t="s">
        <v>2443</v>
      </c>
      <c r="D215" s="21"/>
      <c r="E215" s="21"/>
      <c r="F215" s="21"/>
      <c r="G215" s="354" t="str" cm="1">
        <f t="array" ref="G215">_xll.U.COMPILE(C215,C218,,C216,,,C217)</f>
        <v>Function GetMemoryUsage compiled at 2026-05-03 21:26:20</v>
      </c>
      <c r="H215" s="21"/>
      <c r="I215" s="21"/>
      <c r="J215" s="21"/>
      <c r="K215" s="21"/>
      <c r="L215" s="21"/>
      <c r="M215" s="21"/>
      <c r="N215" s="21"/>
      <c r="O215" s="21"/>
      <c r="P215" s="21"/>
      <c r="Q215" s="21"/>
      <c r="R215" s="21"/>
      <c r="S215" s="21"/>
      <c r="T215" s="20"/>
      <c r="V215" s="496" t="s">
        <v>2319</v>
      </c>
      <c r="W215" s="497"/>
      <c r="X215" s="496" t="s">
        <v>2320</v>
      </c>
      <c r="Y215" s="502"/>
      <c r="Z215" s="502"/>
      <c r="AA215" s="502"/>
      <c r="AB215" s="502"/>
      <c r="AC215" s="502"/>
      <c r="AD215" s="497"/>
      <c r="AE215" s="505" t="s">
        <v>326</v>
      </c>
    </row>
    <row r="216" spans="1:31" x14ac:dyDescent="0.3">
      <c r="A216" s="18"/>
      <c r="B216" s="9" t="s">
        <v>2409</v>
      </c>
      <c r="C216" s="360" t="s">
        <v>2410</v>
      </c>
      <c r="D216" s="21"/>
      <c r="E216" s="21"/>
      <c r="F216" s="21"/>
      <c r="G216" s="21"/>
      <c r="H216" s="21"/>
      <c r="I216" s="21"/>
      <c r="J216" s="21"/>
      <c r="K216" s="21"/>
      <c r="L216" s="21"/>
      <c r="M216" s="21"/>
      <c r="N216" s="21"/>
      <c r="O216" s="21"/>
      <c r="P216" s="21"/>
      <c r="Q216" s="21"/>
      <c r="R216" s="21"/>
      <c r="S216" s="21"/>
      <c r="T216" s="20"/>
      <c r="V216" s="498"/>
      <c r="W216" s="499"/>
      <c r="X216" s="498"/>
      <c r="Y216" s="503"/>
      <c r="Z216" s="503"/>
      <c r="AA216" s="503"/>
      <c r="AB216" s="503"/>
      <c r="AC216" s="503"/>
      <c r="AD216" s="499"/>
      <c r="AE216" s="506"/>
    </row>
    <row r="217" spans="1:31" x14ac:dyDescent="0.3">
      <c r="A217" s="18"/>
      <c r="B217" s="9" t="s">
        <v>2380</v>
      </c>
      <c r="C217" s="360" t="s">
        <v>2444</v>
      </c>
      <c r="D217" s="21"/>
      <c r="E217" s="21"/>
      <c r="F217" s="21"/>
      <c r="G217" s="21"/>
      <c r="H217" s="21"/>
      <c r="I217" s="21"/>
      <c r="J217" s="21"/>
      <c r="K217" s="21"/>
      <c r="L217" s="21"/>
      <c r="M217" s="21"/>
      <c r="N217" s="21"/>
      <c r="O217" s="21"/>
      <c r="P217" s="21"/>
      <c r="Q217" s="21"/>
      <c r="R217" s="21"/>
      <c r="S217" s="21"/>
      <c r="T217" s="20"/>
      <c r="V217" s="500"/>
      <c r="W217" s="501"/>
      <c r="X217" s="500"/>
      <c r="Y217" s="504"/>
      <c r="Z217" s="504"/>
      <c r="AA217" s="504"/>
      <c r="AB217" s="504"/>
      <c r="AC217" s="504"/>
      <c r="AD217" s="501"/>
      <c r="AE217" s="507"/>
    </row>
    <row r="218" spans="1:31" x14ac:dyDescent="0.3">
      <c r="A218" s="18"/>
      <c r="B218" s="302" t="s">
        <v>1832</v>
      </c>
      <c r="C218" s="595" t="s">
        <v>3630</v>
      </c>
      <c r="D218" s="596"/>
      <c r="E218" s="597"/>
      <c r="F218" s="21"/>
      <c r="G218" s="21"/>
      <c r="H218" s="21"/>
      <c r="I218" s="21"/>
      <c r="J218" s="21"/>
      <c r="K218" s="21"/>
      <c r="L218" s="21"/>
      <c r="M218" s="21"/>
      <c r="N218" s="21"/>
      <c r="O218" s="21"/>
      <c r="P218" s="21"/>
      <c r="Q218" s="21"/>
      <c r="R218" s="21"/>
      <c r="S218" s="21"/>
      <c r="T218" s="20"/>
      <c r="V218" s="496" t="s">
        <v>2319</v>
      </c>
      <c r="W218" s="497"/>
      <c r="X218" s="496" t="s">
        <v>2320</v>
      </c>
      <c r="Y218" s="502"/>
      <c r="Z218" s="502"/>
      <c r="AA218" s="502"/>
      <c r="AB218" s="502"/>
      <c r="AC218" s="502"/>
      <c r="AD218" s="497"/>
      <c r="AE218" s="505" t="s">
        <v>326</v>
      </c>
    </row>
    <row r="219" spans="1:31" x14ac:dyDescent="0.3">
      <c r="A219" s="18"/>
      <c r="B219" s="21"/>
      <c r="C219" s="598"/>
      <c r="D219" s="599"/>
      <c r="E219" s="600"/>
      <c r="F219" s="21"/>
      <c r="G219" s="21"/>
      <c r="H219" s="21"/>
      <c r="I219" s="21"/>
      <c r="J219" s="21"/>
      <c r="K219" s="21"/>
      <c r="L219" s="21"/>
      <c r="M219" s="21"/>
      <c r="N219" s="21"/>
      <c r="O219" s="21"/>
      <c r="P219" s="21"/>
      <c r="Q219" s="21"/>
      <c r="R219" s="21"/>
      <c r="S219" s="21"/>
      <c r="T219" s="20"/>
      <c r="V219" s="498"/>
      <c r="W219" s="499"/>
      <c r="X219" s="498"/>
      <c r="Y219" s="503"/>
      <c r="Z219" s="503"/>
      <c r="AA219" s="503"/>
      <c r="AB219" s="503"/>
      <c r="AC219" s="503"/>
      <c r="AD219" s="499"/>
      <c r="AE219" s="506"/>
    </row>
    <row r="220" spans="1:31" x14ac:dyDescent="0.3">
      <c r="A220" s="18"/>
      <c r="B220" s="21"/>
      <c r="C220" s="598"/>
      <c r="D220" s="599"/>
      <c r="E220" s="600"/>
      <c r="F220" s="21"/>
      <c r="G220" s="21"/>
      <c r="H220" s="21"/>
      <c r="I220" s="21"/>
      <c r="J220" s="21"/>
      <c r="K220" s="21"/>
      <c r="L220" s="21"/>
      <c r="M220" s="21"/>
      <c r="N220" s="21"/>
      <c r="O220" s="21"/>
      <c r="P220" s="21"/>
      <c r="Q220" s="21"/>
      <c r="R220" s="21"/>
      <c r="S220" s="21"/>
      <c r="T220" s="20"/>
      <c r="V220" s="500"/>
      <c r="W220" s="501"/>
      <c r="X220" s="500"/>
      <c r="Y220" s="504"/>
      <c r="Z220" s="504"/>
      <c r="AA220" s="504"/>
      <c r="AB220" s="504"/>
      <c r="AC220" s="504"/>
      <c r="AD220" s="501"/>
      <c r="AE220" s="507"/>
    </row>
    <row r="221" spans="1:31" x14ac:dyDescent="0.3">
      <c r="A221" s="18"/>
      <c r="B221" s="21"/>
      <c r="C221" s="598"/>
      <c r="D221" s="599"/>
      <c r="E221" s="600"/>
      <c r="F221" s="21"/>
      <c r="G221" s="179" t="s">
        <v>3603</v>
      </c>
      <c r="H221" s="21"/>
      <c r="I221" s="21"/>
      <c r="J221" s="21"/>
      <c r="K221" s="21"/>
      <c r="L221" s="21"/>
      <c r="M221" s="21"/>
      <c r="N221" s="21"/>
      <c r="O221" s="21"/>
      <c r="P221" s="21"/>
      <c r="Q221" s="21"/>
      <c r="R221" s="21"/>
      <c r="S221" s="21"/>
      <c r="T221" s="20"/>
      <c r="V221" s="496" t="s">
        <v>2319</v>
      </c>
      <c r="W221" s="497"/>
      <c r="X221" s="496" t="s">
        <v>2320</v>
      </c>
      <c r="Y221" s="502"/>
      <c r="Z221" s="502"/>
      <c r="AA221" s="502"/>
      <c r="AB221" s="502"/>
      <c r="AC221" s="502"/>
      <c r="AD221" s="497"/>
      <c r="AE221" s="505" t="s">
        <v>326</v>
      </c>
    </row>
    <row r="222" spans="1:31" x14ac:dyDescent="0.3">
      <c r="A222" s="18"/>
      <c r="B222" s="21"/>
      <c r="C222" s="598"/>
      <c r="D222" s="599"/>
      <c r="E222" s="600"/>
      <c r="F222" s="21"/>
      <c r="G222" s="361" t="str" cm="1">
        <f t="array" ref="G222">_xll.U.INVOKE_ASYNC(C215)</f>
        <v>Memory: 593.32 MB</v>
      </c>
      <c r="H222" s="21"/>
      <c r="I222" s="21"/>
      <c r="J222" s="21"/>
      <c r="K222" s="21"/>
      <c r="L222" s="21"/>
      <c r="M222" s="21"/>
      <c r="N222" s="21"/>
      <c r="O222" s="21"/>
      <c r="P222" s="21"/>
      <c r="Q222" s="21"/>
      <c r="R222" s="21"/>
      <c r="S222" s="21"/>
      <c r="T222" s="20"/>
      <c r="V222" s="498"/>
      <c r="W222" s="499"/>
      <c r="X222" s="498"/>
      <c r="Y222" s="503"/>
      <c r="Z222" s="503"/>
      <c r="AA222" s="503"/>
      <c r="AB222" s="503"/>
      <c r="AC222" s="503"/>
      <c r="AD222" s="499"/>
      <c r="AE222" s="506"/>
    </row>
    <row r="223" spans="1:31" x14ac:dyDescent="0.3">
      <c r="A223" s="18"/>
      <c r="B223" s="21"/>
      <c r="C223" s="598"/>
      <c r="D223" s="599"/>
      <c r="E223" s="600"/>
      <c r="F223" s="21"/>
      <c r="G223" s="21"/>
      <c r="H223" s="21"/>
      <c r="I223" s="21"/>
      <c r="J223" s="21"/>
      <c r="K223" s="21"/>
      <c r="L223" s="21"/>
      <c r="M223" s="21"/>
      <c r="N223" s="21"/>
      <c r="O223" s="21"/>
      <c r="P223" s="21"/>
      <c r="Q223" s="21"/>
      <c r="R223" s="21"/>
      <c r="S223" s="21"/>
      <c r="T223" s="20"/>
      <c r="V223" s="500"/>
      <c r="W223" s="501"/>
      <c r="X223" s="500"/>
      <c r="Y223" s="504"/>
      <c r="Z223" s="504"/>
      <c r="AA223" s="504"/>
      <c r="AB223" s="504"/>
      <c r="AC223" s="504"/>
      <c r="AD223" s="501"/>
      <c r="AE223" s="507"/>
    </row>
    <row r="224" spans="1:31" x14ac:dyDescent="0.3">
      <c r="A224" s="18"/>
      <c r="B224" s="21"/>
      <c r="C224" s="598"/>
      <c r="D224" s="599"/>
      <c r="E224" s="600"/>
      <c r="F224" s="21"/>
      <c r="G224" s="21"/>
      <c r="H224" s="21"/>
      <c r="I224" s="21"/>
      <c r="J224" s="21"/>
      <c r="K224" s="21"/>
      <c r="L224" s="21"/>
      <c r="M224" s="21"/>
      <c r="N224" s="21"/>
      <c r="O224" s="21"/>
      <c r="P224" s="21"/>
      <c r="Q224" s="21"/>
      <c r="R224" s="21"/>
      <c r="S224" s="21"/>
      <c r="T224" s="20"/>
      <c r="V224" s="496" t="s">
        <v>2319</v>
      </c>
      <c r="W224" s="497"/>
      <c r="X224" s="496" t="s">
        <v>2320</v>
      </c>
      <c r="Y224" s="502"/>
      <c r="Z224" s="502"/>
      <c r="AA224" s="502"/>
      <c r="AB224" s="502"/>
      <c r="AC224" s="502"/>
      <c r="AD224" s="497"/>
      <c r="AE224" s="505" t="s">
        <v>326</v>
      </c>
    </row>
    <row r="225" spans="1:31" x14ac:dyDescent="0.3">
      <c r="A225" s="18"/>
      <c r="B225" s="21"/>
      <c r="C225" s="598"/>
      <c r="D225" s="599"/>
      <c r="E225" s="600"/>
      <c r="F225" s="21"/>
      <c r="G225" s="21"/>
      <c r="H225" s="21"/>
      <c r="I225" s="21"/>
      <c r="J225" s="21"/>
      <c r="K225" s="21"/>
      <c r="L225" s="21"/>
      <c r="M225" s="21"/>
      <c r="N225" s="21"/>
      <c r="O225" s="21"/>
      <c r="P225" s="21"/>
      <c r="Q225" s="21"/>
      <c r="R225" s="21"/>
      <c r="S225" s="21"/>
      <c r="T225" s="20"/>
      <c r="V225" s="498"/>
      <c r="W225" s="499"/>
      <c r="X225" s="498"/>
      <c r="Y225" s="503"/>
      <c r="Z225" s="503"/>
      <c r="AA225" s="503"/>
      <c r="AB225" s="503"/>
      <c r="AC225" s="503"/>
      <c r="AD225" s="499"/>
      <c r="AE225" s="506"/>
    </row>
    <row r="226" spans="1:31" x14ac:dyDescent="0.3">
      <c r="A226" s="18"/>
      <c r="B226" s="21"/>
      <c r="C226" s="598"/>
      <c r="D226" s="599"/>
      <c r="E226" s="600"/>
      <c r="F226" s="21"/>
      <c r="G226" s="21"/>
      <c r="H226" s="21"/>
      <c r="I226" s="21"/>
      <c r="J226" s="21"/>
      <c r="K226" s="21"/>
      <c r="L226" s="21"/>
      <c r="M226" s="21"/>
      <c r="N226" s="21"/>
      <c r="O226" s="21"/>
      <c r="P226" s="21"/>
      <c r="Q226" s="21"/>
      <c r="R226" s="21"/>
      <c r="S226" s="21"/>
      <c r="T226" s="20"/>
      <c r="V226" s="500"/>
      <c r="W226" s="501"/>
      <c r="X226" s="500"/>
      <c r="Y226" s="504"/>
      <c r="Z226" s="504"/>
      <c r="AA226" s="504"/>
      <c r="AB226" s="504"/>
      <c r="AC226" s="504"/>
      <c r="AD226" s="501"/>
      <c r="AE226" s="507"/>
    </row>
    <row r="227" spans="1:31" x14ac:dyDescent="0.3">
      <c r="A227" s="18"/>
      <c r="B227" s="21"/>
      <c r="C227" s="601"/>
      <c r="D227" s="602"/>
      <c r="E227" s="603"/>
      <c r="F227" s="21"/>
      <c r="G227" s="21"/>
      <c r="H227" s="21"/>
      <c r="I227" s="21"/>
      <c r="J227" s="21"/>
      <c r="K227" s="21"/>
      <c r="L227" s="21"/>
      <c r="M227" s="21"/>
      <c r="N227" s="21"/>
      <c r="O227" s="21"/>
      <c r="P227" s="21"/>
      <c r="Q227" s="21"/>
      <c r="R227" s="21"/>
      <c r="S227" s="21"/>
      <c r="T227" s="20"/>
      <c r="V227" s="496" t="s">
        <v>2319</v>
      </c>
      <c r="W227" s="497"/>
      <c r="X227" s="496" t="s">
        <v>2320</v>
      </c>
      <c r="Y227" s="502"/>
      <c r="Z227" s="502"/>
      <c r="AA227" s="502"/>
      <c r="AB227" s="502"/>
      <c r="AC227" s="502"/>
      <c r="AD227" s="497"/>
      <c r="AE227" s="505" t="s">
        <v>326</v>
      </c>
    </row>
    <row r="228" spans="1:31" x14ac:dyDescent="0.3">
      <c r="A228" s="18"/>
      <c r="B228" s="21"/>
      <c r="C228" s="21"/>
      <c r="D228" s="21"/>
      <c r="E228" s="21"/>
      <c r="F228" s="21"/>
      <c r="G228" s="21"/>
      <c r="H228" s="21"/>
      <c r="I228" s="21"/>
      <c r="J228" s="21"/>
      <c r="K228" s="21"/>
      <c r="L228" s="21"/>
      <c r="M228" s="21"/>
      <c r="N228" s="21"/>
      <c r="O228" s="21"/>
      <c r="P228" s="21"/>
      <c r="Q228" s="21"/>
      <c r="R228" s="21"/>
      <c r="S228" s="21"/>
      <c r="T228" s="20"/>
      <c r="V228" s="498"/>
      <c r="W228" s="499"/>
      <c r="X228" s="498"/>
      <c r="Y228" s="503"/>
      <c r="Z228" s="503"/>
      <c r="AA228" s="503"/>
      <c r="AB228" s="503"/>
      <c r="AC228" s="503"/>
      <c r="AD228" s="499"/>
      <c r="AE228" s="506"/>
    </row>
    <row r="229" spans="1:31" x14ac:dyDescent="0.3">
      <c r="A229" s="18"/>
      <c r="B229" s="21"/>
      <c r="C229" s="21"/>
      <c r="D229" s="21"/>
      <c r="E229" s="21"/>
      <c r="F229" s="21"/>
      <c r="G229" s="21"/>
      <c r="H229" s="21"/>
      <c r="I229" s="21"/>
      <c r="J229" s="21"/>
      <c r="K229" s="21"/>
      <c r="L229" s="21"/>
      <c r="M229" s="21"/>
      <c r="N229" s="21"/>
      <c r="O229" s="21"/>
      <c r="P229" s="21"/>
      <c r="Q229" s="21"/>
      <c r="R229" s="21"/>
      <c r="S229" s="21"/>
      <c r="T229" s="20"/>
      <c r="V229" s="500"/>
      <c r="W229" s="501"/>
      <c r="X229" s="500"/>
      <c r="Y229" s="504"/>
      <c r="Z229" s="504"/>
      <c r="AA229" s="504"/>
      <c r="AB229" s="504"/>
      <c r="AC229" s="504"/>
      <c r="AD229" s="501"/>
      <c r="AE229" s="507"/>
    </row>
    <row r="230" spans="1:31" x14ac:dyDescent="0.3">
      <c r="A230" s="18"/>
      <c r="B230" s="21"/>
      <c r="C230" s="21"/>
      <c r="D230" s="21"/>
      <c r="E230" s="21"/>
      <c r="F230" s="21"/>
      <c r="G230" s="21"/>
      <c r="H230" s="21"/>
      <c r="I230" s="21"/>
      <c r="J230" s="21"/>
      <c r="K230" s="21"/>
      <c r="L230" s="21"/>
      <c r="M230" s="21"/>
      <c r="N230" s="21"/>
      <c r="O230" s="21"/>
      <c r="P230" s="21"/>
      <c r="Q230" s="21"/>
      <c r="R230" s="21"/>
      <c r="S230" s="21"/>
      <c r="T230" s="20"/>
      <c r="V230" s="496" t="s">
        <v>2319</v>
      </c>
      <c r="W230" s="497"/>
      <c r="X230" s="496" t="s">
        <v>2320</v>
      </c>
      <c r="Y230" s="502"/>
      <c r="Z230" s="502"/>
      <c r="AA230" s="502"/>
      <c r="AB230" s="502"/>
      <c r="AC230" s="502"/>
      <c r="AD230" s="497"/>
      <c r="AE230" s="505" t="s">
        <v>326</v>
      </c>
    </row>
    <row r="231" spans="1:31" x14ac:dyDescent="0.3">
      <c r="A231" s="18"/>
      <c r="B231" s="21"/>
      <c r="C231" s="21"/>
      <c r="D231" s="21"/>
      <c r="E231" s="21"/>
      <c r="F231" s="21"/>
      <c r="G231" s="21"/>
      <c r="H231" s="21"/>
      <c r="I231" s="21"/>
      <c r="J231" s="21"/>
      <c r="K231" s="21"/>
      <c r="L231" s="21"/>
      <c r="M231" s="21"/>
      <c r="N231" s="21"/>
      <c r="O231" s="21"/>
      <c r="P231" s="21"/>
      <c r="Q231" s="21"/>
      <c r="R231" s="21"/>
      <c r="S231" s="21"/>
      <c r="T231" s="20"/>
      <c r="V231" s="498"/>
      <c r="W231" s="499"/>
      <c r="X231" s="498"/>
      <c r="Y231" s="503"/>
      <c r="Z231" s="503"/>
      <c r="AA231" s="503"/>
      <c r="AB231" s="503"/>
      <c r="AC231" s="503"/>
      <c r="AD231" s="499"/>
      <c r="AE231" s="506"/>
    </row>
    <row r="232" spans="1:31" x14ac:dyDescent="0.3">
      <c r="A232" s="18"/>
      <c r="B232" s="21"/>
      <c r="C232" s="21"/>
      <c r="D232" s="21"/>
      <c r="E232" s="21"/>
      <c r="F232" s="21"/>
      <c r="G232" s="21"/>
      <c r="H232" s="21"/>
      <c r="I232" s="21"/>
      <c r="J232" s="21"/>
      <c r="K232" s="21"/>
      <c r="L232" s="21"/>
      <c r="M232" s="21"/>
      <c r="N232" s="21"/>
      <c r="O232" s="21"/>
      <c r="P232" s="21"/>
      <c r="Q232" s="21"/>
      <c r="R232" s="21"/>
      <c r="S232" s="21"/>
      <c r="T232" s="20"/>
      <c r="V232" s="500"/>
      <c r="W232" s="501"/>
      <c r="X232" s="500"/>
      <c r="Y232" s="504"/>
      <c r="Z232" s="504"/>
      <c r="AA232" s="504"/>
      <c r="AB232" s="504"/>
      <c r="AC232" s="504"/>
      <c r="AD232" s="501"/>
      <c r="AE232" s="507"/>
    </row>
    <row r="233" spans="1:31" x14ac:dyDescent="0.3">
      <c r="A233" s="18"/>
      <c r="B233" s="21"/>
      <c r="C233" s="21"/>
      <c r="D233" s="21"/>
      <c r="E233" s="21"/>
      <c r="F233" s="21"/>
      <c r="G233" s="21"/>
      <c r="H233" s="21"/>
      <c r="I233" s="21"/>
      <c r="J233" s="21"/>
      <c r="K233" s="21"/>
      <c r="L233" s="21"/>
      <c r="M233" s="21"/>
      <c r="N233" s="21"/>
      <c r="O233" s="21"/>
      <c r="P233" s="21"/>
      <c r="Q233" s="21"/>
      <c r="R233" s="21"/>
      <c r="S233" s="21"/>
      <c r="T233" s="20"/>
      <c r="V233" s="496" t="s">
        <v>2319</v>
      </c>
      <c r="W233" s="497"/>
      <c r="X233" s="496" t="s">
        <v>2320</v>
      </c>
      <c r="Y233" s="502"/>
      <c r="Z233" s="502"/>
      <c r="AA233" s="502"/>
      <c r="AB233" s="502"/>
      <c r="AC233" s="502"/>
      <c r="AD233" s="497"/>
      <c r="AE233" s="505" t="s">
        <v>326</v>
      </c>
    </row>
    <row r="234" spans="1:31" x14ac:dyDescent="0.3">
      <c r="A234" s="18"/>
      <c r="B234" s="21"/>
      <c r="C234" s="21"/>
      <c r="D234" s="21"/>
      <c r="E234" s="21"/>
      <c r="F234" s="21"/>
      <c r="G234" s="21"/>
      <c r="H234" s="21"/>
      <c r="I234" s="21"/>
      <c r="J234" s="21"/>
      <c r="K234" s="21"/>
      <c r="L234" s="21"/>
      <c r="M234" s="21"/>
      <c r="N234" s="21"/>
      <c r="O234" s="21"/>
      <c r="P234" s="21"/>
      <c r="Q234" s="21"/>
      <c r="R234" s="21"/>
      <c r="S234" s="21"/>
      <c r="T234" s="20"/>
      <c r="V234" s="498"/>
      <c r="W234" s="499"/>
      <c r="X234" s="498"/>
      <c r="Y234" s="503"/>
      <c r="Z234" s="503"/>
      <c r="AA234" s="503"/>
      <c r="AB234" s="503"/>
      <c r="AC234" s="503"/>
      <c r="AD234" s="499"/>
      <c r="AE234" s="506"/>
    </row>
    <row r="235" spans="1:31" x14ac:dyDescent="0.3">
      <c r="A235" s="18"/>
      <c r="B235" s="513" t="s">
        <v>2775</v>
      </c>
      <c r="C235" s="515"/>
      <c r="D235" s="21"/>
      <c r="E235" s="21"/>
      <c r="F235" s="21"/>
      <c r="G235" s="179" t="s">
        <v>3599</v>
      </c>
      <c r="H235" s="21"/>
      <c r="I235" s="21"/>
      <c r="J235" s="21"/>
      <c r="K235" s="21"/>
      <c r="L235" s="21"/>
      <c r="M235" s="21"/>
      <c r="N235" s="21"/>
      <c r="O235" s="21"/>
      <c r="P235" s="21"/>
      <c r="Q235" s="21"/>
      <c r="R235" s="21"/>
      <c r="S235" s="21"/>
      <c r="T235" s="20"/>
      <c r="V235" s="500"/>
      <c r="W235" s="501"/>
      <c r="X235" s="500"/>
      <c r="Y235" s="504"/>
      <c r="Z235" s="504"/>
      <c r="AA235" s="504"/>
      <c r="AB235" s="504"/>
      <c r="AC235" s="504"/>
      <c r="AD235" s="501"/>
      <c r="AE235" s="507"/>
    </row>
    <row r="236" spans="1:31" x14ac:dyDescent="0.3">
      <c r="A236" s="18"/>
      <c r="B236" s="9" t="s">
        <v>679</v>
      </c>
      <c r="C236" s="360" t="s">
        <v>2780</v>
      </c>
      <c r="D236" s="21"/>
      <c r="E236" s="21"/>
      <c r="F236" s="21"/>
      <c r="G236" s="30" t="str" cm="1">
        <f t="array" ref="G236">_xll.U.COMPILE(C236,C239:C240,C238,,,,C237)</f>
        <v>Function MYAPI.SOME_VALS compiled and registered at 2026-05-03 21:26:20</v>
      </c>
      <c r="H236" s="21"/>
      <c r="I236" s="21"/>
      <c r="J236" s="21"/>
      <c r="K236" s="21"/>
      <c r="L236" s="21"/>
      <c r="M236" s="21"/>
      <c r="N236" s="21"/>
      <c r="O236" s="21"/>
      <c r="P236" s="21"/>
      <c r="Q236" s="21"/>
      <c r="R236" s="21"/>
      <c r="S236" s="21"/>
      <c r="T236" s="20"/>
      <c r="V236" s="496" t="s">
        <v>2319</v>
      </c>
      <c r="W236" s="497"/>
      <c r="X236" s="496" t="s">
        <v>2320</v>
      </c>
      <c r="Y236" s="502"/>
      <c r="Z236" s="502"/>
      <c r="AA236" s="502"/>
      <c r="AB236" s="502"/>
      <c r="AC236" s="502"/>
      <c r="AD236" s="497"/>
      <c r="AE236" s="505" t="s">
        <v>326</v>
      </c>
    </row>
    <row r="237" spans="1:31" x14ac:dyDescent="0.3">
      <c r="A237" s="18"/>
      <c r="B237" s="9" t="s">
        <v>2380</v>
      </c>
      <c r="C237" s="360" t="s">
        <v>2779</v>
      </c>
      <c r="D237" s="21"/>
      <c r="E237" s="21"/>
      <c r="F237" s="21"/>
      <c r="G237" s="21"/>
      <c r="H237" s="21"/>
      <c r="I237" s="21"/>
      <c r="J237" s="21"/>
      <c r="K237" s="21"/>
      <c r="L237" s="21"/>
      <c r="M237" s="21"/>
      <c r="N237" s="21"/>
      <c r="O237" s="21"/>
      <c r="P237" s="21"/>
      <c r="Q237" s="21"/>
      <c r="R237" s="21"/>
      <c r="S237" s="21"/>
      <c r="T237" s="20"/>
      <c r="V237" s="498"/>
      <c r="W237" s="499"/>
      <c r="X237" s="498"/>
      <c r="Y237" s="503"/>
      <c r="Z237" s="503"/>
      <c r="AA237" s="503"/>
      <c r="AB237" s="503"/>
      <c r="AC237" s="503"/>
      <c r="AD237" s="499"/>
      <c r="AE237" s="506"/>
    </row>
    <row r="238" spans="1:31" x14ac:dyDescent="0.3">
      <c r="A238" s="18"/>
      <c r="B238" s="9" t="s">
        <v>323</v>
      </c>
      <c r="C238" s="360" t="s">
        <v>2776</v>
      </c>
      <c r="D238" s="21"/>
      <c r="E238" s="21"/>
      <c r="F238" s="21"/>
      <c r="G238" s="46" t="s">
        <v>1358</v>
      </c>
      <c r="H238" s="21"/>
      <c r="I238" s="21"/>
      <c r="J238" s="21"/>
      <c r="K238" s="21"/>
      <c r="L238" s="21"/>
      <c r="M238" s="21"/>
      <c r="N238" s="21"/>
      <c r="O238" s="21"/>
      <c r="P238" s="21"/>
      <c r="Q238" s="21"/>
      <c r="R238" s="21"/>
      <c r="S238" s="21"/>
      <c r="T238" s="20"/>
      <c r="V238" s="500"/>
      <c r="W238" s="501"/>
      <c r="X238" s="500"/>
      <c r="Y238" s="504"/>
      <c r="Z238" s="504"/>
      <c r="AA238" s="504"/>
      <c r="AB238" s="504"/>
      <c r="AC238" s="504"/>
      <c r="AD238" s="501"/>
      <c r="AE238" s="507"/>
    </row>
    <row r="239" spans="1:31" x14ac:dyDescent="0.3">
      <c r="A239" s="18"/>
      <c r="B239" s="302" t="s">
        <v>1832</v>
      </c>
      <c r="C239" s="408" t="s">
        <v>2778</v>
      </c>
      <c r="D239" s="257"/>
      <c r="E239" s="258"/>
      <c r="F239" s="21"/>
      <c r="G239" s="181">
        <v>5000</v>
      </c>
      <c r="H239" s="21"/>
      <c r="I239" s="21"/>
      <c r="J239" s="21"/>
      <c r="K239" s="21"/>
      <c r="L239" s="21"/>
      <c r="M239" s="21"/>
      <c r="N239" s="21"/>
      <c r="O239" s="21"/>
      <c r="P239" s="21"/>
      <c r="Q239" s="21"/>
      <c r="R239" s="21"/>
      <c r="S239" s="21"/>
      <c r="T239" s="20"/>
      <c r="V239" s="496" t="s">
        <v>2319</v>
      </c>
      <c r="W239" s="497"/>
      <c r="X239" s="496" t="s">
        <v>2320</v>
      </c>
      <c r="Y239" s="502"/>
      <c r="Z239" s="502"/>
      <c r="AA239" s="502"/>
      <c r="AB239" s="502"/>
      <c r="AC239" s="502"/>
      <c r="AD239" s="497"/>
      <c r="AE239" s="505" t="s">
        <v>326</v>
      </c>
    </row>
    <row r="240" spans="1:31" x14ac:dyDescent="0.3">
      <c r="A240" s="18"/>
      <c r="B240" s="21"/>
      <c r="C240" s="409" t="s">
        <v>2777</v>
      </c>
      <c r="D240" s="259"/>
      <c r="E240" s="260"/>
      <c r="F240" s="21"/>
      <c r="G240" s="21"/>
      <c r="H240" s="21"/>
      <c r="I240" s="21"/>
      <c r="J240" s="21"/>
      <c r="K240" s="21"/>
      <c r="L240" s="21"/>
      <c r="M240" s="21"/>
      <c r="N240" s="21"/>
      <c r="O240" s="21"/>
      <c r="P240" s="21"/>
      <c r="Q240" s="21"/>
      <c r="R240" s="21"/>
      <c r="S240" s="21"/>
      <c r="T240" s="20"/>
      <c r="V240" s="498"/>
      <c r="W240" s="499"/>
      <c r="X240" s="498"/>
      <c r="Y240" s="503"/>
      <c r="Z240" s="503"/>
      <c r="AA240" s="503"/>
      <c r="AB240" s="503"/>
      <c r="AC240" s="503"/>
      <c r="AD240" s="499"/>
      <c r="AE240" s="506"/>
    </row>
    <row r="241" spans="1:31" x14ac:dyDescent="0.3">
      <c r="A241" s="18"/>
      <c r="B241" s="21"/>
      <c r="C241" s="21"/>
      <c r="D241" s="21"/>
      <c r="E241" s="21"/>
      <c r="F241" s="21"/>
      <c r="G241" s="556" t="s">
        <v>2781</v>
      </c>
      <c r="H241" s="556"/>
      <c r="I241" s="21"/>
      <c r="J241" s="21"/>
      <c r="K241" s="21"/>
      <c r="L241" s="21"/>
      <c r="M241" s="21"/>
      <c r="N241" s="21"/>
      <c r="O241" s="21"/>
      <c r="P241" s="21"/>
      <c r="Q241" s="21"/>
      <c r="R241" s="21"/>
      <c r="S241" s="21"/>
      <c r="T241" s="20"/>
      <c r="V241" s="500"/>
      <c r="W241" s="501"/>
      <c r="X241" s="500"/>
      <c r="Y241" s="504"/>
      <c r="Z241" s="504"/>
      <c r="AA241" s="504"/>
      <c r="AB241" s="504"/>
      <c r="AC241" s="504"/>
      <c r="AD241" s="501"/>
      <c r="AE241" s="507"/>
    </row>
    <row r="242" spans="1:31" x14ac:dyDescent="0.3">
      <c r="A242" s="18"/>
      <c r="B242" s="21"/>
      <c r="C242" s="21"/>
      <c r="D242" s="21"/>
      <c r="E242" s="21"/>
      <c r="F242" s="21"/>
      <c r="G242" s="152" t="s">
        <v>2782</v>
      </c>
      <c r="H242" s="94"/>
      <c r="I242" s="21"/>
      <c r="J242" s="21"/>
      <c r="K242" s="21"/>
      <c r="L242" s="21"/>
      <c r="M242" s="21"/>
      <c r="N242" s="21"/>
      <c r="O242" s="21"/>
      <c r="P242" s="21"/>
      <c r="Q242" s="21"/>
      <c r="R242" s="21"/>
      <c r="S242" s="21"/>
      <c r="T242" s="20"/>
      <c r="V242" s="496" t="s">
        <v>2319</v>
      </c>
      <c r="W242" s="497"/>
      <c r="X242" s="496" t="s">
        <v>2320</v>
      </c>
      <c r="Y242" s="502"/>
      <c r="Z242" s="502"/>
      <c r="AA242" s="502"/>
      <c r="AB242" s="502"/>
      <c r="AC242" s="502"/>
      <c r="AD242" s="497"/>
      <c r="AE242" s="505" t="s">
        <v>326</v>
      </c>
    </row>
    <row r="243" spans="1:31" x14ac:dyDescent="0.3">
      <c r="A243" s="18"/>
      <c r="B243" s="21"/>
      <c r="C243" s="21"/>
      <c r="D243" s="21"/>
      <c r="E243" s="21"/>
      <c r="F243" s="21"/>
      <c r="G243" s="21"/>
      <c r="H243" s="21"/>
      <c r="I243" s="21"/>
      <c r="J243" s="21"/>
      <c r="K243" s="21"/>
      <c r="L243" s="21"/>
      <c r="M243" s="21"/>
      <c r="N243" s="21"/>
      <c r="O243" s="21"/>
      <c r="P243" s="21"/>
      <c r="Q243" s="21"/>
      <c r="R243" s="21"/>
      <c r="S243" s="21"/>
      <c r="T243" s="20"/>
      <c r="V243" s="498"/>
      <c r="W243" s="499"/>
      <c r="X243" s="498"/>
      <c r="Y243" s="503"/>
      <c r="Z243" s="503"/>
      <c r="AA243" s="503"/>
      <c r="AB243" s="503"/>
      <c r="AC243" s="503"/>
      <c r="AD243" s="499"/>
      <c r="AE243" s="506"/>
    </row>
    <row r="244" spans="1:31" x14ac:dyDescent="0.3">
      <c r="A244" s="18"/>
      <c r="B244" s="21"/>
      <c r="C244" s="21"/>
      <c r="D244" s="21"/>
      <c r="E244" s="21"/>
      <c r="F244" s="21"/>
      <c r="G244" s="21"/>
      <c r="H244" s="21"/>
      <c r="I244" s="21"/>
      <c r="J244" s="21"/>
      <c r="K244" s="21"/>
      <c r="L244" s="21"/>
      <c r="M244" s="21"/>
      <c r="N244" s="21"/>
      <c r="O244" s="21"/>
      <c r="P244" s="21"/>
      <c r="Q244" s="21"/>
      <c r="R244" s="21"/>
      <c r="S244" s="21"/>
      <c r="T244" s="20"/>
      <c r="V244" s="500"/>
      <c r="W244" s="501"/>
      <c r="X244" s="500"/>
      <c r="Y244" s="504"/>
      <c r="Z244" s="504"/>
      <c r="AA244" s="504"/>
      <c r="AB244" s="504"/>
      <c r="AC244" s="504"/>
      <c r="AD244" s="501"/>
      <c r="AE244" s="507"/>
    </row>
    <row r="245" spans="1:31" x14ac:dyDescent="0.3">
      <c r="A245" s="18"/>
      <c r="B245" s="21"/>
      <c r="C245" s="21"/>
      <c r="D245" s="21"/>
      <c r="E245" s="21"/>
      <c r="F245" s="21"/>
      <c r="G245" s="21"/>
      <c r="H245" s="21"/>
      <c r="I245" s="21"/>
      <c r="J245" s="21"/>
      <c r="K245" s="21"/>
      <c r="L245" s="21"/>
      <c r="M245" s="21"/>
      <c r="N245" s="21"/>
      <c r="O245" s="21"/>
      <c r="P245" s="21"/>
      <c r="Q245" s="21"/>
      <c r="R245" s="21"/>
      <c r="S245" s="21"/>
      <c r="T245" s="20"/>
      <c r="V245" s="496" t="s">
        <v>2319</v>
      </c>
      <c r="W245" s="497"/>
      <c r="X245" s="496" t="s">
        <v>2320</v>
      </c>
      <c r="Y245" s="502"/>
      <c r="Z245" s="502"/>
      <c r="AA245" s="502"/>
      <c r="AB245" s="502"/>
      <c r="AC245" s="502"/>
      <c r="AD245" s="497"/>
      <c r="AE245" s="505" t="s">
        <v>326</v>
      </c>
    </row>
    <row r="246" spans="1:31" ht="15" customHeight="1" x14ac:dyDescent="0.3">
      <c r="A246" s="18"/>
      <c r="B246" s="21"/>
      <c r="C246" s="21"/>
      <c r="D246" s="21"/>
      <c r="E246" s="21"/>
      <c r="F246" s="21"/>
      <c r="G246" s="21"/>
      <c r="H246" s="21"/>
      <c r="I246" s="21"/>
      <c r="J246" s="21"/>
      <c r="K246" s="21"/>
      <c r="L246" s="21"/>
      <c r="M246" s="21"/>
      <c r="N246" s="21"/>
      <c r="O246" s="21"/>
      <c r="P246" s="21"/>
      <c r="Q246" s="21"/>
      <c r="R246" s="21"/>
      <c r="S246" s="21"/>
      <c r="T246" s="20"/>
      <c r="V246" s="498"/>
      <c r="W246" s="499"/>
      <c r="X246" s="498"/>
      <c r="Y246" s="503"/>
      <c r="Z246" s="503"/>
      <c r="AA246" s="503"/>
      <c r="AB246" s="503"/>
      <c r="AC246" s="503"/>
      <c r="AD246" s="499"/>
      <c r="AE246" s="506"/>
    </row>
    <row r="247" spans="1:31" x14ac:dyDescent="0.3">
      <c r="A247" s="18"/>
      <c r="B247" s="21"/>
      <c r="C247" s="21"/>
      <c r="D247" s="21"/>
      <c r="E247" s="21"/>
      <c r="F247" s="21"/>
      <c r="G247" s="21"/>
      <c r="H247" s="21"/>
      <c r="I247" s="21"/>
      <c r="J247" s="21"/>
      <c r="K247" s="21"/>
      <c r="L247" s="21"/>
      <c r="M247" s="21"/>
      <c r="N247" s="21"/>
      <c r="O247" s="21"/>
      <c r="P247" s="21"/>
      <c r="Q247" s="21"/>
      <c r="R247" s="21"/>
      <c r="S247" s="21"/>
      <c r="T247" s="20"/>
      <c r="V247" s="500"/>
      <c r="W247" s="501"/>
      <c r="X247" s="500"/>
      <c r="Y247" s="504"/>
      <c r="Z247" s="504"/>
      <c r="AA247" s="504"/>
      <c r="AB247" s="504"/>
      <c r="AC247" s="504"/>
      <c r="AD247" s="501"/>
      <c r="AE247" s="507"/>
    </row>
    <row r="248" spans="1:31" x14ac:dyDescent="0.3">
      <c r="A248" s="18"/>
      <c r="B248" s="21"/>
      <c r="C248" s="21"/>
      <c r="D248" s="21"/>
      <c r="E248" s="21"/>
      <c r="F248" s="21"/>
      <c r="G248" s="21"/>
      <c r="H248" s="21"/>
      <c r="I248" s="21"/>
      <c r="J248" s="21"/>
      <c r="K248" s="21"/>
      <c r="L248" s="21"/>
      <c r="M248" s="21"/>
      <c r="N248" s="21"/>
      <c r="O248" s="21"/>
      <c r="P248" s="21"/>
      <c r="Q248" s="21"/>
      <c r="R248" s="21"/>
      <c r="S248" s="21"/>
      <c r="T248" s="20"/>
      <c r="V248" s="126" t="s">
        <v>328</v>
      </c>
    </row>
    <row r="249" spans="1:31" x14ac:dyDescent="0.3">
      <c r="A249" s="18"/>
      <c r="B249" s="513" t="s">
        <v>2446</v>
      </c>
      <c r="C249" s="515"/>
      <c r="D249" s="21"/>
      <c r="E249" s="21"/>
      <c r="F249" s="21"/>
      <c r="G249" s="179" t="s">
        <v>3599</v>
      </c>
      <c r="H249" s="21"/>
      <c r="I249" s="21"/>
      <c r="J249" s="21"/>
      <c r="K249" s="21"/>
      <c r="L249" s="21"/>
      <c r="M249" s="21"/>
      <c r="N249" s="21"/>
      <c r="O249" s="21"/>
      <c r="P249" s="21"/>
      <c r="Q249" s="21"/>
      <c r="R249" s="21"/>
      <c r="S249" s="21"/>
      <c r="T249" s="20"/>
    </row>
    <row r="250" spans="1:31" ht="15" customHeight="1" x14ac:dyDescent="0.3">
      <c r="A250" s="18"/>
      <c r="B250" s="9" t="s">
        <v>679</v>
      </c>
      <c r="C250" s="181" t="s">
        <v>2447</v>
      </c>
      <c r="D250" s="21"/>
      <c r="E250" s="21"/>
      <c r="F250" s="21"/>
      <c r="G250" s="354" t="str" cm="1">
        <f t="array" ref="G250">_xll.U.COMPILE(C250,C251)</f>
        <v>Function ExcelVersion compiled at 2026-05-03 21:26:20</v>
      </c>
      <c r="H250" s="21"/>
      <c r="I250" s="21"/>
      <c r="J250" s="21"/>
      <c r="K250" s="21"/>
      <c r="L250" s="21"/>
      <c r="M250" s="21"/>
      <c r="N250" s="21"/>
      <c r="O250" s="21"/>
      <c r="P250" s="21"/>
      <c r="Q250" s="21"/>
      <c r="R250" s="21"/>
      <c r="S250" s="21"/>
      <c r="T250" s="20"/>
    </row>
    <row r="251" spans="1:31" x14ac:dyDescent="0.3">
      <c r="A251" s="18"/>
      <c r="B251" s="9" t="s">
        <v>1832</v>
      </c>
      <c r="C251" s="181" t="s">
        <v>3629</v>
      </c>
      <c r="D251" s="21"/>
      <c r="E251" s="21"/>
      <c r="F251" s="21"/>
      <c r="G251" s="21"/>
      <c r="H251" s="21"/>
      <c r="I251" s="21"/>
      <c r="J251" s="21"/>
      <c r="K251" s="21"/>
      <c r="L251" s="21"/>
      <c r="M251" s="21"/>
      <c r="N251" s="21"/>
      <c r="O251" s="21"/>
      <c r="P251" s="21"/>
      <c r="Q251" s="21"/>
      <c r="R251" s="21"/>
      <c r="S251" s="21"/>
      <c r="T251" s="20"/>
      <c r="V251" s="486" t="s">
        <v>3604</v>
      </c>
      <c r="W251" s="486"/>
      <c r="X251" s="486"/>
      <c r="Y251" s="486"/>
      <c r="Z251" s="486"/>
      <c r="AA251" s="486"/>
      <c r="AB251" s="486"/>
      <c r="AC251" s="486"/>
      <c r="AD251" s="486"/>
      <c r="AE251" s="486"/>
    </row>
    <row r="252" spans="1:31" x14ac:dyDescent="0.3">
      <c r="A252" s="18"/>
      <c r="B252" s="21"/>
      <c r="C252" s="21"/>
      <c r="D252" s="21"/>
      <c r="E252" s="21"/>
      <c r="F252" s="21"/>
      <c r="G252" s="21"/>
      <c r="H252" s="21"/>
      <c r="I252" s="21"/>
      <c r="J252" s="21"/>
      <c r="K252" s="21"/>
      <c r="L252" s="21"/>
      <c r="M252" s="21"/>
      <c r="N252" s="21"/>
      <c r="O252" s="21"/>
      <c r="P252" s="21"/>
      <c r="Q252" s="21"/>
      <c r="R252" s="21"/>
      <c r="S252" s="21"/>
      <c r="T252" s="20"/>
      <c r="V252" s="487" t="s">
        <v>333</v>
      </c>
      <c r="W252" s="487"/>
      <c r="X252" s="487" t="s">
        <v>2527</v>
      </c>
      <c r="Y252" s="487"/>
      <c r="Z252" s="487"/>
      <c r="AA252" s="487"/>
      <c r="AB252" s="487"/>
      <c r="AC252" s="487"/>
      <c r="AD252" s="487"/>
      <c r="AE252" s="487"/>
    </row>
    <row r="253" spans="1:31" ht="15" customHeight="1" x14ac:dyDescent="0.3">
      <c r="A253" s="18"/>
      <c r="B253" s="21"/>
      <c r="C253" s="21"/>
      <c r="D253" s="21"/>
      <c r="E253" s="21"/>
      <c r="F253" s="21"/>
      <c r="G253" s="179" t="s">
        <v>3603</v>
      </c>
      <c r="H253" s="21"/>
      <c r="I253" s="21"/>
      <c r="J253" s="21"/>
      <c r="K253" s="21"/>
      <c r="L253" s="21"/>
      <c r="M253" s="21"/>
      <c r="N253" s="21"/>
      <c r="O253" s="21"/>
      <c r="P253" s="21"/>
      <c r="Q253" s="21"/>
      <c r="R253" s="21"/>
      <c r="S253" s="21"/>
      <c r="T253" s="20"/>
      <c r="V253" s="487"/>
      <c r="W253" s="487"/>
      <c r="X253" s="487"/>
      <c r="Y253" s="487"/>
      <c r="Z253" s="487"/>
      <c r="AA253" s="487"/>
      <c r="AB253" s="487"/>
      <c r="AC253" s="487"/>
      <c r="AD253" s="487"/>
      <c r="AE253" s="487"/>
    </row>
    <row r="254" spans="1:31" x14ac:dyDescent="0.3">
      <c r="A254" s="18"/>
      <c r="B254" s="21"/>
      <c r="C254" s="21"/>
      <c r="D254" s="21"/>
      <c r="E254" s="21"/>
      <c r="F254" s="21"/>
      <c r="G254" s="30" t="str" cm="1">
        <f t="array" ref="G254">_xll.U.INVOKE_ASYNC(C250)</f>
        <v>16.0</v>
      </c>
      <c r="H254" s="21"/>
      <c r="I254" s="21"/>
      <c r="J254" s="21"/>
      <c r="K254" s="21"/>
      <c r="L254" s="21"/>
      <c r="M254" s="21"/>
      <c r="N254" s="21"/>
      <c r="O254" s="21"/>
      <c r="P254" s="21"/>
      <c r="Q254" s="21"/>
      <c r="R254" s="21"/>
      <c r="S254" s="21"/>
      <c r="T254" s="20"/>
      <c r="V254" s="487"/>
      <c r="W254" s="487"/>
      <c r="X254" s="487"/>
      <c r="Y254" s="487"/>
      <c r="Z254" s="487"/>
      <c r="AA254" s="487"/>
      <c r="AB254" s="487"/>
      <c r="AC254" s="487"/>
      <c r="AD254" s="487"/>
      <c r="AE254" s="487"/>
    </row>
    <row r="255" spans="1:31" x14ac:dyDescent="0.3">
      <c r="A255" s="18"/>
      <c r="B255" s="21"/>
      <c r="C255" s="21"/>
      <c r="D255" s="21"/>
      <c r="E255" s="21"/>
      <c r="F255" s="21"/>
      <c r="G255" s="21"/>
      <c r="H255" s="21"/>
      <c r="I255" s="21"/>
      <c r="J255" s="21"/>
      <c r="K255" s="21"/>
      <c r="L255" s="21"/>
      <c r="M255" s="21"/>
      <c r="N255" s="21"/>
      <c r="O255" s="21"/>
      <c r="P255" s="21"/>
      <c r="Q255" s="21"/>
      <c r="R255" s="21"/>
      <c r="S255" s="21"/>
      <c r="T255" s="20"/>
      <c r="V255" s="483" t="s">
        <v>323</v>
      </c>
      <c r="W255" s="483"/>
      <c r="X255" s="483" t="s">
        <v>1</v>
      </c>
      <c r="Y255" s="483"/>
      <c r="Z255" s="483"/>
      <c r="AA255" s="483"/>
      <c r="AB255" s="483"/>
      <c r="AC255" s="483"/>
      <c r="AD255" s="483"/>
      <c r="AE255" s="85" t="s">
        <v>324</v>
      </c>
    </row>
    <row r="256" spans="1:31" ht="15" customHeight="1" x14ac:dyDescent="0.3">
      <c r="A256" s="18"/>
      <c r="B256" s="21"/>
      <c r="C256" s="21"/>
      <c r="D256" s="21"/>
      <c r="E256" s="21"/>
      <c r="F256" s="21"/>
      <c r="G256" s="179" t="s">
        <v>3600</v>
      </c>
      <c r="H256" s="21"/>
      <c r="I256" s="21"/>
      <c r="J256" s="21"/>
      <c r="K256" s="21"/>
      <c r="L256" s="21"/>
      <c r="M256" s="21"/>
      <c r="N256" s="21"/>
      <c r="O256" s="21"/>
      <c r="P256" s="21"/>
      <c r="Q256" s="21"/>
      <c r="R256" s="21"/>
      <c r="S256" s="21"/>
      <c r="T256" s="20"/>
      <c r="V256" s="487" t="s">
        <v>1306</v>
      </c>
      <c r="W256" s="487"/>
      <c r="X256" s="487" t="s">
        <v>1309</v>
      </c>
      <c r="Y256" s="487"/>
      <c r="Z256" s="487"/>
      <c r="AA256" s="487"/>
      <c r="AB256" s="487"/>
      <c r="AC256" s="487"/>
      <c r="AD256" s="487"/>
      <c r="AE256" s="509" t="s">
        <v>325</v>
      </c>
    </row>
    <row r="257" spans="1:31" x14ac:dyDescent="0.3">
      <c r="A257" s="18"/>
      <c r="B257" s="21"/>
      <c r="C257" s="21"/>
      <c r="D257" s="21"/>
      <c r="E257" s="21"/>
      <c r="F257" s="21"/>
      <c r="G257" s="30" t="str" cm="1">
        <f t="array" ref="G257">_xll.U.INVOKE(C250)</f>
        <v>Invoke was performed on thread with required context; use U.INVOKE_AS_MACRO, U.INVOKE_ASYNC or register function and call that to receive result here</v>
      </c>
      <c r="H257" s="21"/>
      <c r="I257" s="21"/>
      <c r="J257" s="21"/>
      <c r="K257" s="21"/>
      <c r="L257" s="21"/>
      <c r="M257" s="21"/>
      <c r="N257" s="21"/>
      <c r="O257" s="21"/>
      <c r="P257" s="21"/>
      <c r="Q257" s="21"/>
      <c r="R257" s="21"/>
      <c r="S257" s="21"/>
      <c r="T257" s="20"/>
      <c r="V257" s="487"/>
      <c r="W257" s="487"/>
      <c r="X257" s="487"/>
      <c r="Y257" s="487"/>
      <c r="Z257" s="487"/>
      <c r="AA257" s="487"/>
      <c r="AB257" s="487"/>
      <c r="AC257" s="487"/>
      <c r="AD257" s="487"/>
      <c r="AE257" s="509"/>
    </row>
    <row r="258" spans="1:31" x14ac:dyDescent="0.3">
      <c r="A258" s="18"/>
      <c r="B258" s="21"/>
      <c r="C258" s="21"/>
      <c r="D258" s="21"/>
      <c r="E258" s="21"/>
      <c r="F258" s="21"/>
      <c r="G258" s="21"/>
      <c r="H258" s="21"/>
      <c r="I258" s="21"/>
      <c r="J258" s="21"/>
      <c r="K258" s="21"/>
      <c r="L258" s="21"/>
      <c r="M258" s="21"/>
      <c r="N258" s="21"/>
      <c r="O258" s="21"/>
      <c r="P258" s="21"/>
      <c r="Q258" s="21"/>
      <c r="R258" s="21"/>
      <c r="S258" s="21"/>
      <c r="T258" s="20"/>
      <c r="V258" s="487"/>
      <c r="W258" s="487"/>
      <c r="X258" s="487"/>
      <c r="Y258" s="487"/>
      <c r="Z258" s="487"/>
      <c r="AA258" s="487"/>
      <c r="AB258" s="487"/>
      <c r="AC258" s="487"/>
      <c r="AD258" s="487"/>
      <c r="AE258" s="509"/>
    </row>
    <row r="259" spans="1:31" x14ac:dyDescent="0.3">
      <c r="A259" s="18"/>
      <c r="B259" s="21"/>
      <c r="C259" s="21"/>
      <c r="D259" s="21"/>
      <c r="E259" s="21"/>
      <c r="F259" s="21"/>
      <c r="G259" s="179" t="s">
        <v>3602</v>
      </c>
      <c r="H259" s="21"/>
      <c r="I259" s="21"/>
      <c r="J259" s="21"/>
      <c r="K259" s="21"/>
      <c r="L259" s="21"/>
      <c r="M259" s="21"/>
      <c r="N259" s="21"/>
      <c r="O259" s="21"/>
      <c r="P259" s="21"/>
      <c r="Q259" s="21"/>
      <c r="R259" s="21"/>
      <c r="S259" s="21"/>
      <c r="T259" s="20"/>
      <c r="V259" s="487" t="s">
        <v>2528</v>
      </c>
      <c r="W259" s="487"/>
      <c r="X259" s="487" t="s">
        <v>2530</v>
      </c>
      <c r="Y259" s="487"/>
      <c r="Z259" s="487"/>
      <c r="AA259" s="487"/>
      <c r="AB259" s="487"/>
      <c r="AC259" s="487"/>
      <c r="AD259" s="487"/>
      <c r="AE259" s="509" t="s">
        <v>325</v>
      </c>
    </row>
    <row r="260" spans="1:31" x14ac:dyDescent="0.3">
      <c r="A260" s="18"/>
      <c r="B260" s="21"/>
      <c r="C260" s="21"/>
      <c r="D260" s="21"/>
      <c r="E260" s="21"/>
      <c r="F260" s="21"/>
      <c r="G260" s="30" t="str" cm="1">
        <f t="array" ref="G260">_xll.U.INVOKE_AS_MACRO(C250)</f>
        <v>16.0</v>
      </c>
      <c r="H260" s="21"/>
      <c r="I260" s="21"/>
      <c r="J260" s="21"/>
      <c r="K260" s="21"/>
      <c r="L260" s="21"/>
      <c r="M260" s="21"/>
      <c r="N260" s="21"/>
      <c r="O260" s="21"/>
      <c r="P260" s="21"/>
      <c r="Q260" s="21"/>
      <c r="R260" s="21"/>
      <c r="S260" s="21"/>
      <c r="T260" s="20"/>
      <c r="V260" s="487"/>
      <c r="W260" s="487"/>
      <c r="X260" s="487"/>
      <c r="Y260" s="487"/>
      <c r="Z260" s="487"/>
      <c r="AA260" s="487"/>
      <c r="AB260" s="487"/>
      <c r="AC260" s="487"/>
      <c r="AD260" s="487"/>
      <c r="AE260" s="509"/>
    </row>
    <row r="261" spans="1:31" x14ac:dyDescent="0.3">
      <c r="A261" s="18"/>
      <c r="B261" s="21"/>
      <c r="C261" s="21"/>
      <c r="D261" s="21"/>
      <c r="E261" s="21"/>
      <c r="F261" s="21"/>
      <c r="G261" s="21"/>
      <c r="H261" s="21"/>
      <c r="I261" s="21"/>
      <c r="J261" s="21"/>
      <c r="K261" s="21"/>
      <c r="L261" s="21"/>
      <c r="M261" s="21"/>
      <c r="N261" s="21"/>
      <c r="O261" s="21"/>
      <c r="P261" s="21"/>
      <c r="Q261" s="21"/>
      <c r="R261" s="21"/>
      <c r="S261" s="21"/>
      <c r="T261" s="20"/>
      <c r="V261" s="487"/>
      <c r="W261" s="487"/>
      <c r="X261" s="487"/>
      <c r="Y261" s="487"/>
      <c r="Z261" s="487"/>
      <c r="AA261" s="487"/>
      <c r="AB261" s="487"/>
      <c r="AC261" s="487"/>
      <c r="AD261" s="487"/>
      <c r="AE261" s="509"/>
    </row>
    <row r="262" spans="1:31" ht="15" customHeight="1" x14ac:dyDescent="0.3">
      <c r="A262" s="18"/>
      <c r="B262" s="21"/>
      <c r="C262" s="21"/>
      <c r="D262" s="21"/>
      <c r="E262" s="21"/>
      <c r="F262" s="21"/>
      <c r="G262" s="21"/>
      <c r="H262" s="21"/>
      <c r="I262" s="21"/>
      <c r="J262" s="21"/>
      <c r="K262" s="21"/>
      <c r="L262" s="21"/>
      <c r="M262" s="21"/>
      <c r="N262" s="21"/>
      <c r="O262" s="21"/>
      <c r="P262" s="21"/>
      <c r="Q262" s="21"/>
      <c r="R262" s="21"/>
      <c r="S262" s="21"/>
      <c r="T262" s="20"/>
      <c r="V262" s="487" t="s">
        <v>2529</v>
      </c>
      <c r="W262" s="487"/>
      <c r="X262" s="539" t="s">
        <v>2531</v>
      </c>
      <c r="Y262" s="540"/>
      <c r="Z262" s="540"/>
      <c r="AA262" s="540"/>
      <c r="AB262" s="540"/>
      <c r="AC262" s="540"/>
      <c r="AD262" s="541"/>
      <c r="AE262" s="509" t="s">
        <v>325</v>
      </c>
    </row>
    <row r="263" spans="1:31" x14ac:dyDescent="0.3">
      <c r="A263" s="18"/>
      <c r="B263" s="21"/>
      <c r="C263" s="21"/>
      <c r="D263" s="21"/>
      <c r="E263" s="21"/>
      <c r="F263" s="21"/>
      <c r="G263" s="21"/>
      <c r="H263" s="21"/>
      <c r="I263" s="21"/>
      <c r="J263" s="21"/>
      <c r="K263" s="21"/>
      <c r="L263" s="21"/>
      <c r="M263" s="21"/>
      <c r="N263" s="21"/>
      <c r="O263" s="21"/>
      <c r="P263" s="21"/>
      <c r="Q263" s="21"/>
      <c r="R263" s="21"/>
      <c r="S263" s="21"/>
      <c r="T263" s="20"/>
      <c r="V263" s="487"/>
      <c r="W263" s="487"/>
      <c r="X263" s="542"/>
      <c r="Y263" s="543"/>
      <c r="Z263" s="543"/>
      <c r="AA263" s="543"/>
      <c r="AB263" s="543"/>
      <c r="AC263" s="543"/>
      <c r="AD263" s="544"/>
      <c r="AE263" s="509"/>
    </row>
    <row r="264" spans="1:31" x14ac:dyDescent="0.3">
      <c r="A264" s="18"/>
      <c r="B264" s="21"/>
      <c r="C264" s="21"/>
      <c r="D264" s="21"/>
      <c r="E264" s="21"/>
      <c r="F264" s="21"/>
      <c r="G264" s="21"/>
      <c r="H264" s="21"/>
      <c r="I264" s="21"/>
      <c r="J264" s="21"/>
      <c r="K264" s="21"/>
      <c r="L264" s="21"/>
      <c r="M264" s="21"/>
      <c r="N264" s="21"/>
      <c r="O264" s="21"/>
      <c r="P264" s="21"/>
      <c r="Q264" s="21"/>
      <c r="R264" s="21"/>
      <c r="S264" s="21"/>
      <c r="T264" s="20"/>
      <c r="V264" s="487"/>
      <c r="W264" s="487"/>
      <c r="X264" s="545"/>
      <c r="Y264" s="546"/>
      <c r="Z264" s="546"/>
      <c r="AA264" s="546"/>
      <c r="AB264" s="546"/>
      <c r="AC264" s="546"/>
      <c r="AD264" s="547"/>
      <c r="AE264" s="509"/>
    </row>
    <row r="265" spans="1:31" ht="15" customHeight="1" x14ac:dyDescent="0.3">
      <c r="A265" s="18"/>
      <c r="B265" s="21"/>
      <c r="C265" s="21"/>
      <c r="D265" s="21"/>
      <c r="E265" s="21"/>
      <c r="F265" s="21"/>
      <c r="G265" s="21"/>
      <c r="H265" s="21"/>
      <c r="I265" s="21"/>
      <c r="J265" s="21"/>
      <c r="K265" s="21"/>
      <c r="L265" s="21"/>
      <c r="M265" s="21"/>
      <c r="N265" s="21"/>
      <c r="O265" s="21"/>
      <c r="P265" s="21"/>
      <c r="Q265" s="21"/>
      <c r="R265" s="21"/>
      <c r="S265" s="21"/>
      <c r="T265" s="20"/>
      <c r="V265" s="496" t="s">
        <v>917</v>
      </c>
      <c r="W265" s="497"/>
      <c r="X265" s="496" t="s">
        <v>2532</v>
      </c>
      <c r="Y265" s="502"/>
      <c r="Z265" s="502"/>
      <c r="AA265" s="502"/>
      <c r="AB265" s="502"/>
      <c r="AC265" s="502"/>
      <c r="AD265" s="497"/>
      <c r="AE265" s="505" t="s">
        <v>326</v>
      </c>
    </row>
    <row r="266" spans="1:31" x14ac:dyDescent="0.3">
      <c r="A266" s="18"/>
      <c r="B266" s="302" t="s">
        <v>679</v>
      </c>
      <c r="C266" s="295" t="s">
        <v>2584</v>
      </c>
      <c r="D266" s="21"/>
      <c r="E266" s="21"/>
      <c r="F266" s="21"/>
      <c r="G266" s="179" t="s">
        <v>3599</v>
      </c>
      <c r="H266" s="21"/>
      <c r="I266" s="21"/>
      <c r="J266" s="21"/>
      <c r="K266" s="21"/>
      <c r="L266" s="21"/>
      <c r="M266" s="21"/>
      <c r="N266" s="21"/>
      <c r="O266" s="21"/>
      <c r="P266" s="21"/>
      <c r="Q266" s="21"/>
      <c r="R266" s="21"/>
      <c r="S266" s="21"/>
      <c r="T266" s="20"/>
      <c r="V266" s="498"/>
      <c r="W266" s="499"/>
      <c r="X266" s="498"/>
      <c r="Y266" s="503"/>
      <c r="Z266" s="503"/>
      <c r="AA266" s="503"/>
      <c r="AB266" s="503"/>
      <c r="AC266" s="503"/>
      <c r="AD266" s="499"/>
      <c r="AE266" s="506"/>
    </row>
    <row r="267" spans="1:31" x14ac:dyDescent="0.3">
      <c r="A267" s="18"/>
      <c r="B267" s="302" t="s">
        <v>2588</v>
      </c>
      <c r="C267" s="390" t="s">
        <v>2581</v>
      </c>
      <c r="D267" s="21"/>
      <c r="E267" s="21"/>
      <c r="F267" s="21"/>
      <c r="G267" s="30" t="str" cm="1">
        <f t="array" ref="G267">_xll.U.COMPILE(C266,C267:C268,C269:C270,,,,,B274:B282)</f>
        <v>Function UseScaler compiled at 2026-05-03 21:26:20</v>
      </c>
      <c r="H267" s="21"/>
      <c r="I267" s="21"/>
      <c r="J267" s="21"/>
      <c r="K267" s="21"/>
      <c r="L267" s="21"/>
      <c r="M267" s="21"/>
      <c r="N267" s="21"/>
      <c r="O267" s="21"/>
      <c r="P267" s="21"/>
      <c r="Q267" s="21"/>
      <c r="R267" s="21"/>
      <c r="S267" s="21"/>
      <c r="T267" s="20"/>
      <c r="V267" s="500"/>
      <c r="W267" s="501"/>
      <c r="X267" s="500"/>
      <c r="Y267" s="504"/>
      <c r="Z267" s="504"/>
      <c r="AA267" s="504"/>
      <c r="AB267" s="504"/>
      <c r="AC267" s="504"/>
      <c r="AD267" s="501"/>
      <c r="AE267" s="507"/>
    </row>
    <row r="268" spans="1:31" x14ac:dyDescent="0.3">
      <c r="A268" s="18"/>
      <c r="B268" s="21"/>
      <c r="C268" s="390" t="s">
        <v>2583</v>
      </c>
      <c r="D268" s="21"/>
      <c r="E268" s="21"/>
      <c r="F268" s="21"/>
      <c r="G268" s="21"/>
      <c r="H268" s="21"/>
      <c r="I268" s="21"/>
      <c r="J268" s="21"/>
      <c r="K268" s="21"/>
      <c r="L268" s="21"/>
      <c r="M268" s="21"/>
      <c r="N268" s="21"/>
      <c r="O268" s="21"/>
      <c r="P268" s="21"/>
      <c r="Q268" s="21"/>
      <c r="R268" s="21"/>
      <c r="S268" s="21"/>
      <c r="T268" s="20"/>
      <c r="V268" s="496" t="s">
        <v>1308</v>
      </c>
      <c r="W268" s="497"/>
      <c r="X268" s="496" t="s">
        <v>2533</v>
      </c>
      <c r="Y268" s="502"/>
      <c r="Z268" s="502"/>
      <c r="AA268" s="502"/>
      <c r="AB268" s="502"/>
      <c r="AC268" s="502"/>
      <c r="AD268" s="497"/>
      <c r="AE268" s="505" t="s">
        <v>326</v>
      </c>
    </row>
    <row r="269" spans="1:31" x14ac:dyDescent="0.3">
      <c r="A269" s="18"/>
      <c r="B269" s="9" t="s">
        <v>2582</v>
      </c>
      <c r="C269" s="295" t="s">
        <v>80</v>
      </c>
      <c r="D269" s="21"/>
      <c r="E269" s="21"/>
      <c r="F269" s="21"/>
      <c r="G269" s="9" t="s">
        <v>2585</v>
      </c>
      <c r="H269" s="295">
        <v>2.5</v>
      </c>
      <c r="I269" s="21"/>
      <c r="J269" s="21"/>
      <c r="K269" s="21"/>
      <c r="L269" s="21"/>
      <c r="M269" s="21"/>
      <c r="N269" s="21"/>
      <c r="O269" s="21"/>
      <c r="P269" s="21"/>
      <c r="Q269" s="21"/>
      <c r="R269" s="21"/>
      <c r="S269" s="21"/>
      <c r="T269" s="20"/>
      <c r="V269" s="498"/>
      <c r="W269" s="499"/>
      <c r="X269" s="498"/>
      <c r="Y269" s="503"/>
      <c r="Z269" s="503"/>
      <c r="AA269" s="503"/>
      <c r="AB269" s="503"/>
      <c r="AC269" s="503"/>
      <c r="AD269" s="499"/>
      <c r="AE269" s="506"/>
    </row>
    <row r="270" spans="1:31" x14ac:dyDescent="0.3">
      <c r="A270" s="18"/>
      <c r="B270" s="21"/>
      <c r="C270" s="295" t="s">
        <v>81</v>
      </c>
      <c r="D270" s="21"/>
      <c r="E270" s="21"/>
      <c r="F270" s="21"/>
      <c r="G270" s="9" t="s">
        <v>2586</v>
      </c>
      <c r="H270" s="295">
        <v>4.7</v>
      </c>
      <c r="I270" s="21"/>
      <c r="J270" s="21"/>
      <c r="K270" s="21"/>
      <c r="L270" s="21"/>
      <c r="M270" s="21"/>
      <c r="N270" s="21"/>
      <c r="O270" s="21"/>
      <c r="P270" s="21"/>
      <c r="Q270" s="21"/>
      <c r="R270" s="21"/>
      <c r="S270" s="21"/>
      <c r="T270" s="20"/>
      <c r="V270" s="500"/>
      <c r="W270" s="501"/>
      <c r="X270" s="500"/>
      <c r="Y270" s="504"/>
      <c r="Z270" s="504"/>
      <c r="AA270" s="504"/>
      <c r="AB270" s="504"/>
      <c r="AC270" s="504"/>
      <c r="AD270" s="501"/>
      <c r="AE270" s="507"/>
    </row>
    <row r="271" spans="1:31" ht="15" customHeight="1" x14ac:dyDescent="0.3">
      <c r="A271" s="18"/>
      <c r="B271" s="21"/>
      <c r="C271" s="21"/>
      <c r="D271" s="21"/>
      <c r="E271" s="21"/>
      <c r="F271" s="21"/>
      <c r="G271" s="21"/>
      <c r="H271" s="21"/>
      <c r="I271" s="21"/>
      <c r="J271" s="21"/>
      <c r="K271" s="21"/>
      <c r="L271" s="21"/>
      <c r="M271" s="21"/>
      <c r="N271" s="21"/>
      <c r="O271" s="21"/>
      <c r="P271" s="21"/>
      <c r="Q271" s="21"/>
      <c r="R271" s="21"/>
      <c r="S271" s="21"/>
      <c r="T271" s="20"/>
      <c r="V271" s="496" t="s">
        <v>321</v>
      </c>
      <c r="W271" s="497"/>
      <c r="X271" s="484" t="s">
        <v>2534</v>
      </c>
      <c r="Y271" s="484"/>
      <c r="Z271" s="484"/>
      <c r="AA271" s="484"/>
      <c r="AB271" s="484"/>
      <c r="AC271" s="484"/>
      <c r="AD271" s="484"/>
      <c r="AE271" s="505" t="s">
        <v>326</v>
      </c>
    </row>
    <row r="272" spans="1:31" x14ac:dyDescent="0.3">
      <c r="A272" s="18"/>
      <c r="B272" s="21"/>
      <c r="C272" s="21"/>
      <c r="D272" s="21"/>
      <c r="E272" s="21"/>
      <c r="F272" s="21"/>
      <c r="G272" s="179" t="s">
        <v>3600</v>
      </c>
      <c r="H272" s="21"/>
      <c r="I272" s="21"/>
      <c r="J272" s="21"/>
      <c r="K272" s="21"/>
      <c r="L272" s="21"/>
      <c r="M272" s="21"/>
      <c r="N272" s="21"/>
      <c r="O272" s="21"/>
      <c r="P272" s="21"/>
      <c r="Q272" s="21"/>
      <c r="R272" s="21"/>
      <c r="S272" s="21"/>
      <c r="T272" s="20"/>
      <c r="V272" s="498"/>
      <c r="W272" s="499"/>
      <c r="X272" s="484"/>
      <c r="Y272" s="484"/>
      <c r="Z272" s="484"/>
      <c r="AA272" s="484"/>
      <c r="AB272" s="484"/>
      <c r="AC272" s="484"/>
      <c r="AD272" s="484"/>
      <c r="AE272" s="506"/>
    </row>
    <row r="273" spans="1:31" x14ac:dyDescent="0.3">
      <c r="A273" s="18"/>
      <c r="B273" s="397" t="s">
        <v>2579</v>
      </c>
      <c r="C273" s="21"/>
      <c r="D273" s="21"/>
      <c r="E273" s="21"/>
      <c r="F273" s="21"/>
      <c r="G273" s="30" cm="1">
        <f t="array" ref="G273">_xll.U.INVOKE(C266,H269,H270)</f>
        <v>8</v>
      </c>
      <c r="H273" s="21"/>
      <c r="I273" s="21"/>
      <c r="J273" s="21"/>
      <c r="K273" s="21"/>
      <c r="L273" s="21"/>
      <c r="M273" s="21"/>
      <c r="N273" s="21"/>
      <c r="O273" s="21"/>
      <c r="P273" s="21"/>
      <c r="Q273" s="21"/>
      <c r="R273" s="21"/>
      <c r="S273" s="21"/>
      <c r="T273" s="20"/>
      <c r="V273" s="500"/>
      <c r="W273" s="501"/>
      <c r="X273" s="484"/>
      <c r="Y273" s="484"/>
      <c r="Z273" s="484"/>
      <c r="AA273" s="484"/>
      <c r="AB273" s="484"/>
      <c r="AC273" s="484"/>
      <c r="AD273" s="484"/>
      <c r="AE273" s="507"/>
    </row>
    <row r="274" spans="1:31" x14ac:dyDescent="0.3">
      <c r="A274" s="18"/>
      <c r="B274" s="398" t="s">
        <v>2575</v>
      </c>
      <c r="C274" s="21"/>
      <c r="D274" s="21"/>
      <c r="E274" s="21"/>
      <c r="F274" s="21"/>
      <c r="G274" s="21"/>
      <c r="H274" s="21"/>
      <c r="I274" s="21"/>
      <c r="J274" s="21"/>
      <c r="K274" s="21"/>
      <c r="L274" s="21"/>
      <c r="M274" s="21"/>
      <c r="N274" s="21"/>
      <c r="O274" s="21"/>
      <c r="P274" s="21"/>
      <c r="Q274" s="21"/>
      <c r="R274" s="21"/>
      <c r="S274" s="21"/>
      <c r="T274" s="20"/>
      <c r="V274" s="496" t="s">
        <v>2535</v>
      </c>
      <c r="W274" s="497"/>
      <c r="X274" s="496" t="s">
        <v>2536</v>
      </c>
      <c r="Y274" s="502"/>
      <c r="Z274" s="502"/>
      <c r="AA274" s="502"/>
      <c r="AB274" s="502"/>
      <c r="AC274" s="502"/>
      <c r="AD274" s="497"/>
      <c r="AE274" s="505" t="s">
        <v>326</v>
      </c>
    </row>
    <row r="275" spans="1:31" x14ac:dyDescent="0.3">
      <c r="A275" s="18"/>
      <c r="B275" s="399" t="s">
        <v>2580</v>
      </c>
      <c r="C275" s="21"/>
      <c r="D275" s="21"/>
      <c r="E275" s="21"/>
      <c r="F275" s="21"/>
      <c r="G275" s="21"/>
      <c r="H275" s="21"/>
      <c r="I275" s="21"/>
      <c r="J275" s="21"/>
      <c r="K275" s="21"/>
      <c r="L275" s="21"/>
      <c r="M275" s="21"/>
      <c r="N275" s="21"/>
      <c r="O275" s="21"/>
      <c r="P275" s="21"/>
      <c r="Q275" s="21"/>
      <c r="R275" s="21"/>
      <c r="S275" s="21"/>
      <c r="T275" s="20"/>
      <c r="V275" s="498"/>
      <c r="W275" s="499"/>
      <c r="X275" s="498"/>
      <c r="Y275" s="503"/>
      <c r="Z275" s="503"/>
      <c r="AA275" s="503"/>
      <c r="AB275" s="503"/>
      <c r="AC275" s="503"/>
      <c r="AD275" s="499"/>
      <c r="AE275" s="506"/>
    </row>
    <row r="276" spans="1:31" x14ac:dyDescent="0.3">
      <c r="A276" s="18"/>
      <c r="B276" s="399" t="s">
        <v>2574</v>
      </c>
      <c r="C276" s="21"/>
      <c r="D276" s="21"/>
      <c r="E276" s="21"/>
      <c r="F276" s="21"/>
      <c r="G276" s="21"/>
      <c r="H276" s="21"/>
      <c r="I276" s="21"/>
      <c r="J276" s="21"/>
      <c r="K276" s="21"/>
      <c r="L276" s="21"/>
      <c r="M276" s="21"/>
      <c r="N276" s="21"/>
      <c r="O276" s="21"/>
      <c r="P276" s="21"/>
      <c r="Q276" s="21"/>
      <c r="R276" s="21"/>
      <c r="S276" s="21"/>
      <c r="T276" s="20"/>
      <c r="V276" s="500"/>
      <c r="W276" s="501"/>
      <c r="X276" s="500"/>
      <c r="Y276" s="504"/>
      <c r="Z276" s="504"/>
      <c r="AA276" s="504"/>
      <c r="AB276" s="504"/>
      <c r="AC276" s="504"/>
      <c r="AD276" s="501"/>
      <c r="AE276" s="507"/>
    </row>
    <row r="277" spans="1:31" ht="15" customHeight="1" x14ac:dyDescent="0.3">
      <c r="A277" s="18"/>
      <c r="B277" s="399" t="s">
        <v>2573</v>
      </c>
      <c r="C277" s="21"/>
      <c r="D277" s="21"/>
      <c r="E277" s="21"/>
      <c r="F277" s="21"/>
      <c r="G277" s="21"/>
      <c r="H277" s="21"/>
      <c r="I277" s="21"/>
      <c r="J277" s="21"/>
      <c r="K277" s="21"/>
      <c r="L277" s="21"/>
      <c r="M277" s="21"/>
      <c r="N277" s="21"/>
      <c r="O277" s="21"/>
      <c r="P277" s="21"/>
      <c r="Q277" s="21"/>
      <c r="R277" s="21"/>
      <c r="S277" s="21"/>
      <c r="T277" s="20"/>
      <c r="V277" s="496" t="s">
        <v>2299</v>
      </c>
      <c r="W277" s="497"/>
      <c r="X277" s="496" t="s">
        <v>3088</v>
      </c>
      <c r="Y277" s="502"/>
      <c r="Z277" s="502"/>
      <c r="AA277" s="502"/>
      <c r="AB277" s="502"/>
      <c r="AC277" s="502"/>
      <c r="AD277" s="497"/>
      <c r="AE277" s="505" t="s">
        <v>326</v>
      </c>
    </row>
    <row r="278" spans="1:31" x14ac:dyDescent="0.3">
      <c r="A278" s="18"/>
      <c r="B278" s="399" t="s">
        <v>2577</v>
      </c>
      <c r="C278" s="21"/>
      <c r="D278" s="21"/>
      <c r="E278" s="21"/>
      <c r="F278" s="21"/>
      <c r="G278" s="21"/>
      <c r="H278" s="21"/>
      <c r="I278" s="21"/>
      <c r="J278" s="21"/>
      <c r="K278" s="21"/>
      <c r="L278" s="21"/>
      <c r="M278" s="21"/>
      <c r="N278" s="21"/>
      <c r="O278" s="21"/>
      <c r="P278" s="21"/>
      <c r="Q278" s="21"/>
      <c r="R278" s="21"/>
      <c r="S278" s="21"/>
      <c r="T278" s="20"/>
      <c r="V278" s="498"/>
      <c r="W278" s="499"/>
      <c r="X278" s="498"/>
      <c r="Y278" s="503"/>
      <c r="Z278" s="503"/>
      <c r="AA278" s="503"/>
      <c r="AB278" s="503"/>
      <c r="AC278" s="503"/>
      <c r="AD278" s="499"/>
      <c r="AE278" s="506"/>
    </row>
    <row r="279" spans="1:31" x14ac:dyDescent="0.3">
      <c r="A279" s="18"/>
      <c r="B279" s="399" t="s">
        <v>2578</v>
      </c>
      <c r="C279" s="21"/>
      <c r="D279" s="21"/>
      <c r="E279" s="21"/>
      <c r="F279" s="21"/>
      <c r="G279" s="21"/>
      <c r="H279" s="21"/>
      <c r="I279" s="21"/>
      <c r="J279" s="21"/>
      <c r="K279" s="21"/>
      <c r="L279" s="21"/>
      <c r="M279" s="21"/>
      <c r="N279" s="21"/>
      <c r="O279" s="21"/>
      <c r="P279" s="21"/>
      <c r="Q279" s="21"/>
      <c r="R279" s="21"/>
      <c r="S279" s="21"/>
      <c r="T279" s="20"/>
      <c r="V279" s="500"/>
      <c r="W279" s="501"/>
      <c r="X279" s="500"/>
      <c r="Y279" s="504"/>
      <c r="Z279" s="504"/>
      <c r="AA279" s="504"/>
      <c r="AB279" s="504"/>
      <c r="AC279" s="504"/>
      <c r="AD279" s="501"/>
      <c r="AE279" s="507"/>
    </row>
    <row r="280" spans="1:31" x14ac:dyDescent="0.3">
      <c r="A280" s="18"/>
      <c r="B280" s="399" t="s">
        <v>2576</v>
      </c>
      <c r="C280" s="21"/>
      <c r="D280" s="21"/>
      <c r="E280" s="21"/>
      <c r="F280" s="21"/>
      <c r="G280" s="21"/>
      <c r="H280" s="21"/>
      <c r="I280" s="21"/>
      <c r="J280" s="21"/>
      <c r="K280" s="21"/>
      <c r="L280" s="21"/>
      <c r="M280" s="21"/>
      <c r="N280" s="21"/>
      <c r="O280" s="21"/>
      <c r="P280" s="21"/>
      <c r="Q280" s="21"/>
      <c r="R280" s="21"/>
      <c r="S280" s="21"/>
      <c r="T280" s="20"/>
      <c r="V280" s="126" t="s">
        <v>328</v>
      </c>
    </row>
    <row r="281" spans="1:31" x14ac:dyDescent="0.3">
      <c r="A281" s="18"/>
      <c r="B281" s="399" t="s">
        <v>2573</v>
      </c>
      <c r="C281" s="21"/>
      <c r="D281" s="21"/>
      <c r="E281" s="21"/>
      <c r="F281" s="21"/>
      <c r="G281" s="21"/>
      <c r="H281" s="21"/>
      <c r="I281" s="21"/>
      <c r="J281" s="21"/>
      <c r="K281" s="21"/>
      <c r="L281" s="21"/>
      <c r="M281" s="21"/>
      <c r="N281" s="21"/>
      <c r="O281" s="21"/>
      <c r="P281" s="21"/>
      <c r="Q281" s="21"/>
      <c r="R281" s="21"/>
      <c r="S281" s="21"/>
      <c r="T281" s="20"/>
    </row>
    <row r="282" spans="1:31" x14ac:dyDescent="0.3">
      <c r="A282" s="18"/>
      <c r="B282" s="400" t="s">
        <v>2572</v>
      </c>
      <c r="C282" s="21"/>
      <c r="D282" s="21"/>
      <c r="E282" s="21"/>
      <c r="F282" s="21"/>
      <c r="G282" s="21"/>
      <c r="H282" s="21"/>
      <c r="I282" s="21"/>
      <c r="J282" s="21"/>
      <c r="K282" s="21"/>
      <c r="L282" s="21"/>
      <c r="M282" s="21"/>
      <c r="N282" s="21"/>
      <c r="O282" s="21"/>
      <c r="P282" s="21"/>
      <c r="Q282" s="21"/>
      <c r="R282" s="21"/>
      <c r="S282" s="21"/>
      <c r="T282" s="20"/>
    </row>
    <row r="283" spans="1:31" x14ac:dyDescent="0.3">
      <c r="A283" s="18"/>
      <c r="B283" s="21"/>
      <c r="C283" s="21"/>
      <c r="D283" s="21"/>
      <c r="E283" s="21"/>
      <c r="F283" s="21"/>
      <c r="G283" s="21"/>
      <c r="H283" s="21"/>
      <c r="I283" s="21"/>
      <c r="J283" s="21"/>
      <c r="K283" s="21"/>
      <c r="L283" s="21"/>
      <c r="M283" s="21"/>
      <c r="N283" s="21"/>
      <c r="O283" s="21"/>
      <c r="P283" s="21"/>
      <c r="Q283" s="21"/>
      <c r="R283" s="21"/>
      <c r="S283" s="21"/>
      <c r="T283" s="20"/>
    </row>
    <row r="284" spans="1:31" x14ac:dyDescent="0.3">
      <c r="A284" s="18"/>
      <c r="B284" s="21"/>
      <c r="C284" s="21"/>
      <c r="D284" s="21"/>
      <c r="E284" s="21"/>
      <c r="F284" s="21"/>
      <c r="G284" s="21"/>
      <c r="H284" s="21"/>
      <c r="I284" s="21"/>
      <c r="J284" s="21"/>
      <c r="K284" s="21"/>
      <c r="L284" s="21"/>
      <c r="M284" s="21"/>
      <c r="N284" s="21"/>
      <c r="O284" s="21"/>
      <c r="P284" s="21"/>
      <c r="Q284" s="21"/>
      <c r="R284" s="21"/>
      <c r="S284" s="21"/>
      <c r="T284" s="20"/>
    </row>
    <row r="285" spans="1:31" x14ac:dyDescent="0.3">
      <c r="A285" s="18"/>
      <c r="B285" s="21"/>
      <c r="C285" s="21"/>
      <c r="D285" s="21"/>
      <c r="E285" s="21"/>
      <c r="F285" s="21"/>
      <c r="G285" s="21"/>
      <c r="H285" s="21"/>
      <c r="I285" s="21"/>
      <c r="J285" s="21"/>
      <c r="K285" s="21"/>
      <c r="L285" s="21"/>
      <c r="M285" s="21"/>
      <c r="N285" s="21"/>
      <c r="O285" s="21"/>
      <c r="P285" s="21"/>
      <c r="Q285" s="21"/>
      <c r="R285" s="21"/>
      <c r="S285" s="21"/>
      <c r="T285" s="20"/>
    </row>
    <row r="286" spans="1:31" x14ac:dyDescent="0.3">
      <c r="A286" s="18"/>
      <c r="B286" s="3" t="str">
        <f t="array" ref="B286:S295">_xll.U.COMPILE("Report")</f>
        <v>Name</v>
      </c>
      <c r="C286" s="3" t="str">
        <v>Parameters</v>
      </c>
      <c r="D286" s="3" t="str">
        <v>Async</v>
      </c>
      <c r="E286" s="3" t="str">
        <v>LongRunning</v>
      </c>
      <c r="F286" s="3" t="str">
        <v>AsyncOnly</v>
      </c>
      <c r="G286" s="3" t="str">
        <v>ReturnValue</v>
      </c>
      <c r="H286" s="3" t="str">
        <v>DoNotQueue</v>
      </c>
      <c r="I286" s="3" t="str">
        <v>MaxConcurrent</v>
      </c>
      <c r="J286" s="3" t="str">
        <v>ContextRequired</v>
      </c>
      <c r="K286" s="3" t="str">
        <v>NumRunning</v>
      </c>
      <c r="L286" s="3" t="str">
        <v>NumQueued</v>
      </c>
      <c r="M286" s="3" t="str">
        <v>LastInvoke</v>
      </c>
      <c r="N286" s="3" t="str">
        <v>RegisteredAs</v>
      </c>
      <c r="O286" s="3" t="str">
        <v>RegAsync</v>
      </c>
      <c r="P286" s="3" t="str">
        <v>Version</v>
      </c>
      <c r="Q286" s="3" t="str">
        <v>Published By</v>
      </c>
      <c r="R286" s="3" t="str">
        <v>Distribution Topic</v>
      </c>
      <c r="S286" s="3" t="str">
        <v>Has Menu</v>
      </c>
      <c r="T286" s="20"/>
    </row>
    <row r="287" spans="1:31" x14ac:dyDescent="0.3">
      <c r="A287" s="18"/>
      <c r="B287" s="30" t="str">
        <v>BS</v>
      </c>
      <c r="C287" s="30" t="str">
        <v>string CP, double S, double X, double T, double r, double v</v>
      </c>
      <c r="D287" s="30" t="b">
        <v>0</v>
      </c>
      <c r="E287" s="30" t="b">
        <v>0</v>
      </c>
      <c r="F287" s="30" t="b">
        <v>0</v>
      </c>
      <c r="G287" s="30" t="str">
        <v/>
      </c>
      <c r="H287" s="30" t="b">
        <v>0</v>
      </c>
      <c r="I287" s="30" t="str">
        <v/>
      </c>
      <c r="J287" s="30" t="b">
        <v>0</v>
      </c>
      <c r="K287" s="30">
        <v>0</v>
      </c>
      <c r="L287" s="30">
        <v>0</v>
      </c>
      <c r="M287" s="407">
        <v>46072.45305074074</v>
      </c>
      <c r="N287" s="94" t="str">
        <v/>
      </c>
      <c r="O287" s="30" t="str">
        <v/>
      </c>
      <c r="P287" s="30" t="str">
        <v/>
      </c>
      <c r="Q287" s="30" t="str">
        <v/>
      </c>
      <c r="R287" s="30" t="str">
        <v/>
      </c>
      <c r="S287" s="30" t="b">
        <v>0</v>
      </c>
      <c r="T287" s="20"/>
    </row>
    <row r="288" spans="1:31" x14ac:dyDescent="0.3">
      <c r="A288" s="18"/>
      <c r="B288" s="30" t="str">
        <v>Clamp</v>
      </c>
      <c r="C288" s="30" t="str">
        <v>double x, double y, double z</v>
      </c>
      <c r="D288" s="30" t="b">
        <v>0</v>
      </c>
      <c r="E288" s="30" t="b">
        <v>0</v>
      </c>
      <c r="F288" s="30" t="b">
        <v>0</v>
      </c>
      <c r="G288" s="30" t="str">
        <v/>
      </c>
      <c r="H288" s="30" t="b">
        <v>0</v>
      </c>
      <c r="I288" s="30" t="str">
        <v/>
      </c>
      <c r="J288" s="30" t="b">
        <v>0</v>
      </c>
      <c r="K288" s="30">
        <v>0</v>
      </c>
      <c r="L288" s="30">
        <v>0</v>
      </c>
      <c r="M288" s="407">
        <v>46072.45295929398</v>
      </c>
      <c r="N288" s="94" t="str">
        <v/>
      </c>
      <c r="O288" s="30" t="str">
        <v/>
      </c>
      <c r="P288" s="30" t="str">
        <v/>
      </c>
      <c r="Q288" s="30" t="str">
        <v/>
      </c>
      <c r="R288" s="30" t="str">
        <v/>
      </c>
      <c r="S288" s="30" t="b">
        <v>0</v>
      </c>
      <c r="T288" s="20"/>
    </row>
    <row r="289" spans="1:20" x14ac:dyDescent="0.3">
      <c r="A289" s="18"/>
      <c r="B289" s="30" t="str">
        <v>CND</v>
      </c>
      <c r="C289" s="30" t="str">
        <v>double x</v>
      </c>
      <c r="D289" s="30" t="b">
        <v>0</v>
      </c>
      <c r="E289" s="30" t="b">
        <v>0</v>
      </c>
      <c r="F289" s="30" t="b">
        <v>0</v>
      </c>
      <c r="G289" s="30" t="str">
        <v/>
      </c>
      <c r="H289" s="30" t="b">
        <v>0</v>
      </c>
      <c r="I289" s="30" t="str">
        <v/>
      </c>
      <c r="J289" s="30" t="b">
        <v>0</v>
      </c>
      <c r="K289" s="30">
        <v>0</v>
      </c>
      <c r="L289" s="30">
        <v>0</v>
      </c>
      <c r="M289" s="407">
        <v>46072.45305074074</v>
      </c>
      <c r="N289" s="94" t="str">
        <v/>
      </c>
      <c r="O289" s="30" t="str">
        <v/>
      </c>
      <c r="P289" s="30" t="str">
        <v/>
      </c>
      <c r="Q289" s="30" t="str">
        <v/>
      </c>
      <c r="R289" s="30" t="str">
        <v/>
      </c>
      <c r="S289" s="30" t="b">
        <v>0</v>
      </c>
      <c r="T289" s="20"/>
    </row>
    <row r="290" spans="1:20" x14ac:dyDescent="0.3">
      <c r="A290" s="18"/>
      <c r="B290" s="30" t="str">
        <v>DoStuff</v>
      </c>
      <c r="C290" s="30" t="str">
        <v>int[][][] pages</v>
      </c>
      <c r="D290" s="30" t="b">
        <v>0</v>
      </c>
      <c r="E290" s="30" t="b">
        <v>0</v>
      </c>
      <c r="F290" s="30" t="b">
        <v>0</v>
      </c>
      <c r="G290" s="30" t="str">
        <v/>
      </c>
      <c r="H290" s="30" t="b">
        <v>0</v>
      </c>
      <c r="I290" s="30" t="str">
        <v/>
      </c>
      <c r="J290" s="30" t="b">
        <v>0</v>
      </c>
      <c r="K290" s="30">
        <v>0</v>
      </c>
      <c r="L290" s="30">
        <v>0</v>
      </c>
      <c r="M290" s="407">
        <v>46072.453050057869</v>
      </c>
      <c r="N290" s="94" t="str">
        <v/>
      </c>
      <c r="O290" s="30" t="str">
        <v/>
      </c>
      <c r="P290" s="30" t="str">
        <v/>
      </c>
      <c r="Q290" s="30" t="str">
        <v/>
      </c>
      <c r="R290" s="30" t="str">
        <v/>
      </c>
      <c r="S290" s="30" t="b">
        <v>0</v>
      </c>
      <c r="T290" s="20"/>
    </row>
    <row r="291" spans="1:20" x14ac:dyDescent="0.3">
      <c r="A291" s="18"/>
      <c r="B291" s="30" t="str">
        <v>ExcelVersion</v>
      </c>
      <c r="C291" s="30" t="str">
        <v/>
      </c>
      <c r="D291" s="30" t="b">
        <v>0</v>
      </c>
      <c r="E291" s="30" t="b">
        <v>0</v>
      </c>
      <c r="F291" s="30" t="b">
        <v>0</v>
      </c>
      <c r="G291" s="30" t="str">
        <v/>
      </c>
      <c r="H291" s="30" t="b">
        <v>0</v>
      </c>
      <c r="I291" s="30" t="str">
        <v/>
      </c>
      <c r="J291" s="30" t="b">
        <v>1</v>
      </c>
      <c r="K291" s="30">
        <v>1</v>
      </c>
      <c r="L291" s="30">
        <v>0</v>
      </c>
      <c r="M291" s="407">
        <v>46072.453050729164</v>
      </c>
      <c r="N291" s="94" t="str">
        <v/>
      </c>
      <c r="O291" s="30" t="str">
        <v/>
      </c>
      <c r="P291" s="30" t="str">
        <v/>
      </c>
      <c r="Q291" s="30" t="str">
        <v/>
      </c>
      <c r="R291" s="30" t="str">
        <v/>
      </c>
      <c r="S291" s="30" t="b">
        <v>0</v>
      </c>
      <c r="T291" s="20"/>
    </row>
    <row r="292" spans="1:20" x14ac:dyDescent="0.3">
      <c r="A292" s="18"/>
      <c r="B292" s="30" t="str">
        <v>GetGlobalVal</v>
      </c>
      <c r="C292" s="30" t="str">
        <v>string key</v>
      </c>
      <c r="D292" s="30" t="b">
        <v>0</v>
      </c>
      <c r="E292" s="30" t="b">
        <v>0</v>
      </c>
      <c r="F292" s="30" t="b">
        <v>0</v>
      </c>
      <c r="G292" s="30" t="str">
        <v/>
      </c>
      <c r="H292" s="30" t="b">
        <v>0</v>
      </c>
      <c r="I292" s="30" t="str">
        <v/>
      </c>
      <c r="J292" s="30" t="b">
        <v>0</v>
      </c>
      <c r="K292" s="30">
        <v>0</v>
      </c>
      <c r="L292" s="30">
        <v>0</v>
      </c>
      <c r="M292" s="407">
        <v>46072.453050046293</v>
      </c>
      <c r="N292" s="94" t="str">
        <v/>
      </c>
      <c r="O292" s="30" t="str">
        <v/>
      </c>
      <c r="P292" s="30" t="str">
        <v/>
      </c>
      <c r="Q292" s="30" t="str">
        <v/>
      </c>
      <c r="R292" s="30" t="str">
        <v/>
      </c>
      <c r="S292" s="30" t="b">
        <v>0</v>
      </c>
      <c r="T292" s="20"/>
    </row>
    <row r="293" spans="1:20" x14ac:dyDescent="0.3">
      <c r="A293" s="18"/>
      <c r="B293" s="30" t="str">
        <v>GetMemoryUsage</v>
      </c>
      <c r="C293" s="30" t="str">
        <v/>
      </c>
      <c r="D293" s="30" t="b">
        <v>0</v>
      </c>
      <c r="E293" s="30" t="b">
        <v>1</v>
      </c>
      <c r="F293" s="30" t="b">
        <v>1</v>
      </c>
      <c r="G293" s="30" t="str">
        <v>None</v>
      </c>
      <c r="H293" s="30" t="b">
        <v>1</v>
      </c>
      <c r="I293" s="30">
        <v>1</v>
      </c>
      <c r="J293" s="30" t="b">
        <v>0</v>
      </c>
      <c r="K293" s="30">
        <v>1</v>
      </c>
      <c r="L293" s="30">
        <v>0</v>
      </c>
      <c r="M293" s="407">
        <v>46072.452941585645</v>
      </c>
      <c r="N293" s="94" t="str">
        <v/>
      </c>
      <c r="O293" s="30" t="str">
        <v/>
      </c>
      <c r="P293" s="30" t="str">
        <v/>
      </c>
      <c r="Q293" s="30" t="str">
        <v/>
      </c>
      <c r="R293" s="30" t="str">
        <v/>
      </c>
      <c r="S293" s="30" t="b">
        <v>0</v>
      </c>
      <c r="T293" s="20"/>
    </row>
    <row r="294" spans="1:20" x14ac:dyDescent="0.3">
      <c r="A294" s="18"/>
      <c r="B294" s="30" t="str">
        <v>MYAPI.SOME_VALS</v>
      </c>
      <c r="C294" s="30" t="str">
        <v>double sleepMillis</v>
      </c>
      <c r="D294" s="30" t="b">
        <v>0</v>
      </c>
      <c r="E294" s="30" t="b">
        <v>0</v>
      </c>
      <c r="F294" s="30" t="b">
        <v>0</v>
      </c>
      <c r="G294" s="30" t="str">
        <v>Array</v>
      </c>
      <c r="H294" s="30" t="b">
        <v>0</v>
      </c>
      <c r="I294" s="30" t="str">
        <v/>
      </c>
      <c r="J294" s="30" t="b">
        <v>0</v>
      </c>
      <c r="K294" s="30">
        <v>0</v>
      </c>
      <c r="L294" s="30">
        <v>0</v>
      </c>
      <c r="M294" s="407" t="str">
        <v/>
      </c>
      <c r="N294" s="94" t="str">
        <v>MYAPI.SOME_VALS</v>
      </c>
      <c r="O294" s="30" t="b">
        <v>1</v>
      </c>
      <c r="P294" s="30" t="str">
        <v/>
      </c>
      <c r="Q294" s="30" t="str">
        <v/>
      </c>
      <c r="R294" s="30" t="str">
        <v/>
      </c>
      <c r="S294" s="30" t="b">
        <v>0</v>
      </c>
      <c r="T294" s="20"/>
    </row>
    <row r="295" spans="1:20" x14ac:dyDescent="0.3">
      <c r="A295" s="18"/>
      <c r="B295" s="30" t="str">
        <v>OPTION_VALUE</v>
      </c>
      <c r="C295" s="30" t="str">
        <v>double S, double X, double T, double r, double v, string CP</v>
      </c>
      <c r="D295" s="30" t="b">
        <v>0</v>
      </c>
      <c r="E295" s="30" t="b">
        <v>0</v>
      </c>
      <c r="F295" s="30" t="b">
        <v>0</v>
      </c>
      <c r="G295" s="30" t="str">
        <v/>
      </c>
      <c r="H295" s="30" t="b">
        <v>0</v>
      </c>
      <c r="I295" s="30" t="str">
        <v/>
      </c>
      <c r="J295" s="30" t="b">
        <v>0</v>
      </c>
      <c r="K295" s="30">
        <v>0</v>
      </c>
      <c r="L295" s="30">
        <v>0</v>
      </c>
      <c r="M295" s="407">
        <v>46072.452967893521</v>
      </c>
      <c r="N295" s="94" t="str">
        <v>OPT_VAL</v>
      </c>
      <c r="O295" s="30" t="b">
        <v>0</v>
      </c>
      <c r="P295" s="30" t="str">
        <v/>
      </c>
      <c r="Q295" s="30" t="str">
        <v/>
      </c>
      <c r="R295" s="30" t="str">
        <v/>
      </c>
      <c r="S295" s="30" t="b">
        <v>0</v>
      </c>
      <c r="T295" s="20"/>
    </row>
    <row r="296" spans="1:20" x14ac:dyDescent="0.3">
      <c r="A296" s="18"/>
      <c r="B296" s="21"/>
      <c r="C296" s="21"/>
      <c r="D296" s="21"/>
      <c r="E296" s="21"/>
      <c r="F296" s="21"/>
      <c r="G296" s="21"/>
      <c r="H296" s="21"/>
      <c r="I296" s="21"/>
      <c r="J296" s="21"/>
      <c r="K296" s="21"/>
      <c r="L296" s="21"/>
      <c r="M296" s="21"/>
      <c r="N296" s="21"/>
      <c r="O296" s="21"/>
      <c r="P296" s="21"/>
      <c r="Q296" s="21"/>
      <c r="R296" s="21"/>
      <c r="S296" s="21"/>
      <c r="T296" s="20"/>
    </row>
    <row r="297" spans="1:20" x14ac:dyDescent="0.3">
      <c r="A297" s="18"/>
      <c r="B297" s="21"/>
      <c r="C297" s="21"/>
      <c r="D297" s="21"/>
      <c r="E297" s="21"/>
      <c r="F297" s="21"/>
      <c r="G297" s="21"/>
      <c r="H297" s="21"/>
      <c r="I297" s="21"/>
      <c r="J297" s="21"/>
      <c r="K297" s="21"/>
      <c r="L297" s="21"/>
      <c r="M297" s="21"/>
      <c r="N297" s="21"/>
      <c r="O297" s="21"/>
      <c r="P297" s="21"/>
      <c r="Q297" s="21"/>
      <c r="R297" s="21"/>
      <c r="S297" s="21"/>
      <c r="T297" s="20"/>
    </row>
    <row r="298" spans="1:20" x14ac:dyDescent="0.3">
      <c r="A298" s="18"/>
      <c r="B298" s="3" t="str">
        <f t="array" ref="B298:G302">_xll.U.PAD(_xll.U.COMPILE("Globals"))</f>
        <v>Key</v>
      </c>
      <c r="C298" s="3" t="str">
        <v>Type</v>
      </c>
      <c r="D298" s="3" t="str">
        <v>LastSet</v>
      </c>
      <c r="E298" s="3" t="str">
        <v>LastGet</v>
      </c>
      <c r="F298" s="3" t="str">
        <v>IsEmpty</v>
      </c>
      <c r="G298" s="3" t="str">
        <v>FirstVal</v>
      </c>
      <c r="H298" s="21"/>
      <c r="I298" s="21"/>
      <c r="J298" s="21"/>
      <c r="K298" s="21"/>
      <c r="L298" s="21"/>
      <c r="M298" s="21"/>
      <c r="N298" s="21"/>
      <c r="O298" s="21"/>
      <c r="P298" s="21"/>
      <c r="Q298" s="21"/>
      <c r="R298" s="21"/>
      <c r="S298" s="21"/>
      <c r="T298" s="20"/>
    </row>
    <row r="299" spans="1:20" x14ac:dyDescent="0.3">
      <c r="A299" s="18"/>
      <c r="B299" s="30" t="str">
        <v>sum_time</v>
      </c>
      <c r="C299" s="30" t="str">
        <v>String</v>
      </c>
      <c r="D299" s="94">
        <v>46072.6613840625</v>
      </c>
      <c r="E299" s="94">
        <v>46072.661383379629</v>
      </c>
      <c r="F299" s="30" t="b">
        <v>0</v>
      </c>
      <c r="G299" s="30" t="str">
        <v>Total = 600000; millis = 57</v>
      </c>
      <c r="H299" s="21"/>
      <c r="I299" s="21"/>
      <c r="J299" s="21"/>
      <c r="K299" s="21"/>
      <c r="L299" s="21"/>
      <c r="M299" s="21"/>
      <c r="N299" s="21"/>
      <c r="O299" s="21"/>
      <c r="P299" s="21"/>
      <c r="Q299" s="21"/>
      <c r="R299" s="21"/>
      <c r="S299" s="21"/>
      <c r="T299" s="20"/>
    </row>
    <row r="300" spans="1:20" x14ac:dyDescent="0.3">
      <c r="A300" s="18"/>
      <c r="B300" s="30" t="str">
        <v/>
      </c>
      <c r="C300" s="30" t="str">
        <v/>
      </c>
      <c r="D300" s="94" t="str">
        <v/>
      </c>
      <c r="E300" s="94" t="str">
        <v/>
      </c>
      <c r="F300" s="30" t="str">
        <v/>
      </c>
      <c r="G300" s="30" t="str">
        <v/>
      </c>
      <c r="H300" s="21"/>
      <c r="I300" s="21"/>
      <c r="J300" s="21"/>
      <c r="K300" s="21"/>
      <c r="L300" s="21"/>
      <c r="M300" s="21"/>
      <c r="N300" s="21"/>
      <c r="O300" s="21"/>
      <c r="P300" s="21"/>
      <c r="Q300" s="21"/>
      <c r="R300" s="21"/>
      <c r="S300" s="21"/>
      <c r="T300" s="20"/>
    </row>
    <row r="301" spans="1:20" x14ac:dyDescent="0.3">
      <c r="A301" s="18"/>
      <c r="B301" s="30" t="str">
        <v/>
      </c>
      <c r="C301" s="30" t="str">
        <v/>
      </c>
      <c r="D301" s="94" t="str">
        <v/>
      </c>
      <c r="E301" s="94" t="str">
        <v/>
      </c>
      <c r="F301" s="30" t="str">
        <v/>
      </c>
      <c r="G301" s="30" t="str">
        <v/>
      </c>
      <c r="H301" s="21"/>
      <c r="I301" s="21"/>
      <c r="J301" s="21"/>
      <c r="K301" s="21"/>
      <c r="L301" s="21"/>
      <c r="M301" s="21"/>
      <c r="N301" s="21"/>
      <c r="O301" s="21"/>
      <c r="P301" s="21"/>
      <c r="Q301" s="21"/>
      <c r="R301" s="21"/>
      <c r="S301" s="21"/>
      <c r="T301" s="20"/>
    </row>
    <row r="302" spans="1:20" x14ac:dyDescent="0.3">
      <c r="A302" s="18"/>
      <c r="B302" s="30" t="str">
        <v/>
      </c>
      <c r="C302" s="30" t="str">
        <v/>
      </c>
      <c r="D302" s="94" t="str">
        <v/>
      </c>
      <c r="E302" s="94" t="str">
        <v/>
      </c>
      <c r="F302" s="30" t="str">
        <v/>
      </c>
      <c r="G302" s="30" t="str">
        <v/>
      </c>
      <c r="H302" s="21"/>
      <c r="I302" s="21"/>
      <c r="J302" s="21"/>
      <c r="K302" s="21"/>
      <c r="L302" s="21"/>
      <c r="M302" s="21"/>
      <c r="N302" s="21"/>
      <c r="O302" s="21"/>
      <c r="P302" s="21"/>
      <c r="Q302" s="21"/>
      <c r="R302" s="21"/>
      <c r="S302" s="21"/>
      <c r="T302" s="20"/>
    </row>
    <row r="303" spans="1:20" x14ac:dyDescent="0.3">
      <c r="A303" s="18"/>
      <c r="B303" s="21"/>
      <c r="C303" s="21"/>
      <c r="D303" s="21"/>
      <c r="E303" s="21"/>
      <c r="F303" s="21"/>
      <c r="G303" s="21"/>
      <c r="H303" s="21"/>
      <c r="I303" s="21"/>
      <c r="J303" s="21"/>
      <c r="K303" s="21"/>
      <c r="L303" s="21"/>
      <c r="M303" s="21"/>
      <c r="N303" s="21"/>
      <c r="O303" s="21"/>
      <c r="P303" s="21"/>
      <c r="Q303" s="21"/>
      <c r="R303" s="21"/>
      <c r="S303" s="21"/>
      <c r="T303" s="20"/>
    </row>
    <row r="304" spans="1:20" x14ac:dyDescent="0.3">
      <c r="A304" s="18"/>
      <c r="B304" s="21"/>
      <c r="C304" s="21"/>
      <c r="D304" s="21"/>
      <c r="E304" s="21"/>
      <c r="F304" s="21"/>
      <c r="G304" s="21"/>
      <c r="H304" s="21"/>
      <c r="I304" s="21"/>
      <c r="J304" s="21"/>
      <c r="K304" s="21"/>
      <c r="L304" s="21"/>
      <c r="M304" s="21"/>
      <c r="N304" s="21"/>
      <c r="O304" s="21"/>
      <c r="P304" s="21"/>
      <c r="Q304" s="21"/>
      <c r="R304" s="21"/>
      <c r="S304" s="21"/>
      <c r="T304" s="20"/>
    </row>
    <row r="305" spans="1:20" x14ac:dyDescent="0.3">
      <c r="A305" s="490" t="s">
        <v>2819</v>
      </c>
      <c r="B305" s="491"/>
      <c r="C305" s="491"/>
      <c r="D305" s="491"/>
      <c r="E305" s="491"/>
      <c r="F305" s="491"/>
      <c r="G305" s="491"/>
      <c r="H305" s="491"/>
      <c r="I305" s="491"/>
      <c r="J305" s="491"/>
      <c r="K305" s="491"/>
      <c r="L305" s="491"/>
      <c r="M305" s="491"/>
      <c r="N305" s="491"/>
      <c r="O305" s="21"/>
      <c r="P305" s="21"/>
      <c r="Q305" s="21"/>
      <c r="R305" s="21"/>
      <c r="S305" s="21"/>
      <c r="T305" s="20"/>
    </row>
    <row r="306" spans="1:20" x14ac:dyDescent="0.3">
      <c r="A306" s="18"/>
      <c r="B306" s="21"/>
      <c r="C306" s="21"/>
      <c r="D306" s="21"/>
      <c r="E306" s="21"/>
      <c r="F306" s="21"/>
      <c r="G306" s="21"/>
      <c r="H306" s="21"/>
      <c r="I306" s="21"/>
      <c r="J306" s="21"/>
      <c r="K306" s="21"/>
      <c r="L306" s="21"/>
      <c r="M306" s="21"/>
      <c r="N306" s="21"/>
      <c r="O306" s="21"/>
      <c r="P306" s="21"/>
      <c r="Q306" s="21"/>
      <c r="R306" s="21"/>
      <c r="S306" s="21"/>
      <c r="T306" s="20"/>
    </row>
    <row r="307" spans="1:20" x14ac:dyDescent="0.3">
      <c r="A307" s="18"/>
      <c r="B307" s="21"/>
      <c r="C307" s="21"/>
      <c r="D307" s="21"/>
      <c r="E307" s="21"/>
      <c r="F307" s="21"/>
      <c r="G307" s="21"/>
      <c r="H307" s="21"/>
      <c r="I307" s="21"/>
      <c r="J307" s="21"/>
      <c r="K307" s="21"/>
      <c r="L307" s="21"/>
      <c r="M307" s="21"/>
      <c r="N307" s="21"/>
      <c r="O307" s="21"/>
      <c r="P307" s="21"/>
      <c r="Q307" s="21"/>
      <c r="R307" s="21"/>
      <c r="S307" s="21"/>
      <c r="T307" s="20"/>
    </row>
    <row r="308" spans="1:20" x14ac:dyDescent="0.3">
      <c r="A308" s="18"/>
      <c r="B308" s="302" t="s">
        <v>679</v>
      </c>
      <c r="C308" s="357" t="s">
        <v>2828</v>
      </c>
      <c r="D308" s="21"/>
      <c r="E308" s="21"/>
      <c r="G308" s="179" t="s">
        <v>3599</v>
      </c>
      <c r="H308" s="21"/>
      <c r="I308" s="21"/>
      <c r="J308" s="21"/>
      <c r="K308" s="21"/>
      <c r="L308" s="21"/>
      <c r="M308" s="21"/>
      <c r="N308" s="21"/>
      <c r="O308" s="21"/>
      <c r="P308" s="21"/>
      <c r="Q308" s="21"/>
      <c r="R308" s="21"/>
      <c r="S308" s="21"/>
      <c r="T308" s="20"/>
    </row>
    <row r="309" spans="1:20" x14ac:dyDescent="0.3">
      <c r="A309" s="18"/>
      <c r="B309" s="302" t="s">
        <v>2588</v>
      </c>
      <c r="C309" s="414" t="s">
        <v>2821</v>
      </c>
      <c r="D309" s="415"/>
      <c r="E309" s="21"/>
      <c r="F309" s="21"/>
      <c r="G309" s="152" t="s">
        <v>3677</v>
      </c>
      <c r="H309" s="21"/>
      <c r="I309" s="21"/>
      <c r="J309" s="21"/>
      <c r="K309" s="21"/>
      <c r="L309" s="21"/>
      <c r="M309" s="21"/>
      <c r="N309" s="21"/>
      <c r="O309" s="21"/>
      <c r="P309" s="21"/>
      <c r="Q309" s="21"/>
      <c r="R309" s="21"/>
      <c r="S309" s="21"/>
      <c r="T309" s="20"/>
    </row>
    <row r="310" spans="1:20" x14ac:dyDescent="0.3">
      <c r="A310" s="18"/>
      <c r="B310" s="21"/>
      <c r="C310" s="416" t="s">
        <v>2825</v>
      </c>
      <c r="D310" s="417"/>
      <c r="E310" s="21"/>
      <c r="F310" s="123"/>
      <c r="G310" s="21"/>
      <c r="H310" s="21"/>
      <c r="I310" s="21"/>
      <c r="J310" s="21"/>
      <c r="K310" s="21"/>
      <c r="L310" s="21"/>
      <c r="M310" s="21"/>
      <c r="N310" s="21"/>
      <c r="O310" s="21"/>
      <c r="P310" s="21"/>
      <c r="Q310" s="21"/>
      <c r="R310" s="21"/>
      <c r="S310" s="21"/>
      <c r="T310" s="20"/>
    </row>
    <row r="311" spans="1:20" x14ac:dyDescent="0.3">
      <c r="A311" s="18"/>
      <c r="B311" s="21"/>
      <c r="C311" s="416" t="s">
        <v>2826</v>
      </c>
      <c r="D311" s="417"/>
      <c r="E311" s="21"/>
      <c r="F311" s="123"/>
      <c r="G311" s="9" t="s">
        <v>2585</v>
      </c>
      <c r="H311" s="295">
        <v>2.5</v>
      </c>
      <c r="I311" s="21"/>
      <c r="J311" s="21"/>
      <c r="K311" s="21"/>
      <c r="L311" s="21"/>
      <c r="M311" s="21"/>
      <c r="N311" s="21"/>
      <c r="O311" s="21"/>
      <c r="P311" s="21"/>
      <c r="Q311" s="21"/>
      <c r="R311" s="21"/>
      <c r="S311" s="21"/>
      <c r="T311" s="20"/>
    </row>
    <row r="312" spans="1:20" x14ac:dyDescent="0.3">
      <c r="A312" s="18"/>
      <c r="B312" s="21"/>
      <c r="C312" s="418" t="s">
        <v>2827</v>
      </c>
      <c r="D312" s="419"/>
      <c r="E312" s="21"/>
      <c r="F312" s="21"/>
      <c r="G312" s="9" t="s">
        <v>2586</v>
      </c>
      <c r="H312" s="295">
        <v>4.7</v>
      </c>
      <c r="I312" s="21"/>
      <c r="J312" s="21"/>
      <c r="K312" s="21"/>
      <c r="L312" s="21"/>
      <c r="M312" s="21"/>
      <c r="N312" s="21"/>
      <c r="O312" s="21"/>
      <c r="P312" s="21"/>
      <c r="Q312" s="21"/>
      <c r="R312" s="21"/>
      <c r="S312" s="21"/>
      <c r="T312" s="20"/>
    </row>
    <row r="313" spans="1:20" x14ac:dyDescent="0.3">
      <c r="A313" s="18"/>
      <c r="B313" s="9" t="s">
        <v>2582</v>
      </c>
      <c r="C313" s="420" t="s">
        <v>2823</v>
      </c>
      <c r="D313" s="21"/>
      <c r="E313" s="21"/>
      <c r="F313" s="21"/>
      <c r="G313" s="422"/>
      <c r="H313" s="21"/>
      <c r="I313" s="21"/>
      <c r="J313" s="21"/>
      <c r="K313" s="21"/>
      <c r="L313" s="21"/>
      <c r="M313" s="21"/>
      <c r="N313" s="21"/>
      <c r="O313" s="21"/>
      <c r="P313" s="21"/>
      <c r="Q313" s="21"/>
      <c r="R313" s="21"/>
      <c r="S313" s="21"/>
      <c r="T313" s="20"/>
    </row>
    <row r="314" spans="1:20" x14ac:dyDescent="0.3">
      <c r="A314" s="18"/>
      <c r="B314" s="302" t="s">
        <v>2409</v>
      </c>
      <c r="C314" s="421" t="s">
        <v>2829</v>
      </c>
      <c r="D314" s="113"/>
      <c r="E314" s="21"/>
      <c r="F314" s="21"/>
      <c r="G314" s="179" t="s">
        <v>3600</v>
      </c>
      <c r="H314" s="21"/>
      <c r="I314" s="21"/>
      <c r="J314" s="21"/>
      <c r="K314" s="21"/>
      <c r="L314" s="21"/>
      <c r="M314" s="21"/>
      <c r="N314" s="21"/>
      <c r="O314" s="21"/>
      <c r="P314" s="21"/>
      <c r="Q314" s="21"/>
      <c r="R314" s="21"/>
      <c r="S314" s="21"/>
      <c r="T314" s="20"/>
    </row>
    <row r="315" spans="1:20" x14ac:dyDescent="0.3">
      <c r="A315" s="18"/>
      <c r="B315" s="302" t="s">
        <v>2822</v>
      </c>
      <c r="C315" s="295" t="s">
        <v>2819</v>
      </c>
      <c r="D315" s="21"/>
      <c r="E315" s="21"/>
      <c r="F315" s="21"/>
      <c r="G315" s="122" t="str" cm="1">
        <f t="array" ref="G315">_xll.U.INVOKE(C308,H311,H312)</f>
        <v>Function AddValToNow not found</v>
      </c>
      <c r="H315" s="21"/>
      <c r="I315" s="21"/>
      <c r="J315" s="21"/>
      <c r="K315" s="21"/>
      <c r="L315" s="21"/>
      <c r="M315" s="21"/>
      <c r="N315" s="21"/>
      <c r="O315" s="21"/>
      <c r="P315" s="21"/>
      <c r="Q315" s="21"/>
      <c r="R315" s="21"/>
      <c r="S315" s="21"/>
      <c r="T315" s="20"/>
    </row>
    <row r="316" spans="1:20" x14ac:dyDescent="0.3">
      <c r="A316" s="18"/>
      <c r="B316" s="21"/>
      <c r="C316" s="21"/>
      <c r="D316" s="21"/>
      <c r="E316" s="21"/>
      <c r="F316" s="21"/>
      <c r="G316" s="21"/>
      <c r="H316" s="21"/>
      <c r="I316" s="21"/>
      <c r="J316" s="21"/>
      <c r="K316" s="21"/>
      <c r="L316" s="21"/>
      <c r="M316" s="21"/>
      <c r="N316" s="21"/>
      <c r="O316" s="21"/>
      <c r="P316" s="21"/>
      <c r="Q316" s="21"/>
      <c r="R316" s="21"/>
      <c r="S316" s="21"/>
      <c r="T316" s="20"/>
    </row>
    <row r="317" spans="1:20" x14ac:dyDescent="0.3">
      <c r="A317" s="18"/>
      <c r="B317" s="397" t="s">
        <v>2820</v>
      </c>
      <c r="C317" s="21"/>
      <c r="D317" s="21"/>
      <c r="E317" s="21"/>
      <c r="F317" s="21"/>
      <c r="G317" s="21"/>
      <c r="H317" s="21"/>
      <c r="I317" s="21"/>
      <c r="J317" s="21"/>
      <c r="K317" s="21"/>
      <c r="L317" s="21"/>
      <c r="M317" s="21"/>
      <c r="N317" s="21"/>
      <c r="O317" s="21"/>
      <c r="P317" s="21"/>
      <c r="Q317" s="21"/>
      <c r="R317" s="21"/>
      <c r="S317" s="21"/>
      <c r="T317" s="20"/>
    </row>
    <row r="318" spans="1:20" x14ac:dyDescent="0.3">
      <c r="A318" s="18"/>
      <c r="B318" s="398" t="s">
        <v>2824</v>
      </c>
      <c r="C318" s="21"/>
      <c r="D318" s="21"/>
      <c r="E318" s="21"/>
      <c r="F318" s="21"/>
      <c r="G318" s="21"/>
      <c r="H318" s="21"/>
      <c r="I318" s="21"/>
      <c r="J318" s="21"/>
      <c r="K318" s="21"/>
      <c r="L318" s="21"/>
      <c r="M318" s="21"/>
      <c r="N318" s="21"/>
      <c r="O318" s="21"/>
      <c r="P318" s="21"/>
      <c r="Q318" s="21"/>
      <c r="R318" s="21"/>
      <c r="S318" s="21"/>
      <c r="T318" s="20"/>
    </row>
    <row r="319" spans="1:20" x14ac:dyDescent="0.3">
      <c r="A319" s="18"/>
      <c r="B319" s="400" t="s">
        <v>3632</v>
      </c>
      <c r="C319" s="21"/>
      <c r="D319" s="21"/>
      <c r="E319" s="21"/>
      <c r="F319" s="21"/>
      <c r="G319" s="21"/>
      <c r="H319" s="21"/>
      <c r="I319" s="21"/>
      <c r="J319" s="21"/>
      <c r="K319" s="21"/>
      <c r="L319" s="21"/>
      <c r="M319" s="21"/>
      <c r="N319" s="21"/>
      <c r="O319" s="21"/>
      <c r="P319" s="21"/>
      <c r="Q319" s="21"/>
      <c r="R319" s="21"/>
      <c r="S319" s="21"/>
      <c r="T319" s="20"/>
    </row>
    <row r="320" spans="1:20" x14ac:dyDescent="0.3">
      <c r="A320" s="18"/>
      <c r="B320" s="21"/>
      <c r="C320" s="21"/>
      <c r="D320" s="21"/>
      <c r="E320" s="21"/>
      <c r="F320" s="21"/>
      <c r="G320" s="21"/>
      <c r="H320" s="21"/>
      <c r="I320" s="21"/>
      <c r="J320" s="21"/>
      <c r="K320" s="21"/>
      <c r="L320" s="21"/>
      <c r="M320" s="21"/>
      <c r="N320" s="21"/>
      <c r="O320" s="21"/>
      <c r="P320" s="21"/>
      <c r="Q320" s="21"/>
      <c r="R320" s="21"/>
      <c r="S320" s="21"/>
      <c r="T320" s="20"/>
    </row>
    <row r="321" spans="1:20" x14ac:dyDescent="0.3">
      <c r="A321" s="18"/>
      <c r="B321" s="21"/>
      <c r="C321" s="21"/>
      <c r="D321" s="21"/>
      <c r="E321" s="21"/>
      <c r="F321" s="21"/>
      <c r="G321" s="21"/>
      <c r="H321" s="21"/>
      <c r="I321" s="21"/>
      <c r="J321" s="21"/>
      <c r="K321" s="21"/>
      <c r="L321" s="21"/>
      <c r="M321" s="21"/>
      <c r="N321" s="21"/>
      <c r="O321" s="21"/>
      <c r="P321" s="21"/>
      <c r="Q321" s="21"/>
      <c r="R321" s="21"/>
      <c r="S321" s="21"/>
      <c r="T321" s="20"/>
    </row>
    <row r="322" spans="1:20" x14ac:dyDescent="0.3">
      <c r="A322" s="18"/>
      <c r="B322" s="21"/>
      <c r="C322" s="21"/>
      <c r="D322" s="21"/>
      <c r="E322" s="21"/>
      <c r="F322" s="21"/>
      <c r="G322" s="21"/>
      <c r="H322" s="21"/>
      <c r="I322" s="21"/>
      <c r="J322" s="21"/>
      <c r="K322" s="21"/>
      <c r="L322" s="21"/>
      <c r="M322" s="21"/>
      <c r="N322" s="21"/>
      <c r="O322" s="21"/>
      <c r="P322" s="21"/>
      <c r="Q322" s="21"/>
      <c r="R322" s="21"/>
      <c r="S322" s="21"/>
      <c r="T322" s="20"/>
    </row>
    <row r="323" spans="1:20" x14ac:dyDescent="0.3">
      <c r="A323" s="18"/>
      <c r="B323" s="21"/>
      <c r="C323" s="21"/>
      <c r="D323" s="21"/>
      <c r="E323" s="21"/>
      <c r="F323" s="21"/>
      <c r="G323" s="21"/>
      <c r="H323" s="21"/>
      <c r="I323" s="21"/>
      <c r="J323" s="21"/>
      <c r="K323" s="21"/>
      <c r="L323" s="21"/>
      <c r="M323" s="21"/>
      <c r="N323" s="21"/>
      <c r="O323" s="21"/>
      <c r="P323" s="21"/>
      <c r="Q323" s="21"/>
      <c r="R323" s="21"/>
      <c r="S323" s="21"/>
      <c r="T323" s="20"/>
    </row>
    <row r="324" spans="1:20" x14ac:dyDescent="0.3">
      <c r="A324" s="18"/>
      <c r="B324" s="21"/>
      <c r="C324" s="21"/>
      <c r="D324" s="21"/>
      <c r="E324" s="21"/>
      <c r="F324" s="21"/>
      <c r="G324" s="21"/>
      <c r="H324" s="21"/>
      <c r="I324" s="21"/>
      <c r="J324" s="21"/>
      <c r="K324" s="21"/>
      <c r="L324" s="21"/>
      <c r="M324" s="21"/>
      <c r="N324" s="21"/>
      <c r="O324" s="21"/>
      <c r="P324" s="21"/>
      <c r="Q324" s="21"/>
      <c r="R324" s="21"/>
      <c r="S324" s="21"/>
      <c r="T324" s="20"/>
    </row>
    <row r="325" spans="1:20" x14ac:dyDescent="0.3">
      <c r="A325" s="18"/>
      <c r="B325" s="21"/>
      <c r="C325" s="21"/>
      <c r="D325" s="21"/>
      <c r="E325" s="21"/>
      <c r="F325" s="21"/>
      <c r="G325" s="21"/>
      <c r="H325" s="21"/>
      <c r="I325" s="21"/>
      <c r="J325" s="21"/>
      <c r="K325" s="21"/>
      <c r="L325" s="21"/>
      <c r="M325" s="21"/>
      <c r="N325" s="21"/>
      <c r="O325" s="21"/>
      <c r="P325" s="21"/>
      <c r="Q325" s="21"/>
      <c r="R325" s="21"/>
      <c r="S325" s="21"/>
      <c r="T325" s="20"/>
    </row>
    <row r="326" spans="1:20" x14ac:dyDescent="0.3">
      <c r="A326" s="18"/>
      <c r="B326" s="21"/>
      <c r="C326" s="21"/>
      <c r="D326" s="21"/>
      <c r="E326" s="21"/>
      <c r="F326" s="21"/>
      <c r="G326" s="21"/>
      <c r="H326" s="21"/>
      <c r="I326" s="21"/>
      <c r="J326" s="21"/>
      <c r="K326" s="21"/>
      <c r="L326" s="21"/>
      <c r="M326" s="21"/>
      <c r="N326" s="21"/>
      <c r="O326" s="21"/>
      <c r="P326" s="21"/>
      <c r="Q326" s="21"/>
      <c r="R326" s="21"/>
      <c r="S326" s="21"/>
      <c r="T326" s="20"/>
    </row>
    <row r="327" spans="1:20" x14ac:dyDescent="0.3">
      <c r="A327" s="18"/>
      <c r="B327" s="21"/>
      <c r="C327" s="21"/>
      <c r="D327" s="21"/>
      <c r="E327" s="21"/>
      <c r="F327" s="21"/>
      <c r="G327" s="21"/>
      <c r="H327" s="21"/>
      <c r="I327" s="21"/>
      <c r="J327" s="21"/>
      <c r="K327" s="21"/>
      <c r="L327" s="21"/>
      <c r="M327" s="21"/>
      <c r="N327" s="21"/>
      <c r="O327" s="21"/>
      <c r="P327" s="21"/>
      <c r="Q327" s="21"/>
      <c r="R327" s="21"/>
      <c r="S327" s="21"/>
      <c r="T327" s="20"/>
    </row>
    <row r="328" spans="1:20" x14ac:dyDescent="0.3">
      <c r="A328" s="18"/>
      <c r="B328" s="21"/>
      <c r="C328" s="21"/>
      <c r="D328" s="21"/>
      <c r="E328" s="21"/>
      <c r="F328" s="21"/>
      <c r="G328" s="21"/>
      <c r="H328" s="21"/>
      <c r="I328" s="21"/>
      <c r="J328" s="21"/>
      <c r="K328" s="21"/>
      <c r="L328" s="21"/>
      <c r="M328" s="21"/>
      <c r="N328" s="21"/>
      <c r="O328" s="21"/>
      <c r="P328" s="21"/>
      <c r="Q328" s="21"/>
      <c r="R328" s="21"/>
      <c r="S328" s="21"/>
      <c r="T328" s="20"/>
    </row>
    <row r="329" spans="1:20" x14ac:dyDescent="0.3">
      <c r="A329" s="18"/>
      <c r="B329" s="21"/>
      <c r="C329" s="21"/>
      <c r="D329" s="21"/>
      <c r="E329" s="21"/>
      <c r="F329" s="21"/>
      <c r="G329" s="21"/>
      <c r="H329" s="21"/>
      <c r="I329" s="21"/>
      <c r="J329" s="21"/>
      <c r="K329" s="21"/>
      <c r="L329" s="21"/>
      <c r="M329" s="21"/>
      <c r="N329" s="21"/>
      <c r="O329" s="21"/>
      <c r="P329" s="21"/>
      <c r="Q329" s="21"/>
      <c r="R329" s="21"/>
      <c r="S329" s="21"/>
      <c r="T329" s="20"/>
    </row>
    <row r="330" spans="1:20" x14ac:dyDescent="0.3">
      <c r="A330" s="18"/>
      <c r="B330" s="21"/>
      <c r="C330" s="21"/>
      <c r="D330" s="21"/>
      <c r="E330" s="21"/>
      <c r="F330" s="21"/>
      <c r="G330" s="21"/>
      <c r="H330" s="21"/>
      <c r="I330" s="21"/>
      <c r="J330" s="21"/>
      <c r="K330" s="21"/>
      <c r="L330" s="21"/>
      <c r="M330" s="21"/>
      <c r="N330" s="21"/>
      <c r="O330" s="21"/>
      <c r="P330" s="21"/>
      <c r="Q330" s="21"/>
      <c r="R330" s="21"/>
      <c r="S330" s="21"/>
      <c r="T330" s="20"/>
    </row>
    <row r="331" spans="1:20" x14ac:dyDescent="0.3">
      <c r="A331" s="18"/>
      <c r="B331" s="21"/>
      <c r="C331" s="21"/>
      <c r="D331" s="21"/>
      <c r="E331" s="21"/>
      <c r="F331" s="21"/>
      <c r="G331" s="21"/>
      <c r="H331" s="21"/>
      <c r="I331" s="21"/>
      <c r="J331" s="21"/>
      <c r="K331" s="21"/>
      <c r="L331" s="21"/>
      <c r="M331" s="21"/>
      <c r="N331" s="21"/>
      <c r="O331" s="21"/>
      <c r="P331" s="21"/>
      <c r="Q331" s="21"/>
      <c r="R331" s="21"/>
      <c r="S331" s="21"/>
      <c r="T331" s="20"/>
    </row>
    <row r="332" spans="1:20" x14ac:dyDescent="0.3">
      <c r="A332" s="18"/>
      <c r="B332" s="21"/>
      <c r="C332" s="21"/>
      <c r="D332" s="21"/>
      <c r="E332" s="21"/>
      <c r="F332" s="21"/>
      <c r="G332" s="21"/>
      <c r="H332" s="21"/>
      <c r="I332" s="21"/>
      <c r="J332" s="21"/>
      <c r="K332" s="21"/>
      <c r="L332" s="21"/>
      <c r="M332" s="21"/>
      <c r="N332" s="21"/>
      <c r="O332" s="21"/>
      <c r="P332" s="21"/>
      <c r="Q332" s="21"/>
      <c r="R332" s="21"/>
      <c r="S332" s="21"/>
      <c r="T332" s="20"/>
    </row>
    <row r="333" spans="1:20" x14ac:dyDescent="0.3">
      <c r="A333" s="18"/>
      <c r="B333" s="21"/>
      <c r="C333" s="21"/>
      <c r="D333" s="21"/>
      <c r="E333" s="21"/>
      <c r="F333" s="21"/>
      <c r="G333" s="21"/>
      <c r="H333" s="21"/>
      <c r="I333" s="21"/>
      <c r="J333" s="21"/>
      <c r="K333" s="21"/>
      <c r="L333" s="21"/>
      <c r="M333" s="21"/>
      <c r="N333" s="21"/>
      <c r="O333" s="21"/>
      <c r="P333" s="21"/>
      <c r="Q333" s="21"/>
      <c r="R333" s="21"/>
      <c r="S333" s="21"/>
      <c r="T333" s="20"/>
    </row>
    <row r="334" spans="1:20" x14ac:dyDescent="0.3">
      <c r="A334" s="18"/>
      <c r="B334" s="21"/>
      <c r="C334" s="21"/>
      <c r="D334" s="21"/>
      <c r="E334" s="21"/>
      <c r="F334" s="21"/>
      <c r="G334" s="21"/>
      <c r="H334" s="21"/>
      <c r="I334" s="21"/>
      <c r="J334" s="21"/>
      <c r="K334" s="21"/>
      <c r="L334" s="21"/>
      <c r="M334" s="21"/>
      <c r="N334" s="21"/>
      <c r="O334" s="21"/>
      <c r="P334" s="21"/>
      <c r="Q334" s="21"/>
      <c r="R334" s="21"/>
      <c r="S334" s="21"/>
      <c r="T334" s="20"/>
    </row>
    <row r="335" spans="1:20" x14ac:dyDescent="0.3">
      <c r="A335" s="18"/>
      <c r="B335" s="21"/>
      <c r="C335" s="21"/>
      <c r="D335" s="21"/>
      <c r="E335" s="21"/>
      <c r="F335" s="21"/>
      <c r="G335" s="21"/>
      <c r="H335" s="21"/>
      <c r="I335" s="21"/>
      <c r="J335" s="21"/>
      <c r="K335" s="21"/>
      <c r="L335" s="21"/>
      <c r="M335" s="21"/>
      <c r="N335" s="21"/>
      <c r="O335" s="21"/>
      <c r="P335" s="21"/>
      <c r="Q335" s="21"/>
      <c r="R335" s="21"/>
      <c r="S335" s="21"/>
      <c r="T335" s="20"/>
    </row>
    <row r="336" spans="1:20" x14ac:dyDescent="0.3">
      <c r="A336" s="18"/>
      <c r="B336" s="21"/>
      <c r="C336" s="21"/>
      <c r="D336" s="21"/>
      <c r="E336" s="21"/>
      <c r="F336" s="21"/>
      <c r="G336" s="21"/>
      <c r="H336" s="21"/>
      <c r="I336" s="21"/>
      <c r="J336" s="21"/>
      <c r="K336" s="21"/>
      <c r="L336" s="21"/>
      <c r="M336" s="21"/>
      <c r="N336" s="21"/>
      <c r="O336" s="21"/>
      <c r="P336" s="21"/>
      <c r="Q336" s="21"/>
      <c r="R336" s="21"/>
      <c r="S336" s="21"/>
      <c r="T336" s="20"/>
    </row>
    <row r="337" spans="1:20" x14ac:dyDescent="0.3">
      <c r="A337" s="18"/>
      <c r="B337" s="21"/>
      <c r="C337" s="21"/>
      <c r="D337" s="21"/>
      <c r="E337" s="21"/>
      <c r="F337" s="21"/>
      <c r="G337" s="21"/>
      <c r="H337" s="21"/>
      <c r="I337" s="21"/>
      <c r="J337" s="21"/>
      <c r="K337" s="21"/>
      <c r="L337" s="21"/>
      <c r="M337" s="21"/>
      <c r="N337" s="21"/>
      <c r="O337" s="21"/>
      <c r="P337" s="21"/>
      <c r="Q337" s="21"/>
      <c r="R337" s="21"/>
      <c r="S337" s="21"/>
      <c r="T337" s="20"/>
    </row>
    <row r="338" spans="1:20" x14ac:dyDescent="0.3">
      <c r="A338" s="18"/>
      <c r="B338" s="21"/>
      <c r="C338" s="21"/>
      <c r="D338" s="21"/>
      <c r="E338" s="21"/>
      <c r="F338" s="21"/>
      <c r="G338" s="21"/>
      <c r="H338" s="21"/>
      <c r="I338" s="21"/>
      <c r="J338" s="21"/>
      <c r="K338" s="21"/>
      <c r="L338" s="21"/>
      <c r="M338" s="21"/>
      <c r="N338" s="21"/>
      <c r="O338" s="21"/>
      <c r="P338" s="21"/>
      <c r="Q338" s="21"/>
      <c r="R338" s="21"/>
      <c r="S338" s="21"/>
      <c r="T338" s="20"/>
    </row>
    <row r="339" spans="1:20" x14ac:dyDescent="0.3">
      <c r="A339" s="18"/>
      <c r="B339" s="21"/>
      <c r="C339" s="21"/>
      <c r="D339" s="21"/>
      <c r="E339" s="21"/>
      <c r="F339" s="21"/>
      <c r="G339" s="21"/>
      <c r="H339" s="21"/>
      <c r="I339" s="21"/>
      <c r="J339" s="21"/>
      <c r="K339" s="21"/>
      <c r="L339" s="21"/>
      <c r="M339" s="21"/>
      <c r="N339" s="21"/>
      <c r="O339" s="21"/>
      <c r="P339" s="21"/>
      <c r="Q339" s="21"/>
      <c r="R339" s="21"/>
      <c r="S339" s="21"/>
      <c r="T339" s="20"/>
    </row>
    <row r="340" spans="1:20" x14ac:dyDescent="0.3">
      <c r="A340" s="18"/>
      <c r="B340" s="21"/>
      <c r="C340" s="21"/>
      <c r="D340" s="21"/>
      <c r="E340" s="21"/>
      <c r="F340" s="21"/>
      <c r="G340" s="21"/>
      <c r="H340" s="21"/>
      <c r="I340" s="21"/>
      <c r="J340" s="21"/>
      <c r="K340" s="21"/>
      <c r="L340" s="21"/>
      <c r="M340" s="21"/>
      <c r="N340" s="21"/>
      <c r="O340" s="21"/>
      <c r="P340" s="21"/>
      <c r="Q340" s="21"/>
      <c r="R340" s="21"/>
      <c r="S340" s="21"/>
      <c r="T340" s="20"/>
    </row>
    <row r="341" spans="1:20" x14ac:dyDescent="0.3">
      <c r="A341" s="18"/>
      <c r="B341" s="21"/>
      <c r="C341" s="21"/>
      <c r="D341" s="21"/>
      <c r="E341" s="21"/>
      <c r="F341" s="21"/>
      <c r="G341" s="21"/>
      <c r="H341" s="21"/>
      <c r="I341" s="21"/>
      <c r="J341" s="21"/>
      <c r="K341" s="21"/>
      <c r="L341" s="21"/>
      <c r="M341" s="21"/>
      <c r="N341" s="21"/>
      <c r="O341" s="21"/>
      <c r="P341" s="21"/>
      <c r="Q341" s="21"/>
      <c r="R341" s="21"/>
      <c r="S341" s="21"/>
      <c r="T341" s="20"/>
    </row>
    <row r="342" spans="1:20" x14ac:dyDescent="0.3">
      <c r="A342" s="18"/>
      <c r="B342" s="21"/>
      <c r="C342" s="21"/>
      <c r="D342" s="21"/>
      <c r="E342" s="21"/>
      <c r="F342" s="21"/>
      <c r="G342" s="21"/>
      <c r="H342" s="21"/>
      <c r="I342" s="21"/>
      <c r="J342" s="21"/>
      <c r="K342" s="21"/>
      <c r="L342" s="21"/>
      <c r="M342" s="21"/>
      <c r="N342" s="21"/>
      <c r="O342" s="21"/>
      <c r="P342" s="21"/>
      <c r="Q342" s="21"/>
      <c r="R342" s="21"/>
      <c r="S342" s="21"/>
      <c r="T342" s="20"/>
    </row>
    <row r="343" spans="1:20" x14ac:dyDescent="0.3">
      <c r="A343" s="18"/>
      <c r="B343" s="21"/>
      <c r="C343" s="21"/>
      <c r="D343" s="21"/>
      <c r="E343" s="21"/>
      <c r="F343" s="21"/>
      <c r="G343" s="21"/>
      <c r="H343" s="21"/>
      <c r="I343" s="21"/>
      <c r="J343" s="21"/>
      <c r="K343" s="21"/>
      <c r="L343" s="21"/>
      <c r="M343" s="21"/>
      <c r="N343" s="21"/>
      <c r="O343" s="21"/>
      <c r="P343" s="21"/>
      <c r="Q343" s="21"/>
      <c r="R343" s="21"/>
      <c r="S343" s="21"/>
      <c r="T343" s="20"/>
    </row>
    <row r="344" spans="1:20" x14ac:dyDescent="0.3">
      <c r="A344" s="18"/>
      <c r="B344" s="21"/>
      <c r="C344" s="21"/>
      <c r="D344" s="21"/>
      <c r="E344" s="21"/>
      <c r="F344" s="21"/>
      <c r="G344" s="21"/>
      <c r="H344" s="21"/>
      <c r="I344" s="21"/>
      <c r="J344" s="21"/>
      <c r="K344" s="21"/>
      <c r="L344" s="21"/>
      <c r="M344" s="21"/>
      <c r="N344" s="21"/>
      <c r="O344" s="21"/>
      <c r="P344" s="21"/>
      <c r="Q344" s="21"/>
      <c r="R344" s="21"/>
      <c r="S344" s="21"/>
      <c r="T344" s="20"/>
    </row>
    <row r="345" spans="1:20" x14ac:dyDescent="0.3">
      <c r="A345" s="18"/>
      <c r="B345" s="21"/>
      <c r="C345" s="21"/>
      <c r="D345" s="21"/>
      <c r="E345" s="21"/>
      <c r="F345" s="21"/>
      <c r="G345" s="21"/>
      <c r="H345" s="21"/>
      <c r="I345" s="21"/>
      <c r="J345" s="21"/>
      <c r="K345" s="21"/>
      <c r="L345" s="21"/>
      <c r="M345" s="21"/>
      <c r="N345" s="21"/>
      <c r="O345" s="21"/>
      <c r="P345" s="21"/>
      <c r="Q345" s="21"/>
      <c r="R345" s="21"/>
      <c r="S345" s="21"/>
      <c r="T345" s="20"/>
    </row>
    <row r="346" spans="1:20" x14ac:dyDescent="0.3">
      <c r="A346" s="18"/>
      <c r="B346" s="21"/>
      <c r="C346" s="21"/>
      <c r="D346" s="21"/>
      <c r="E346" s="21"/>
      <c r="F346" s="21"/>
      <c r="G346" s="21"/>
      <c r="H346" s="21"/>
      <c r="I346" s="21"/>
      <c r="J346" s="21"/>
      <c r="K346" s="21"/>
      <c r="L346" s="21"/>
      <c r="M346" s="21"/>
      <c r="N346" s="21"/>
      <c r="O346" s="21"/>
      <c r="P346" s="21"/>
      <c r="Q346" s="21"/>
      <c r="R346" s="21"/>
      <c r="S346" s="21"/>
      <c r="T346" s="20"/>
    </row>
    <row r="347" spans="1:20" x14ac:dyDescent="0.3">
      <c r="A347" s="18"/>
      <c r="B347" s="21"/>
      <c r="C347" s="21"/>
      <c r="D347" s="21"/>
      <c r="E347" s="21"/>
      <c r="F347" s="21"/>
      <c r="G347" s="21"/>
      <c r="H347" s="21"/>
      <c r="I347" s="21"/>
      <c r="J347" s="21"/>
      <c r="K347" s="21"/>
      <c r="L347" s="21"/>
      <c r="M347" s="21"/>
      <c r="N347" s="21"/>
      <c r="O347" s="21"/>
      <c r="P347" s="21"/>
      <c r="Q347" s="21"/>
      <c r="R347" s="21"/>
      <c r="S347" s="21"/>
      <c r="T347" s="20"/>
    </row>
    <row r="348" spans="1:20" x14ac:dyDescent="0.3">
      <c r="A348" s="18"/>
      <c r="B348" s="21"/>
      <c r="C348" s="21"/>
      <c r="D348" s="21"/>
      <c r="E348" s="21"/>
      <c r="F348" s="21"/>
      <c r="G348" s="21"/>
      <c r="H348" s="21"/>
      <c r="I348" s="21"/>
      <c r="J348" s="21"/>
      <c r="K348" s="21"/>
      <c r="L348" s="21"/>
      <c r="M348" s="21"/>
      <c r="N348" s="21"/>
      <c r="O348" s="21"/>
      <c r="P348" s="21"/>
      <c r="Q348" s="21"/>
      <c r="R348" s="21"/>
      <c r="S348" s="21"/>
      <c r="T348" s="20"/>
    </row>
    <row r="349" spans="1:20" x14ac:dyDescent="0.3">
      <c r="A349" s="18"/>
      <c r="B349" s="21"/>
      <c r="C349" s="21"/>
      <c r="D349" s="21"/>
      <c r="E349" s="21"/>
      <c r="F349" s="21"/>
      <c r="G349" s="21"/>
      <c r="H349" s="21"/>
      <c r="I349" s="21"/>
      <c r="J349" s="21"/>
      <c r="K349" s="21"/>
      <c r="L349" s="21"/>
      <c r="M349" s="21"/>
      <c r="N349" s="21"/>
      <c r="O349" s="21"/>
      <c r="P349" s="21"/>
      <c r="Q349" s="21"/>
      <c r="R349" s="21"/>
      <c r="S349" s="21"/>
      <c r="T349" s="20"/>
    </row>
    <row r="350" spans="1:20" x14ac:dyDescent="0.3">
      <c r="A350" s="18"/>
      <c r="B350" s="21"/>
      <c r="C350" s="21"/>
      <c r="D350" s="21"/>
      <c r="E350" s="21"/>
      <c r="F350" s="21"/>
      <c r="G350" s="21"/>
      <c r="H350" s="21"/>
      <c r="I350" s="21"/>
      <c r="J350" s="21"/>
      <c r="K350" s="21"/>
      <c r="L350" s="21"/>
      <c r="M350" s="21"/>
      <c r="N350" s="21"/>
      <c r="O350" s="21"/>
      <c r="P350" s="21"/>
      <c r="Q350" s="21"/>
      <c r="R350" s="21"/>
      <c r="S350" s="21"/>
      <c r="T350" s="20"/>
    </row>
    <row r="351" spans="1:20" x14ac:dyDescent="0.3">
      <c r="A351" s="18"/>
      <c r="B351" s="21"/>
      <c r="C351" s="21"/>
      <c r="D351" s="21"/>
      <c r="E351" s="21"/>
      <c r="F351" s="21"/>
      <c r="G351" s="21"/>
      <c r="H351" s="21"/>
      <c r="I351" s="21"/>
      <c r="J351" s="21"/>
      <c r="K351" s="21"/>
      <c r="L351" s="21"/>
      <c r="M351" s="21"/>
      <c r="N351" s="21"/>
      <c r="O351" s="21"/>
      <c r="P351" s="21"/>
      <c r="Q351" s="21"/>
      <c r="R351" s="21"/>
      <c r="S351" s="21"/>
      <c r="T351" s="20"/>
    </row>
    <row r="352" spans="1:20" x14ac:dyDescent="0.3">
      <c r="A352" s="490" t="s">
        <v>2526</v>
      </c>
      <c r="B352" s="491"/>
      <c r="C352" s="491"/>
      <c r="D352" s="491"/>
      <c r="E352" s="491"/>
      <c r="F352" s="491"/>
      <c r="G352" s="491"/>
      <c r="H352" s="491"/>
      <c r="I352" s="491"/>
      <c r="J352" s="491"/>
      <c r="K352" s="491"/>
      <c r="L352" s="491"/>
      <c r="M352" s="491"/>
      <c r="N352" s="491"/>
      <c r="O352" s="382"/>
      <c r="P352" s="382"/>
      <c r="Q352" s="382"/>
      <c r="R352" s="382"/>
      <c r="S352" s="382"/>
      <c r="T352" s="20"/>
    </row>
    <row r="353" spans="1:20" x14ac:dyDescent="0.3">
      <c r="A353" s="18"/>
      <c r="B353" s="21"/>
      <c r="C353" s="21"/>
      <c r="D353" s="21"/>
      <c r="E353" s="21"/>
      <c r="F353" s="21"/>
      <c r="G353" s="21"/>
      <c r="H353" s="21"/>
      <c r="I353" s="21"/>
      <c r="J353" s="21"/>
      <c r="K353" s="21"/>
      <c r="L353" s="21"/>
      <c r="M353" s="21"/>
      <c r="N353" s="21"/>
      <c r="O353" s="21"/>
      <c r="P353" s="21"/>
      <c r="Q353" s="21"/>
      <c r="R353" s="21"/>
      <c r="S353" s="21"/>
      <c r="T353" s="20"/>
    </row>
    <row r="354" spans="1:20" x14ac:dyDescent="0.3">
      <c r="A354" s="18"/>
      <c r="B354" s="21"/>
      <c r="C354" s="21"/>
      <c r="D354" s="21"/>
      <c r="E354" s="21"/>
      <c r="F354" s="21"/>
      <c r="G354" s="21"/>
      <c r="H354" s="21"/>
      <c r="I354" s="21"/>
      <c r="J354" s="21"/>
      <c r="K354" s="21"/>
      <c r="L354" s="21"/>
      <c r="M354" s="21"/>
      <c r="N354" s="21"/>
      <c r="O354" s="21"/>
      <c r="P354" s="21"/>
      <c r="Q354" s="21"/>
      <c r="R354" s="21"/>
      <c r="S354" s="21"/>
      <c r="T354" s="20"/>
    </row>
    <row r="355" spans="1:20" x14ac:dyDescent="0.3">
      <c r="A355" s="18"/>
      <c r="B355" s="189" t="s">
        <v>3605</v>
      </c>
      <c r="C355" s="21"/>
      <c r="D355" s="21"/>
      <c r="E355" s="21"/>
      <c r="F355" s="21"/>
      <c r="G355" s="21"/>
      <c r="H355" s="21"/>
      <c r="I355" s="21"/>
      <c r="J355" s="21"/>
      <c r="K355" s="21"/>
      <c r="L355" s="21"/>
      <c r="M355" s="21"/>
      <c r="N355" s="21"/>
      <c r="O355" s="21"/>
      <c r="P355" s="21"/>
      <c r="Q355" s="21"/>
      <c r="R355" s="21"/>
      <c r="S355" s="21"/>
      <c r="T355" s="20"/>
    </row>
    <row r="356" spans="1:20" x14ac:dyDescent="0.3">
      <c r="A356" s="18"/>
      <c r="B356" s="21"/>
      <c r="C356" s="21"/>
      <c r="D356" s="21"/>
      <c r="E356" s="21"/>
      <c r="F356" s="21"/>
      <c r="G356" s="21"/>
      <c r="H356" s="21"/>
      <c r="I356" s="21"/>
      <c r="J356" s="21"/>
      <c r="K356" s="21"/>
      <c r="L356" s="21"/>
      <c r="M356" s="21"/>
      <c r="N356" s="21"/>
      <c r="O356" s="21"/>
      <c r="P356" s="21"/>
      <c r="Q356" s="21"/>
      <c r="R356" s="21"/>
      <c r="S356" s="21"/>
      <c r="T356" s="20"/>
    </row>
    <row r="357" spans="1:20" x14ac:dyDescent="0.3">
      <c r="A357" s="18"/>
      <c r="B357" s="21"/>
      <c r="C357" s="21"/>
      <c r="D357" s="21"/>
      <c r="E357" s="21"/>
      <c r="F357" s="21"/>
      <c r="G357" s="21"/>
      <c r="H357" s="21"/>
      <c r="I357" s="21"/>
      <c r="J357" s="21"/>
      <c r="K357" s="21"/>
      <c r="L357" s="21"/>
      <c r="M357" s="21"/>
      <c r="N357" s="21"/>
      <c r="O357" s="21"/>
      <c r="P357" s="21"/>
      <c r="Q357" s="21"/>
      <c r="R357" s="21"/>
      <c r="S357" s="21"/>
      <c r="T357" s="20"/>
    </row>
    <row r="358" spans="1:20" x14ac:dyDescent="0.3">
      <c r="A358" s="18"/>
      <c r="B358" s="21"/>
      <c r="C358" s="21"/>
      <c r="D358" s="21"/>
      <c r="E358" s="21"/>
      <c r="F358" s="21"/>
      <c r="G358" s="21"/>
      <c r="H358" s="21"/>
      <c r="I358" s="21"/>
      <c r="J358" s="21"/>
      <c r="K358" s="21"/>
      <c r="L358" s="21"/>
      <c r="M358" s="21"/>
      <c r="N358" s="21"/>
      <c r="O358" s="21"/>
      <c r="P358" s="21"/>
      <c r="Q358" s="21"/>
      <c r="R358" s="21"/>
      <c r="S358" s="21"/>
      <c r="T358" s="20"/>
    </row>
    <row r="359" spans="1:20" x14ac:dyDescent="0.3">
      <c r="A359" s="18"/>
      <c r="B359" s="21"/>
      <c r="C359" s="21"/>
      <c r="D359" s="21"/>
      <c r="E359" s="21"/>
      <c r="F359" s="21"/>
      <c r="G359" s="21"/>
      <c r="H359" s="21"/>
      <c r="I359" s="21"/>
      <c r="J359" s="21"/>
      <c r="K359" s="21"/>
      <c r="L359" s="21"/>
      <c r="M359" s="21"/>
      <c r="N359" s="21"/>
      <c r="O359" s="21"/>
      <c r="P359" s="21"/>
      <c r="Q359" s="21"/>
      <c r="R359" s="21"/>
      <c r="S359" s="21"/>
      <c r="T359" s="20"/>
    </row>
    <row r="360" spans="1:20" x14ac:dyDescent="0.3">
      <c r="A360" s="18"/>
      <c r="B360" s="21"/>
      <c r="C360" s="21"/>
      <c r="D360" s="21"/>
      <c r="E360" s="21"/>
      <c r="F360" s="21"/>
      <c r="G360" s="21"/>
      <c r="H360" s="21"/>
      <c r="I360" s="21"/>
      <c r="J360" s="21"/>
      <c r="K360" s="21"/>
      <c r="L360" s="21"/>
      <c r="M360" s="21"/>
      <c r="N360" s="21"/>
      <c r="O360" s="21"/>
      <c r="P360" s="21"/>
      <c r="Q360" s="21"/>
      <c r="R360" s="21"/>
      <c r="S360" s="21"/>
      <c r="T360" s="20"/>
    </row>
    <row r="361" spans="1:20" x14ac:dyDescent="0.3">
      <c r="A361" s="18"/>
      <c r="B361" s="21"/>
      <c r="C361" s="21"/>
      <c r="D361" s="21"/>
      <c r="E361" s="21"/>
      <c r="F361" s="21"/>
      <c r="G361" s="21"/>
      <c r="H361" s="21"/>
      <c r="I361" s="21"/>
      <c r="J361" s="21"/>
      <c r="K361" s="21"/>
      <c r="L361" s="21"/>
      <c r="M361" s="21"/>
      <c r="N361" s="21"/>
      <c r="O361" s="21"/>
      <c r="P361" s="21"/>
      <c r="Q361" s="21"/>
      <c r="R361" s="21"/>
      <c r="S361" s="21"/>
      <c r="T361" s="20"/>
    </row>
    <row r="362" spans="1:20" x14ac:dyDescent="0.3">
      <c r="A362" s="18"/>
      <c r="B362" s="21"/>
      <c r="C362" s="21"/>
      <c r="D362" s="21"/>
      <c r="E362" s="21"/>
      <c r="F362" s="21"/>
      <c r="G362" s="21"/>
      <c r="H362" s="21"/>
      <c r="I362" s="21"/>
      <c r="J362" s="21"/>
      <c r="K362" s="21"/>
      <c r="L362" s="21"/>
      <c r="M362" s="21"/>
      <c r="N362" s="21"/>
      <c r="O362" s="21"/>
      <c r="P362" s="21"/>
      <c r="Q362" s="21"/>
      <c r="R362" s="21"/>
      <c r="S362" s="21"/>
      <c r="T362" s="20"/>
    </row>
    <row r="363" spans="1:20" x14ac:dyDescent="0.3">
      <c r="A363" s="18"/>
      <c r="B363" s="21"/>
      <c r="C363" s="21"/>
      <c r="D363" s="21"/>
      <c r="E363" s="21"/>
      <c r="F363" s="21"/>
      <c r="G363" s="21"/>
      <c r="H363" s="21"/>
      <c r="I363" s="21"/>
      <c r="J363" s="21"/>
      <c r="K363" s="21"/>
      <c r="L363" s="21"/>
      <c r="M363" s="21"/>
      <c r="N363" s="21"/>
      <c r="O363" s="21"/>
      <c r="P363" s="21"/>
      <c r="Q363" s="21"/>
      <c r="R363" s="21"/>
      <c r="S363" s="21"/>
      <c r="T363" s="20"/>
    </row>
    <row r="364" spans="1:20" x14ac:dyDescent="0.3">
      <c r="A364" s="18"/>
      <c r="B364" s="21"/>
      <c r="C364" s="21"/>
      <c r="D364" s="21"/>
      <c r="E364" s="21"/>
      <c r="F364" s="21"/>
      <c r="G364" s="21"/>
      <c r="H364" s="21"/>
      <c r="I364" s="21"/>
      <c r="J364" s="21"/>
      <c r="K364" s="21"/>
      <c r="L364" s="21"/>
      <c r="M364" s="21"/>
      <c r="N364" s="21"/>
      <c r="O364" s="21"/>
      <c r="P364" s="21"/>
      <c r="Q364" s="21"/>
      <c r="R364" s="21"/>
      <c r="S364" s="21"/>
      <c r="T364" s="20"/>
    </row>
    <row r="365" spans="1:20" x14ac:dyDescent="0.3">
      <c r="A365" s="18"/>
      <c r="B365" s="21"/>
      <c r="C365" s="21"/>
      <c r="D365" s="21"/>
      <c r="E365" s="21"/>
      <c r="F365" s="21"/>
      <c r="G365" s="21"/>
      <c r="H365" s="21"/>
      <c r="I365" s="21"/>
      <c r="J365" s="21"/>
      <c r="K365" s="21"/>
      <c r="L365" s="21"/>
      <c r="M365" s="21"/>
      <c r="N365" s="21"/>
      <c r="O365" s="21"/>
      <c r="P365" s="21"/>
      <c r="Q365" s="21"/>
      <c r="R365" s="21"/>
      <c r="S365" s="21"/>
      <c r="T365" s="20"/>
    </row>
    <row r="366" spans="1:20" x14ac:dyDescent="0.3">
      <c r="A366" s="18"/>
      <c r="B366" s="21"/>
      <c r="C366" s="21"/>
      <c r="D366" s="21"/>
      <c r="E366" s="21"/>
      <c r="F366" s="21"/>
      <c r="G366" s="21"/>
      <c r="H366" s="21"/>
      <c r="I366" s="21"/>
      <c r="J366" s="21"/>
      <c r="K366" s="21"/>
      <c r="L366" s="21"/>
      <c r="M366" s="21"/>
      <c r="N366" s="21"/>
      <c r="O366" s="21"/>
      <c r="P366" s="21"/>
      <c r="Q366" s="21"/>
      <c r="R366" s="21"/>
      <c r="S366" s="21"/>
      <c r="T366" s="20"/>
    </row>
    <row r="367" spans="1:20" x14ac:dyDescent="0.3">
      <c r="A367" s="18"/>
      <c r="B367" s="21"/>
      <c r="C367" s="21"/>
      <c r="D367" s="21"/>
      <c r="E367" s="21"/>
      <c r="F367" s="21"/>
      <c r="G367" s="21"/>
      <c r="H367" s="21"/>
      <c r="I367" s="21"/>
      <c r="J367" s="21"/>
      <c r="K367" s="21"/>
      <c r="L367" s="21"/>
      <c r="M367" s="21"/>
      <c r="N367" s="21"/>
      <c r="O367" s="21"/>
      <c r="P367" s="21"/>
      <c r="Q367" s="21"/>
      <c r="R367" s="21"/>
      <c r="S367" s="21"/>
      <c r="T367" s="20"/>
    </row>
    <row r="368" spans="1:20" x14ac:dyDescent="0.3">
      <c r="A368" s="18"/>
      <c r="B368" s="21"/>
      <c r="C368" s="21"/>
      <c r="D368" s="21"/>
      <c r="E368" s="21"/>
      <c r="F368" s="21"/>
      <c r="G368" s="21"/>
      <c r="H368" s="21"/>
      <c r="I368" s="21"/>
      <c r="J368" s="21"/>
      <c r="K368" s="21"/>
      <c r="L368" s="21"/>
      <c r="M368" s="21"/>
      <c r="N368" s="21"/>
      <c r="O368" s="21"/>
      <c r="P368" s="21"/>
      <c r="Q368" s="21"/>
      <c r="R368" s="21"/>
      <c r="S368" s="21"/>
      <c r="T368" s="20"/>
    </row>
    <row r="369" spans="1:20" x14ac:dyDescent="0.3">
      <c r="A369" s="18"/>
      <c r="B369" s="21"/>
      <c r="C369" s="21"/>
      <c r="D369" s="21"/>
      <c r="E369" s="21"/>
      <c r="F369" s="21"/>
      <c r="G369" s="21"/>
      <c r="H369" s="21"/>
      <c r="I369" s="21"/>
      <c r="J369" s="21"/>
      <c r="K369" s="21"/>
      <c r="L369" s="21"/>
      <c r="M369" s="21"/>
      <c r="N369" s="21"/>
      <c r="O369" s="21"/>
      <c r="P369" s="21"/>
      <c r="Q369" s="21"/>
      <c r="R369" s="21"/>
      <c r="S369" s="21"/>
      <c r="T369" s="20"/>
    </row>
    <row r="370" spans="1:20" x14ac:dyDescent="0.3">
      <c r="A370" s="18"/>
      <c r="B370" s="21"/>
      <c r="C370" s="21"/>
      <c r="D370" s="21"/>
      <c r="E370" s="21"/>
      <c r="F370" s="21"/>
      <c r="G370" s="21"/>
      <c r="H370" s="21"/>
      <c r="I370" s="21"/>
      <c r="J370" s="21"/>
      <c r="K370" s="21"/>
      <c r="L370" s="21"/>
      <c r="M370" s="21"/>
      <c r="N370" s="21"/>
      <c r="O370" s="21"/>
      <c r="P370" s="21"/>
      <c r="Q370" s="21"/>
      <c r="R370" s="21"/>
      <c r="S370" s="21"/>
      <c r="T370" s="20"/>
    </row>
    <row r="371" spans="1:20" x14ac:dyDescent="0.3">
      <c r="A371" s="18"/>
      <c r="B371" s="21"/>
      <c r="C371" s="21"/>
      <c r="D371" s="21"/>
      <c r="E371" s="21"/>
      <c r="F371" s="21"/>
      <c r="G371" s="21"/>
      <c r="H371" s="21"/>
      <c r="I371" s="21"/>
      <c r="J371" s="21"/>
      <c r="K371" s="21"/>
      <c r="L371" s="21"/>
      <c r="M371" s="21"/>
      <c r="N371" s="21"/>
      <c r="O371" s="21"/>
      <c r="P371" s="21"/>
      <c r="Q371" s="21"/>
      <c r="R371" s="21"/>
      <c r="S371" s="21"/>
      <c r="T371" s="20"/>
    </row>
    <row r="372" spans="1:20" x14ac:dyDescent="0.3">
      <c r="A372" s="18"/>
      <c r="B372" s="21"/>
      <c r="C372" s="21"/>
      <c r="D372" s="21"/>
      <c r="E372" s="21"/>
      <c r="F372" s="21"/>
      <c r="G372" s="21"/>
      <c r="H372" s="21"/>
      <c r="I372" s="21"/>
      <c r="J372" s="21"/>
      <c r="K372" s="21"/>
      <c r="L372" s="21"/>
      <c r="M372" s="21"/>
      <c r="N372" s="21"/>
      <c r="O372" s="21"/>
      <c r="P372" s="21"/>
      <c r="Q372" s="21"/>
      <c r="R372" s="21"/>
      <c r="S372" s="21"/>
      <c r="T372" s="20"/>
    </row>
    <row r="373" spans="1:20" x14ac:dyDescent="0.3">
      <c r="A373" s="18"/>
      <c r="B373" s="21"/>
      <c r="C373" s="21"/>
      <c r="D373" s="21"/>
      <c r="E373" s="21"/>
      <c r="F373" s="21"/>
      <c r="G373" s="21"/>
      <c r="H373" s="21"/>
      <c r="I373" s="21"/>
      <c r="J373" s="21"/>
      <c r="K373" s="21"/>
      <c r="L373" s="21"/>
      <c r="M373" s="21"/>
      <c r="N373" s="21"/>
      <c r="O373" s="21"/>
      <c r="P373" s="21"/>
      <c r="Q373" s="21"/>
      <c r="R373" s="21"/>
      <c r="S373" s="21"/>
      <c r="T373" s="20"/>
    </row>
    <row r="374" spans="1:20" x14ac:dyDescent="0.3">
      <c r="A374" s="18"/>
      <c r="B374" s="21"/>
      <c r="C374" s="21"/>
      <c r="D374" s="21"/>
      <c r="E374" s="21"/>
      <c r="F374" s="21"/>
      <c r="G374" s="21"/>
      <c r="H374" s="21"/>
      <c r="I374" s="21"/>
      <c r="J374" s="21"/>
      <c r="K374" s="21"/>
      <c r="L374" s="21"/>
      <c r="M374" s="21"/>
      <c r="N374" s="21"/>
      <c r="O374" s="21"/>
      <c r="P374" s="21"/>
      <c r="Q374" s="21"/>
      <c r="R374" s="21"/>
      <c r="S374" s="21"/>
      <c r="T374" s="20"/>
    </row>
    <row r="375" spans="1:20" x14ac:dyDescent="0.3">
      <c r="A375" s="18"/>
      <c r="B375" s="21"/>
      <c r="C375" s="21"/>
      <c r="D375" s="21"/>
      <c r="E375" s="21"/>
      <c r="F375" s="21"/>
      <c r="G375" s="21"/>
      <c r="H375" s="21"/>
      <c r="I375" s="21"/>
      <c r="J375" s="21"/>
      <c r="K375" s="21"/>
      <c r="L375" s="21"/>
      <c r="M375" s="21"/>
      <c r="N375" s="21"/>
      <c r="O375" s="21"/>
      <c r="P375" s="21"/>
      <c r="Q375" s="21"/>
      <c r="R375" s="21"/>
      <c r="S375" s="21"/>
      <c r="T375" s="20"/>
    </row>
    <row r="376" spans="1:20" x14ac:dyDescent="0.3">
      <c r="A376" s="18"/>
      <c r="B376" s="21"/>
      <c r="C376" s="21"/>
      <c r="D376" s="21"/>
      <c r="E376" s="21"/>
      <c r="F376" s="21"/>
      <c r="G376" s="21"/>
      <c r="H376" s="21"/>
      <c r="I376" s="21"/>
      <c r="J376" s="21"/>
      <c r="K376" s="21"/>
      <c r="L376" s="21"/>
      <c r="M376" s="21"/>
      <c r="N376" s="21"/>
      <c r="O376" s="21"/>
      <c r="P376" s="21"/>
      <c r="Q376" s="21"/>
      <c r="R376" s="21"/>
      <c r="S376" s="21"/>
      <c r="T376" s="20"/>
    </row>
    <row r="377" spans="1:20" x14ac:dyDescent="0.3">
      <c r="A377" s="18"/>
      <c r="B377" s="21"/>
      <c r="C377" s="21"/>
      <c r="D377" s="21"/>
      <c r="E377" s="21"/>
      <c r="F377" s="21"/>
      <c r="G377" s="21"/>
      <c r="H377" s="21"/>
      <c r="I377" s="21"/>
      <c r="J377" s="21"/>
      <c r="K377" s="21"/>
      <c r="L377" s="21"/>
      <c r="M377" s="21"/>
      <c r="N377" s="21"/>
      <c r="O377" s="21"/>
      <c r="P377" s="21"/>
      <c r="Q377" s="21"/>
      <c r="R377" s="21"/>
      <c r="S377" s="21"/>
      <c r="T377" s="20"/>
    </row>
    <row r="378" spans="1:20" x14ac:dyDescent="0.3">
      <c r="A378" s="18"/>
      <c r="B378" s="21"/>
      <c r="C378" s="21"/>
      <c r="D378" s="21"/>
      <c r="E378" s="21"/>
      <c r="F378" s="21"/>
      <c r="G378" s="21"/>
      <c r="H378" s="21"/>
      <c r="I378" s="21"/>
      <c r="J378" s="21"/>
      <c r="K378" s="21"/>
      <c r="L378" s="21"/>
      <c r="M378" s="21"/>
      <c r="N378" s="21"/>
      <c r="O378" s="21"/>
      <c r="P378" s="21"/>
      <c r="Q378" s="21"/>
      <c r="R378" s="21"/>
      <c r="S378" s="21"/>
      <c r="T378" s="20"/>
    </row>
    <row r="379" spans="1:20" x14ac:dyDescent="0.3">
      <c r="A379" s="18"/>
      <c r="B379" s="21"/>
      <c r="C379" s="21"/>
      <c r="D379" s="21"/>
      <c r="E379" s="21"/>
      <c r="F379" s="21"/>
      <c r="G379" s="21"/>
      <c r="H379" s="21"/>
      <c r="I379" s="21"/>
      <c r="J379" s="21"/>
      <c r="K379" s="21"/>
      <c r="L379" s="21"/>
      <c r="M379" s="21"/>
      <c r="N379" s="21"/>
      <c r="O379" s="21"/>
      <c r="P379" s="21"/>
      <c r="Q379" s="21"/>
      <c r="R379" s="21"/>
      <c r="S379" s="21"/>
      <c r="T379" s="20"/>
    </row>
    <row r="380" spans="1:20" x14ac:dyDescent="0.3">
      <c r="A380" s="18"/>
      <c r="B380" s="21"/>
      <c r="C380" s="21"/>
      <c r="D380" s="21"/>
      <c r="E380" s="21"/>
      <c r="F380" s="21"/>
      <c r="G380" s="21"/>
      <c r="H380" s="21"/>
      <c r="I380" s="21"/>
      <c r="J380" s="21"/>
      <c r="K380" s="21"/>
      <c r="L380" s="21"/>
      <c r="M380" s="21"/>
      <c r="N380" s="21"/>
      <c r="O380" s="21"/>
      <c r="P380" s="21"/>
      <c r="Q380" s="21"/>
      <c r="R380" s="21"/>
      <c r="S380" s="21"/>
      <c r="T380" s="20"/>
    </row>
    <row r="381" spans="1:20" x14ac:dyDescent="0.3">
      <c r="A381" s="18"/>
      <c r="B381" s="21"/>
      <c r="C381" s="21"/>
      <c r="D381" s="21"/>
      <c r="E381" s="21"/>
      <c r="F381" s="21"/>
      <c r="G381" s="21"/>
      <c r="H381" s="21"/>
      <c r="I381" s="21"/>
      <c r="J381" s="21"/>
      <c r="K381" s="21"/>
      <c r="L381" s="21"/>
      <c r="M381" s="21"/>
      <c r="N381" s="21"/>
      <c r="O381" s="21"/>
      <c r="P381" s="21"/>
      <c r="Q381" s="21"/>
      <c r="R381" s="21"/>
      <c r="S381" s="21"/>
      <c r="T381" s="20"/>
    </row>
    <row r="382" spans="1:20" x14ac:dyDescent="0.3">
      <c r="A382" s="18"/>
      <c r="B382" s="21"/>
      <c r="C382" s="21"/>
      <c r="D382" s="21"/>
      <c r="E382" s="21"/>
      <c r="F382" s="21"/>
      <c r="G382" s="21"/>
      <c r="H382" s="21"/>
      <c r="I382" s="21"/>
      <c r="J382" s="21"/>
      <c r="K382" s="21"/>
      <c r="L382" s="21"/>
      <c r="M382" s="21"/>
      <c r="N382" s="21"/>
      <c r="O382" s="21"/>
      <c r="P382" s="21"/>
      <c r="Q382" s="21"/>
      <c r="R382" s="21"/>
      <c r="S382" s="21"/>
      <c r="T382" s="20"/>
    </row>
    <row r="383" spans="1:20" x14ac:dyDescent="0.3">
      <c r="A383" s="18"/>
      <c r="B383" s="21"/>
      <c r="C383" s="21"/>
      <c r="D383" s="21"/>
      <c r="E383" s="21"/>
      <c r="F383" s="21"/>
      <c r="G383" s="21"/>
      <c r="H383" s="21"/>
      <c r="I383" s="21"/>
      <c r="J383" s="21"/>
      <c r="K383" s="21"/>
      <c r="L383" s="21"/>
      <c r="M383" s="21"/>
      <c r="N383" s="21"/>
      <c r="O383" s="21"/>
      <c r="P383" s="21"/>
      <c r="Q383" s="21"/>
      <c r="R383" s="21"/>
      <c r="S383" s="21"/>
      <c r="T383" s="20"/>
    </row>
    <row r="384" spans="1:20" x14ac:dyDescent="0.3">
      <c r="A384" s="18"/>
      <c r="B384" s="21"/>
      <c r="C384" s="21"/>
      <c r="D384" s="21"/>
      <c r="E384" s="21"/>
      <c r="F384" s="21"/>
      <c r="G384" s="21"/>
      <c r="H384" s="21"/>
      <c r="I384" s="21"/>
      <c r="J384" s="21"/>
      <c r="K384" s="21"/>
      <c r="L384" s="21"/>
      <c r="M384" s="21"/>
      <c r="N384" s="21"/>
      <c r="O384" s="21"/>
      <c r="P384" s="21"/>
      <c r="Q384" s="21"/>
      <c r="R384" s="21"/>
      <c r="S384" s="21"/>
      <c r="T384" s="20"/>
    </row>
    <row r="385" spans="1:20" x14ac:dyDescent="0.3">
      <c r="A385" s="18"/>
      <c r="B385" s="21"/>
      <c r="C385" s="21"/>
      <c r="D385" s="21"/>
      <c r="E385" s="21"/>
      <c r="F385" s="21"/>
      <c r="G385" s="21"/>
      <c r="H385" s="21"/>
      <c r="I385" s="21"/>
      <c r="J385" s="21"/>
      <c r="K385" s="21"/>
      <c r="L385" s="21"/>
      <c r="M385" s="21"/>
      <c r="N385" s="21"/>
      <c r="O385" s="21"/>
      <c r="P385" s="21"/>
      <c r="Q385" s="21"/>
      <c r="R385" s="21"/>
      <c r="S385" s="21"/>
      <c r="T385" s="20"/>
    </row>
    <row r="386" spans="1:20" x14ac:dyDescent="0.3">
      <c r="A386" s="18"/>
      <c r="B386" s="21"/>
      <c r="C386" s="21"/>
      <c r="D386" s="21"/>
      <c r="E386" s="21"/>
      <c r="F386" s="21"/>
      <c r="G386" s="21"/>
      <c r="H386" s="21"/>
      <c r="I386" s="21"/>
      <c r="J386" s="21"/>
      <c r="K386" s="21"/>
      <c r="L386" s="21"/>
      <c r="M386" s="21"/>
      <c r="N386" s="21"/>
      <c r="O386" s="21"/>
      <c r="P386" s="21"/>
      <c r="Q386" s="21"/>
      <c r="R386" s="21"/>
      <c r="S386" s="21"/>
      <c r="T386" s="20"/>
    </row>
    <row r="387" spans="1:20" ht="15" thickBot="1" x14ac:dyDescent="0.35">
      <c r="A387" s="22"/>
      <c r="B387" s="23"/>
      <c r="C387" s="23"/>
      <c r="D387" s="23"/>
      <c r="E387" s="23"/>
      <c r="F387" s="23"/>
      <c r="G387" s="23"/>
      <c r="H387" s="23"/>
      <c r="I387" s="23"/>
      <c r="J387" s="23"/>
      <c r="K387" s="23"/>
      <c r="L387" s="23"/>
      <c r="M387" s="23"/>
      <c r="N387" s="23"/>
      <c r="O387" s="23"/>
      <c r="P387" s="23"/>
      <c r="Q387" s="23"/>
      <c r="R387" s="23"/>
      <c r="S387" s="23"/>
      <c r="T387" s="24"/>
    </row>
  </sheetData>
  <dataConsolidate/>
  <mergeCells count="288">
    <mergeCell ref="V274:W276"/>
    <mergeCell ref="X274:AD276"/>
    <mergeCell ref="AE274:AE276"/>
    <mergeCell ref="V277:W279"/>
    <mergeCell ref="X277:AD279"/>
    <mergeCell ref="AE277:AE279"/>
    <mergeCell ref="V262:W264"/>
    <mergeCell ref="X262:AD264"/>
    <mergeCell ref="AE262:AE264"/>
    <mergeCell ref="V265:W267"/>
    <mergeCell ref="X265:AD267"/>
    <mergeCell ref="AE265:AE267"/>
    <mergeCell ref="V268:W270"/>
    <mergeCell ref="X268:AD270"/>
    <mergeCell ref="AE268:AE270"/>
    <mergeCell ref="A352:N352"/>
    <mergeCell ref="V174:W176"/>
    <mergeCell ref="X174:AD176"/>
    <mergeCell ref="AE174:AE176"/>
    <mergeCell ref="B249:C249"/>
    <mergeCell ref="AE215:AE217"/>
    <mergeCell ref="V218:W220"/>
    <mergeCell ref="X218:AD220"/>
    <mergeCell ref="AE218:AE220"/>
    <mergeCell ref="V209:W211"/>
    <mergeCell ref="X209:AD211"/>
    <mergeCell ref="AE209:AE211"/>
    <mergeCell ref="V212:W214"/>
    <mergeCell ref="X212:AD214"/>
    <mergeCell ref="AE212:AE214"/>
    <mergeCell ref="V215:W217"/>
    <mergeCell ref="X215:AD217"/>
    <mergeCell ref="V221:W223"/>
    <mergeCell ref="B235:C235"/>
    <mergeCell ref="G241:H241"/>
    <mergeCell ref="A305:N305"/>
    <mergeCell ref="V271:W273"/>
    <mergeCell ref="X271:AD273"/>
    <mergeCell ref="AE271:AE273"/>
    <mergeCell ref="V256:W258"/>
    <mergeCell ref="X256:AD258"/>
    <mergeCell ref="AE256:AE258"/>
    <mergeCell ref="X221:AD223"/>
    <mergeCell ref="V224:W226"/>
    <mergeCell ref="X224:AD226"/>
    <mergeCell ref="V259:W261"/>
    <mergeCell ref="X259:AD261"/>
    <mergeCell ref="AE259:AE261"/>
    <mergeCell ref="V251:AE251"/>
    <mergeCell ref="V252:W254"/>
    <mergeCell ref="X252:AE254"/>
    <mergeCell ref="V255:W255"/>
    <mergeCell ref="X255:AD255"/>
    <mergeCell ref="V165:W167"/>
    <mergeCell ref="X165:AD167"/>
    <mergeCell ref="AE165:AE167"/>
    <mergeCell ref="V168:W170"/>
    <mergeCell ref="X168:AD170"/>
    <mergeCell ref="AE168:AE170"/>
    <mergeCell ref="V171:W173"/>
    <mergeCell ref="X171:AD173"/>
    <mergeCell ref="AE171:AE173"/>
    <mergeCell ref="V156:W158"/>
    <mergeCell ref="X156:AD158"/>
    <mergeCell ref="AE156:AE158"/>
    <mergeCell ref="V159:W161"/>
    <mergeCell ref="X159:AD161"/>
    <mergeCell ref="AE159:AE161"/>
    <mergeCell ref="V162:W164"/>
    <mergeCell ref="X162:AD164"/>
    <mergeCell ref="AE162:AE164"/>
    <mergeCell ref="V147:W149"/>
    <mergeCell ref="X147:AD149"/>
    <mergeCell ref="AE147:AE149"/>
    <mergeCell ref="V150:W152"/>
    <mergeCell ref="X150:AD152"/>
    <mergeCell ref="AE150:AE152"/>
    <mergeCell ref="V153:W155"/>
    <mergeCell ref="X153:AD155"/>
    <mergeCell ref="AE153:AE155"/>
    <mergeCell ref="V138:W140"/>
    <mergeCell ref="X138:AD140"/>
    <mergeCell ref="AE138:AE140"/>
    <mergeCell ref="V141:W143"/>
    <mergeCell ref="X141:AD143"/>
    <mergeCell ref="AE141:AE143"/>
    <mergeCell ref="V144:W146"/>
    <mergeCell ref="X144:AD146"/>
    <mergeCell ref="AE144:AE146"/>
    <mergeCell ref="X126:AD128"/>
    <mergeCell ref="AE126:AE128"/>
    <mergeCell ref="V129:W131"/>
    <mergeCell ref="X129:AD131"/>
    <mergeCell ref="AE129:AE131"/>
    <mergeCell ref="V132:W134"/>
    <mergeCell ref="X132:AD134"/>
    <mergeCell ref="AE132:AE134"/>
    <mergeCell ref="V135:W137"/>
    <mergeCell ref="X135:AD137"/>
    <mergeCell ref="AE135:AE137"/>
    <mergeCell ref="B63:D63"/>
    <mergeCell ref="C71:D83"/>
    <mergeCell ref="B89:C89"/>
    <mergeCell ref="B198:H198"/>
    <mergeCell ref="X242:AD244"/>
    <mergeCell ref="V233:W235"/>
    <mergeCell ref="B214:C214"/>
    <mergeCell ref="C114:D123"/>
    <mergeCell ref="B128:C128"/>
    <mergeCell ref="B132:C132"/>
    <mergeCell ref="B111:C111"/>
    <mergeCell ref="V227:W229"/>
    <mergeCell ref="X227:AD229"/>
    <mergeCell ref="X233:AD235"/>
    <mergeCell ref="V236:W238"/>
    <mergeCell ref="X236:AD238"/>
    <mergeCell ref="V230:W232"/>
    <mergeCell ref="X230:AD232"/>
    <mergeCell ref="V76:W78"/>
    <mergeCell ref="X76:AD78"/>
    <mergeCell ref="C218:E227"/>
    <mergeCell ref="V109:AE109"/>
    <mergeCell ref="AE224:AE226"/>
    <mergeCell ref="AE117:AE119"/>
    <mergeCell ref="B50:C50"/>
    <mergeCell ref="B95:C95"/>
    <mergeCell ref="B69:C69"/>
    <mergeCell ref="C52:E60"/>
    <mergeCell ref="V245:W247"/>
    <mergeCell ref="V180:AE180"/>
    <mergeCell ref="V181:W183"/>
    <mergeCell ref="X181:AE183"/>
    <mergeCell ref="V184:W184"/>
    <mergeCell ref="X184:AD184"/>
    <mergeCell ref="V70:W72"/>
    <mergeCell ref="X70:AD72"/>
    <mergeCell ref="AE245:AE247"/>
    <mergeCell ref="AE239:AE241"/>
    <mergeCell ref="AE242:AE244"/>
    <mergeCell ref="AE233:AE235"/>
    <mergeCell ref="AE236:AE238"/>
    <mergeCell ref="AE227:AE229"/>
    <mergeCell ref="AE230:AE232"/>
    <mergeCell ref="AE221:AE223"/>
    <mergeCell ref="X245:AD247"/>
    <mergeCell ref="V242:W244"/>
    <mergeCell ref="V239:W241"/>
    <mergeCell ref="X239:AD241"/>
    <mergeCell ref="V88:W90"/>
    <mergeCell ref="X88:AD90"/>
    <mergeCell ref="AE88:AE90"/>
    <mergeCell ref="V188:W190"/>
    <mergeCell ref="X188:AD190"/>
    <mergeCell ref="AE188:AE190"/>
    <mergeCell ref="V191:W193"/>
    <mergeCell ref="X191:AD193"/>
    <mergeCell ref="V110:W112"/>
    <mergeCell ref="X110:AE112"/>
    <mergeCell ref="V113:W113"/>
    <mergeCell ref="X113:AD113"/>
    <mergeCell ref="V114:W116"/>
    <mergeCell ref="X114:AD116"/>
    <mergeCell ref="AE114:AE116"/>
    <mergeCell ref="V117:W119"/>
    <mergeCell ref="X117:AD119"/>
    <mergeCell ref="V120:W122"/>
    <mergeCell ref="X120:AD122"/>
    <mergeCell ref="AE120:AE122"/>
    <mergeCell ref="V123:W125"/>
    <mergeCell ref="X123:AD125"/>
    <mergeCell ref="AE123:AE125"/>
    <mergeCell ref="V126:W128"/>
    <mergeCell ref="AE82:AE84"/>
    <mergeCell ref="X82:AD84"/>
    <mergeCell ref="AE203:AE205"/>
    <mergeCell ref="V206:W208"/>
    <mergeCell ref="X206:AD208"/>
    <mergeCell ref="AE206:AE208"/>
    <mergeCell ref="V197:W199"/>
    <mergeCell ref="X197:AD199"/>
    <mergeCell ref="AE197:AE199"/>
    <mergeCell ref="V200:W202"/>
    <mergeCell ref="X200:AD202"/>
    <mergeCell ref="AE200:AE202"/>
    <mergeCell ref="V203:W205"/>
    <mergeCell ref="X203:AD205"/>
    <mergeCell ref="AE100:AE102"/>
    <mergeCell ref="V82:W84"/>
    <mergeCell ref="AE191:AE193"/>
    <mergeCell ref="V194:W196"/>
    <mergeCell ref="X194:AD196"/>
    <mergeCell ref="AE194:AE196"/>
    <mergeCell ref="V185:W187"/>
    <mergeCell ref="X185:AD187"/>
    <mergeCell ref="AE185:AE187"/>
    <mergeCell ref="AE85:AE87"/>
    <mergeCell ref="V85:W87"/>
    <mergeCell ref="X85:AD87"/>
    <mergeCell ref="B4:C4"/>
    <mergeCell ref="B8:C8"/>
    <mergeCell ref="V17:W19"/>
    <mergeCell ref="X17:AD19"/>
    <mergeCell ref="AE17:AE19"/>
    <mergeCell ref="V52:W54"/>
    <mergeCell ref="X52:AD54"/>
    <mergeCell ref="AE52:AE54"/>
    <mergeCell ref="V55:W57"/>
    <mergeCell ref="X55:AD57"/>
    <mergeCell ref="AE55:AE57"/>
    <mergeCell ref="V42:W42"/>
    <mergeCell ref="X42:AD42"/>
    <mergeCell ref="V43:W45"/>
    <mergeCell ref="X43:AD45"/>
    <mergeCell ref="AE43:AE45"/>
    <mergeCell ref="V8:W10"/>
    <mergeCell ref="X8:AD10"/>
    <mergeCell ref="AE8:AE10"/>
    <mergeCell ref="V58:W60"/>
    <mergeCell ref="X58:AD60"/>
    <mergeCell ref="AE58:AE60"/>
    <mergeCell ref="X20:AD22"/>
    <mergeCell ref="AE20:AE22"/>
    <mergeCell ref="V23:W25"/>
    <mergeCell ref="X23:AD25"/>
    <mergeCell ref="AE23:AE25"/>
    <mergeCell ref="V29:W31"/>
    <mergeCell ref="X29:AD31"/>
    <mergeCell ref="AE76:AE78"/>
    <mergeCell ref="X79:AD81"/>
    <mergeCell ref="AE79:AE81"/>
    <mergeCell ref="V61:W63"/>
    <mergeCell ref="X61:AD63"/>
    <mergeCell ref="AE61:AE63"/>
    <mergeCell ref="V73:W75"/>
    <mergeCell ref="X73:AD75"/>
    <mergeCell ref="AE73:AE75"/>
    <mergeCell ref="V64:W66"/>
    <mergeCell ref="X64:AD66"/>
    <mergeCell ref="AE64:AE66"/>
    <mergeCell ref="V67:W69"/>
    <mergeCell ref="X67:AD69"/>
    <mergeCell ref="AE67:AE69"/>
    <mergeCell ref="V79:W81"/>
    <mergeCell ref="AE29:AE31"/>
    <mergeCell ref="V3:AE3"/>
    <mergeCell ref="V4:W6"/>
    <mergeCell ref="X4:AE6"/>
    <mergeCell ref="V7:W7"/>
    <mergeCell ref="X7:AD7"/>
    <mergeCell ref="V11:W13"/>
    <mergeCell ref="X11:AD13"/>
    <mergeCell ref="AE11:AE13"/>
    <mergeCell ref="V14:W16"/>
    <mergeCell ref="X14:AD16"/>
    <mergeCell ref="AE14:AE16"/>
    <mergeCell ref="B140:C140"/>
    <mergeCell ref="B20:C20"/>
    <mergeCell ref="AE70:AE72"/>
    <mergeCell ref="V103:W105"/>
    <mergeCell ref="X103:AD105"/>
    <mergeCell ref="AE103:AE105"/>
    <mergeCell ref="V91:W93"/>
    <mergeCell ref="X91:AD93"/>
    <mergeCell ref="AE91:AE93"/>
    <mergeCell ref="V94:W96"/>
    <mergeCell ref="X94:AD96"/>
    <mergeCell ref="AE94:AE96"/>
    <mergeCell ref="V97:W99"/>
    <mergeCell ref="X97:AD99"/>
    <mergeCell ref="AE97:AE99"/>
    <mergeCell ref="V100:W102"/>
    <mergeCell ref="X100:AD102"/>
    <mergeCell ref="V39:W41"/>
    <mergeCell ref="V38:AE38"/>
    <mergeCell ref="X39:AE41"/>
    <mergeCell ref="V26:W28"/>
    <mergeCell ref="X26:AD28"/>
    <mergeCell ref="AE26:AE28"/>
    <mergeCell ref="V20:W22"/>
    <mergeCell ref="V32:W34"/>
    <mergeCell ref="X32:AD34"/>
    <mergeCell ref="AE32:AE34"/>
    <mergeCell ref="V46:W48"/>
    <mergeCell ref="X46:AD48"/>
    <mergeCell ref="AE46:AE48"/>
    <mergeCell ref="V49:W51"/>
    <mergeCell ref="X49:AD51"/>
    <mergeCell ref="AE49:AE51"/>
  </mergeCells>
  <pageMargins left="0.7" right="0.7" top="0.75" bottom="0.75" header="0.3" footer="0.3"/>
  <pageSetup orientation="portrait" r:id="rId1"/>
  <legacy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3"/>
  <dimension ref="A1:T208"/>
  <sheetViews>
    <sheetView workbookViewId="0">
      <pane ySplit="1" topLeftCell="A2" activePane="bottomLeft" state="frozen"/>
      <selection pane="bottomLeft" activeCell="A2" sqref="A2"/>
    </sheetView>
  </sheetViews>
  <sheetFormatPr defaultColWidth="9.21875" defaultRowHeight="14.4" x14ac:dyDescent="0.3"/>
  <cols>
    <col min="2" max="2" width="30" bestFit="1" customWidth="1"/>
    <col min="3" max="3" width="44.21875" customWidth="1"/>
    <col min="4" max="4" width="9.21875" customWidth="1"/>
    <col min="5" max="5" width="13.77734375" customWidth="1"/>
    <col min="6" max="8" width="19.21875" customWidth="1"/>
    <col min="9" max="9" width="28.77734375" customWidth="1"/>
    <col min="11" max="12" width="10.44140625" customWidth="1"/>
    <col min="13" max="19" width="12.5546875" customWidth="1"/>
  </cols>
  <sheetData>
    <row r="1" spans="1:20" ht="34.5" customHeight="1" thickBot="1" x14ac:dyDescent="0.35">
      <c r="A1" s="292" t="s">
        <v>1580</v>
      </c>
      <c r="B1" s="473" t="e" vm="1">
        <v>#VALUE!</v>
      </c>
      <c r="C1" s="8" t="s">
        <v>98</v>
      </c>
      <c r="D1" s="27"/>
      <c r="E1" s="16"/>
      <c r="F1" s="16"/>
      <c r="G1" s="16"/>
      <c r="H1" s="16"/>
      <c r="I1" s="19"/>
    </row>
    <row r="2" spans="1:20" ht="15" customHeight="1" x14ac:dyDescent="0.3">
      <c r="A2" s="18"/>
      <c r="B2" s="25"/>
      <c r="C2" s="25"/>
      <c r="D2" s="21"/>
      <c r="E2" s="21"/>
      <c r="F2" s="21"/>
      <c r="G2" s="21"/>
      <c r="H2" s="21"/>
      <c r="I2" s="20"/>
    </row>
    <row r="3" spans="1:20" ht="15" customHeight="1" x14ac:dyDescent="0.3">
      <c r="A3" s="18"/>
      <c r="B3" s="21"/>
      <c r="C3" s="21"/>
      <c r="D3" s="26"/>
      <c r="E3" s="21"/>
      <c r="F3" s="21"/>
      <c r="G3" s="21"/>
      <c r="H3" s="21"/>
      <c r="I3" s="20"/>
      <c r="K3" s="486" t="s">
        <v>3606</v>
      </c>
      <c r="L3" s="486"/>
      <c r="M3" s="486"/>
      <c r="N3" s="486"/>
      <c r="O3" s="486"/>
      <c r="P3" s="486"/>
      <c r="Q3" s="486"/>
      <c r="R3" s="486"/>
      <c r="S3" s="486"/>
      <c r="T3" s="486"/>
    </row>
    <row r="4" spans="1:20" ht="15" customHeight="1" x14ac:dyDescent="0.3">
      <c r="A4" s="18"/>
      <c r="B4" s="58" t="s">
        <v>3606</v>
      </c>
      <c r="C4" s="30" t="str" cm="1">
        <f t="array" ref="C4">_xll.U.USERNAME()</f>
        <v>bpierce</v>
      </c>
      <c r="D4" s="26"/>
      <c r="E4" s="21"/>
      <c r="F4" s="21"/>
      <c r="G4" s="21"/>
      <c r="H4" s="21"/>
      <c r="I4" s="20"/>
      <c r="K4" s="487" t="s">
        <v>333</v>
      </c>
      <c r="L4" s="487"/>
      <c r="M4" s="487" t="s">
        <v>574</v>
      </c>
      <c r="N4" s="487"/>
      <c r="O4" s="487"/>
      <c r="P4" s="487"/>
      <c r="Q4" s="487"/>
      <c r="R4" s="487"/>
      <c r="S4" s="487"/>
      <c r="T4" s="487"/>
    </row>
    <row r="5" spans="1:20" x14ac:dyDescent="0.3">
      <c r="A5" s="18"/>
      <c r="B5" s="21"/>
      <c r="C5" s="21"/>
      <c r="D5" s="21"/>
      <c r="E5" s="21"/>
      <c r="F5" s="21"/>
      <c r="G5" s="21"/>
      <c r="H5" s="21"/>
      <c r="I5" s="20"/>
      <c r="K5" s="487"/>
      <c r="L5" s="487"/>
      <c r="M5" s="487"/>
      <c r="N5" s="487"/>
      <c r="O5" s="487"/>
      <c r="P5" s="487"/>
      <c r="Q5" s="487"/>
      <c r="R5" s="487"/>
      <c r="S5" s="487"/>
      <c r="T5" s="487"/>
    </row>
    <row r="6" spans="1:20" x14ac:dyDescent="0.3">
      <c r="A6" s="18"/>
      <c r="B6" s="58" t="s">
        <v>3633</v>
      </c>
      <c r="C6" s="30" t="str" cm="1">
        <f t="array" ref="C6">_xll.U.MACHINE_NAME()</f>
        <v>DESKTOP-U4LCAN8</v>
      </c>
      <c r="D6" s="21"/>
      <c r="E6" s="21"/>
      <c r="F6" s="21"/>
      <c r="G6" s="21"/>
      <c r="H6" s="21"/>
      <c r="I6" s="20"/>
      <c r="K6" s="487"/>
      <c r="L6" s="487"/>
      <c r="M6" s="487"/>
      <c r="N6" s="487"/>
      <c r="O6" s="487"/>
      <c r="P6" s="487"/>
      <c r="Q6" s="487"/>
      <c r="R6" s="487"/>
      <c r="S6" s="487"/>
      <c r="T6" s="487"/>
    </row>
    <row r="7" spans="1:20" x14ac:dyDescent="0.3">
      <c r="A7" s="18"/>
      <c r="B7" s="21"/>
      <c r="C7" s="21"/>
      <c r="D7" s="21"/>
      <c r="E7" s="21"/>
      <c r="F7" s="21"/>
      <c r="G7" s="21"/>
      <c r="H7" s="21"/>
      <c r="I7" s="20"/>
      <c r="K7" s="483" t="s">
        <v>323</v>
      </c>
      <c r="L7" s="483"/>
      <c r="M7" s="483" t="s">
        <v>1</v>
      </c>
      <c r="N7" s="483"/>
      <c r="O7" s="483"/>
      <c r="P7" s="483"/>
      <c r="Q7" s="483"/>
      <c r="R7" s="483"/>
      <c r="S7" s="483"/>
      <c r="T7" s="85" t="s">
        <v>324</v>
      </c>
    </row>
    <row r="8" spans="1:20" x14ac:dyDescent="0.3">
      <c r="A8" s="18"/>
      <c r="B8" s="58" t="s">
        <v>3607</v>
      </c>
      <c r="C8" s="30" t="str" cm="1">
        <f t="array" ref="C8">_xll.U.ENTITY()</f>
        <v>U</v>
      </c>
      <c r="D8" s="21"/>
      <c r="E8" s="21"/>
      <c r="F8" s="21"/>
      <c r="G8" s="21"/>
      <c r="H8" s="21"/>
      <c r="I8" s="20"/>
      <c r="K8" s="484" t="s">
        <v>1793</v>
      </c>
      <c r="L8" s="484"/>
      <c r="M8" s="484" t="s">
        <v>1794</v>
      </c>
      <c r="N8" s="484"/>
      <c r="O8" s="484"/>
      <c r="P8" s="484"/>
      <c r="Q8" s="484"/>
      <c r="R8" s="484"/>
      <c r="S8" s="484"/>
      <c r="T8" s="485" t="s">
        <v>326</v>
      </c>
    </row>
    <row r="9" spans="1:20" x14ac:dyDescent="0.3">
      <c r="A9" s="18"/>
      <c r="B9" s="21"/>
      <c r="C9" s="21"/>
      <c r="D9" s="21"/>
      <c r="E9" s="21"/>
      <c r="F9" s="21"/>
      <c r="G9" s="21"/>
      <c r="H9" s="21"/>
      <c r="I9" s="20"/>
      <c r="K9" s="484"/>
      <c r="L9" s="484"/>
      <c r="M9" s="484"/>
      <c r="N9" s="484"/>
      <c r="O9" s="484"/>
      <c r="P9" s="484"/>
      <c r="Q9" s="484"/>
      <c r="R9" s="484"/>
      <c r="S9" s="484"/>
      <c r="T9" s="485"/>
    </row>
    <row r="10" spans="1:20" x14ac:dyDescent="0.3">
      <c r="A10" s="18"/>
      <c r="B10" s="58" t="s">
        <v>3608</v>
      </c>
      <c r="C10" s="30" t="str" cm="1">
        <f t="array" ref="C10">_xll.U.SERVER()</f>
        <v>localhost:40001</v>
      </c>
      <c r="D10" s="21"/>
      <c r="E10" s="21"/>
      <c r="F10" s="21"/>
      <c r="G10" s="21"/>
      <c r="H10" s="21"/>
      <c r="I10" s="20"/>
      <c r="K10" s="484"/>
      <c r="L10" s="484"/>
      <c r="M10" s="484"/>
      <c r="N10" s="484"/>
      <c r="O10" s="484"/>
      <c r="P10" s="484"/>
      <c r="Q10" s="484"/>
      <c r="R10" s="484"/>
      <c r="S10" s="484"/>
      <c r="T10" s="485"/>
    </row>
    <row r="11" spans="1:20" x14ac:dyDescent="0.3">
      <c r="A11" s="18"/>
      <c r="B11" s="21"/>
      <c r="C11" s="21"/>
      <c r="D11" s="21"/>
      <c r="E11" s="21"/>
      <c r="F11" s="21"/>
      <c r="G11" s="21"/>
      <c r="H11" s="21"/>
      <c r="I11" s="20"/>
      <c r="K11" s="126" t="s">
        <v>328</v>
      </c>
    </row>
    <row r="12" spans="1:20" x14ac:dyDescent="0.3">
      <c r="A12" s="18"/>
      <c r="B12" s="58" t="s">
        <v>3609</v>
      </c>
      <c r="C12" s="30" t="b" cm="1">
        <f t="array" ref="C12">_xll.U.AUTHN()</f>
        <v>0</v>
      </c>
      <c r="D12" s="21"/>
      <c r="E12" s="21"/>
      <c r="F12" s="21"/>
      <c r="G12" s="21"/>
      <c r="H12" s="21"/>
      <c r="I12" s="20"/>
    </row>
    <row r="13" spans="1:20" x14ac:dyDescent="0.3">
      <c r="A13" s="18"/>
      <c r="B13" s="21"/>
      <c r="C13" s="21"/>
      <c r="D13" s="21"/>
      <c r="E13" s="21"/>
      <c r="F13" s="21"/>
      <c r="G13" s="21"/>
      <c r="H13" s="21"/>
      <c r="I13" s="20"/>
    </row>
    <row r="14" spans="1:20" x14ac:dyDescent="0.3">
      <c r="A14" s="18"/>
      <c r="B14" s="21"/>
      <c r="C14" s="21"/>
      <c r="D14" s="21"/>
      <c r="E14" s="21"/>
      <c r="F14" s="21"/>
      <c r="G14" s="21"/>
      <c r="H14" s="21"/>
      <c r="I14" s="20"/>
      <c r="K14" s="486" t="s">
        <v>3633</v>
      </c>
      <c r="L14" s="486"/>
      <c r="M14" s="486"/>
      <c r="N14" s="486"/>
      <c r="O14" s="486"/>
      <c r="P14" s="486"/>
      <c r="Q14" s="486"/>
      <c r="R14" s="486"/>
      <c r="S14" s="486"/>
      <c r="T14" s="486"/>
    </row>
    <row r="15" spans="1:20" x14ac:dyDescent="0.3">
      <c r="A15" s="18"/>
      <c r="B15" s="21"/>
      <c r="C15" s="21"/>
      <c r="D15" s="21"/>
      <c r="E15" s="21"/>
      <c r="F15" s="21"/>
      <c r="G15" s="21"/>
      <c r="H15" s="21"/>
      <c r="I15" s="20"/>
      <c r="K15" s="487" t="s">
        <v>333</v>
      </c>
      <c r="L15" s="487"/>
      <c r="M15" s="487" t="s">
        <v>3143</v>
      </c>
      <c r="N15" s="487"/>
      <c r="O15" s="487"/>
      <c r="P15" s="487"/>
      <c r="Q15" s="487"/>
      <c r="R15" s="487"/>
      <c r="S15" s="487"/>
      <c r="T15" s="487"/>
    </row>
    <row r="16" spans="1:20" x14ac:dyDescent="0.3">
      <c r="A16" s="18"/>
      <c r="B16" s="21"/>
      <c r="C16" s="21"/>
      <c r="D16" s="21"/>
      <c r="E16" s="21"/>
      <c r="F16" s="21"/>
      <c r="G16" s="21"/>
      <c r="H16" s="21"/>
      <c r="I16" s="20"/>
      <c r="K16" s="487"/>
      <c r="L16" s="487"/>
      <c r="M16" s="487"/>
      <c r="N16" s="487"/>
      <c r="O16" s="487"/>
      <c r="P16" s="487"/>
      <c r="Q16" s="487"/>
      <c r="R16" s="487"/>
      <c r="S16" s="487"/>
      <c r="T16" s="487"/>
    </row>
    <row r="17" spans="1:20" x14ac:dyDescent="0.3">
      <c r="A17" s="18"/>
      <c r="B17" s="21"/>
      <c r="C17" s="21"/>
      <c r="D17" s="21"/>
      <c r="E17" s="21"/>
      <c r="F17" s="21"/>
      <c r="G17" s="21"/>
      <c r="H17" s="21"/>
      <c r="I17" s="20"/>
      <c r="K17" s="487"/>
      <c r="L17" s="487"/>
      <c r="M17" s="487"/>
      <c r="N17" s="487"/>
      <c r="O17" s="487"/>
      <c r="P17" s="487"/>
      <c r="Q17" s="487"/>
      <c r="R17" s="487"/>
      <c r="S17" s="487"/>
      <c r="T17" s="487"/>
    </row>
    <row r="18" spans="1:20" x14ac:dyDescent="0.3">
      <c r="A18" s="18"/>
      <c r="B18" s="21"/>
      <c r="C18" s="21"/>
      <c r="D18" s="21"/>
      <c r="E18" s="21"/>
      <c r="F18" s="21"/>
      <c r="G18" s="21"/>
      <c r="H18" s="21"/>
      <c r="I18" s="20"/>
      <c r="K18" s="483" t="s">
        <v>323</v>
      </c>
      <c r="L18" s="483"/>
      <c r="M18" s="483" t="s">
        <v>1</v>
      </c>
      <c r="N18" s="483"/>
      <c r="O18" s="483"/>
      <c r="P18" s="483"/>
      <c r="Q18" s="483"/>
      <c r="R18" s="483"/>
      <c r="S18" s="483"/>
      <c r="T18" s="85" t="s">
        <v>324</v>
      </c>
    </row>
    <row r="19" spans="1:20" x14ac:dyDescent="0.3">
      <c r="A19" s="18"/>
      <c r="B19" s="58" t="s">
        <v>3610</v>
      </c>
      <c r="C19" s="30" t="b" cm="1">
        <f t="array" ref="C19">_xll.U.CONNECTED_TO_SERVER()</f>
        <v>1</v>
      </c>
      <c r="D19" s="21"/>
      <c r="E19" s="21"/>
      <c r="F19" s="21"/>
      <c r="G19" s="21"/>
      <c r="H19" s="21"/>
      <c r="I19" s="20"/>
      <c r="K19" s="484" t="s">
        <v>3142</v>
      </c>
      <c r="L19" s="484"/>
      <c r="M19" s="484" t="s">
        <v>3144</v>
      </c>
      <c r="N19" s="484"/>
      <c r="O19" s="484"/>
      <c r="P19" s="484"/>
      <c r="Q19" s="484"/>
      <c r="R19" s="484"/>
      <c r="S19" s="484"/>
      <c r="T19" s="485" t="s">
        <v>326</v>
      </c>
    </row>
    <row r="20" spans="1:20" x14ac:dyDescent="0.3">
      <c r="A20" s="18"/>
      <c r="B20" s="21"/>
      <c r="C20" s="21"/>
      <c r="D20" s="21"/>
      <c r="E20" s="21"/>
      <c r="F20" s="21"/>
      <c r="G20" s="21"/>
      <c r="H20" s="21"/>
      <c r="I20" s="20"/>
      <c r="K20" s="484"/>
      <c r="L20" s="484"/>
      <c r="M20" s="484"/>
      <c r="N20" s="484"/>
      <c r="O20" s="484"/>
      <c r="P20" s="484"/>
      <c r="Q20" s="484"/>
      <c r="R20" s="484"/>
      <c r="S20" s="484"/>
      <c r="T20" s="485"/>
    </row>
    <row r="21" spans="1:20" x14ac:dyDescent="0.3">
      <c r="A21" s="18"/>
      <c r="B21" s="21"/>
      <c r="C21" s="21"/>
      <c r="D21" s="21"/>
      <c r="E21" s="21"/>
      <c r="F21" s="21"/>
      <c r="G21" s="21"/>
      <c r="H21" s="21"/>
      <c r="I21" s="20"/>
      <c r="K21" s="484"/>
      <c r="L21" s="484"/>
      <c r="M21" s="484"/>
      <c r="N21" s="484"/>
      <c r="O21" s="484"/>
      <c r="P21" s="484"/>
      <c r="Q21" s="484"/>
      <c r="R21" s="484"/>
      <c r="S21" s="484"/>
      <c r="T21" s="485"/>
    </row>
    <row r="22" spans="1:20" x14ac:dyDescent="0.3">
      <c r="A22" s="18"/>
      <c r="B22" s="21"/>
      <c r="C22" s="21"/>
      <c r="D22" s="21"/>
      <c r="E22" s="21"/>
      <c r="F22" s="21"/>
      <c r="G22" s="21"/>
      <c r="H22" s="21"/>
      <c r="I22" s="20"/>
      <c r="K22" s="126" t="s">
        <v>328</v>
      </c>
    </row>
    <row r="23" spans="1:20" x14ac:dyDescent="0.3">
      <c r="A23" s="18"/>
      <c r="B23" s="21"/>
      <c r="C23" s="21"/>
      <c r="D23" s="21"/>
      <c r="E23" s="21"/>
      <c r="F23" s="21"/>
      <c r="G23" s="21"/>
      <c r="H23" s="21"/>
      <c r="I23" s="20"/>
    </row>
    <row r="24" spans="1:20" x14ac:dyDescent="0.3">
      <c r="A24" s="18"/>
      <c r="B24" s="58" t="s">
        <v>3611</v>
      </c>
      <c r="C24" s="152" t="s">
        <v>3612</v>
      </c>
      <c r="D24" s="21"/>
      <c r="E24" s="21"/>
      <c r="F24" s="21"/>
      <c r="G24" s="21"/>
      <c r="H24" s="21"/>
      <c r="I24" s="20"/>
    </row>
    <row r="25" spans="1:20" x14ac:dyDescent="0.3">
      <c r="A25" s="18"/>
      <c r="B25" s="21"/>
      <c r="C25" s="21"/>
      <c r="D25" s="21"/>
      <c r="E25" s="21"/>
      <c r="F25" s="21"/>
      <c r="G25" s="21"/>
      <c r="H25" s="21"/>
      <c r="I25" s="20"/>
      <c r="K25" s="486" t="s">
        <v>3607</v>
      </c>
      <c r="L25" s="486"/>
      <c r="M25" s="486"/>
      <c r="N25" s="486"/>
      <c r="O25" s="486"/>
      <c r="P25" s="486"/>
      <c r="Q25" s="486"/>
      <c r="R25" s="486"/>
      <c r="S25" s="486"/>
      <c r="T25" s="486"/>
    </row>
    <row r="26" spans="1:20" x14ac:dyDescent="0.3">
      <c r="A26" s="18"/>
      <c r="B26" s="21"/>
      <c r="C26" s="21"/>
      <c r="D26" s="21"/>
      <c r="E26" s="21"/>
      <c r="F26" s="21"/>
      <c r="G26" s="21"/>
      <c r="H26" s="21"/>
      <c r="I26" s="20"/>
      <c r="K26" s="487" t="s">
        <v>333</v>
      </c>
      <c r="L26" s="487"/>
      <c r="M26" s="487" t="s">
        <v>3847</v>
      </c>
      <c r="N26" s="487"/>
      <c r="O26" s="487"/>
      <c r="P26" s="487"/>
      <c r="Q26" s="487"/>
      <c r="R26" s="487"/>
      <c r="S26" s="487"/>
      <c r="T26" s="487"/>
    </row>
    <row r="27" spans="1:20" x14ac:dyDescent="0.3">
      <c r="A27" s="18"/>
      <c r="B27" s="21"/>
      <c r="C27" s="21"/>
      <c r="D27" s="21"/>
      <c r="E27" s="21"/>
      <c r="F27" s="21"/>
      <c r="G27" s="21"/>
      <c r="H27" s="21"/>
      <c r="I27" s="20"/>
      <c r="K27" s="487"/>
      <c r="L27" s="487"/>
      <c r="M27" s="487"/>
      <c r="N27" s="487"/>
      <c r="O27" s="487"/>
      <c r="P27" s="487"/>
      <c r="Q27" s="487"/>
      <c r="R27" s="487"/>
      <c r="S27" s="487"/>
      <c r="T27" s="487"/>
    </row>
    <row r="28" spans="1:20" x14ac:dyDescent="0.3">
      <c r="A28" s="18"/>
      <c r="B28" s="21"/>
      <c r="C28" s="21"/>
      <c r="D28" s="21"/>
      <c r="E28" s="21"/>
      <c r="F28" s="21"/>
      <c r="G28" s="21"/>
      <c r="H28" s="21"/>
      <c r="I28" s="20"/>
      <c r="K28" s="487"/>
      <c r="L28" s="487"/>
      <c r="M28" s="487"/>
      <c r="N28" s="487"/>
      <c r="O28" s="487"/>
      <c r="P28" s="487"/>
      <c r="Q28" s="487"/>
      <c r="R28" s="487"/>
      <c r="S28" s="487"/>
      <c r="T28" s="487"/>
    </row>
    <row r="29" spans="1:20" x14ac:dyDescent="0.3">
      <c r="A29" s="18"/>
      <c r="B29" s="21"/>
      <c r="C29" s="21"/>
      <c r="D29" s="21"/>
      <c r="E29" s="21"/>
      <c r="F29" s="21"/>
      <c r="G29" s="21"/>
      <c r="H29" s="21"/>
      <c r="I29" s="20"/>
      <c r="K29" s="483" t="s">
        <v>323</v>
      </c>
      <c r="L29" s="483"/>
      <c r="M29" s="483" t="s">
        <v>1</v>
      </c>
      <c r="N29" s="483"/>
      <c r="O29" s="483"/>
      <c r="P29" s="483"/>
      <c r="Q29" s="483"/>
      <c r="R29" s="483"/>
      <c r="S29" s="483"/>
      <c r="T29" s="85" t="s">
        <v>324</v>
      </c>
    </row>
    <row r="30" spans="1:20" x14ac:dyDescent="0.3">
      <c r="A30" s="18"/>
      <c r="B30" s="21"/>
      <c r="C30" s="21"/>
      <c r="D30" s="21"/>
      <c r="E30" s="21"/>
      <c r="F30" s="21"/>
      <c r="G30" s="21"/>
      <c r="H30" s="21"/>
      <c r="I30" s="20"/>
      <c r="K30" s="516" t="s">
        <v>431</v>
      </c>
      <c r="L30" s="517"/>
      <c r="M30" s="517"/>
      <c r="N30" s="517"/>
      <c r="O30" s="517"/>
      <c r="P30" s="517"/>
      <c r="Q30" s="517"/>
      <c r="R30" s="517"/>
      <c r="S30" s="517"/>
      <c r="T30" s="518"/>
    </row>
    <row r="31" spans="1:20" x14ac:dyDescent="0.3">
      <c r="A31" s="18"/>
      <c r="B31" s="21"/>
      <c r="C31" s="21"/>
      <c r="D31" s="21"/>
      <c r="E31" s="21"/>
      <c r="F31" s="21"/>
      <c r="G31" s="21"/>
      <c r="H31" s="21"/>
      <c r="I31" s="20"/>
    </row>
    <row r="32" spans="1:20" ht="15" customHeight="1" x14ac:dyDescent="0.3">
      <c r="A32" s="18"/>
      <c r="B32" s="21"/>
      <c r="C32" s="21"/>
      <c r="D32" s="21"/>
      <c r="E32" s="21"/>
      <c r="F32" s="21"/>
      <c r="G32" s="21"/>
      <c r="H32" s="21"/>
      <c r="I32" s="20"/>
    </row>
    <row r="33" spans="1:20" x14ac:dyDescent="0.3">
      <c r="A33" s="18"/>
      <c r="B33" s="21"/>
      <c r="C33" s="21"/>
      <c r="D33" s="21"/>
      <c r="E33" s="21"/>
      <c r="F33" s="21"/>
      <c r="G33" s="21"/>
      <c r="H33" s="21"/>
      <c r="I33" s="20"/>
      <c r="K33" s="486" t="s">
        <v>3608</v>
      </c>
      <c r="L33" s="486"/>
      <c r="M33" s="486"/>
      <c r="N33" s="486"/>
      <c r="O33" s="486"/>
      <c r="P33" s="486"/>
      <c r="Q33" s="486"/>
      <c r="R33" s="486"/>
      <c r="S33" s="486"/>
      <c r="T33" s="486"/>
    </row>
    <row r="34" spans="1:20" x14ac:dyDescent="0.3">
      <c r="A34" s="18"/>
      <c r="B34" s="21"/>
      <c r="C34" s="21"/>
      <c r="D34" s="21"/>
      <c r="E34" s="21"/>
      <c r="F34" s="21"/>
      <c r="G34" s="21"/>
      <c r="H34" s="21"/>
      <c r="I34" s="20"/>
      <c r="K34" s="487" t="s">
        <v>333</v>
      </c>
      <c r="L34" s="487"/>
      <c r="M34" s="487" t="s">
        <v>3848</v>
      </c>
      <c r="N34" s="487"/>
      <c r="O34" s="487"/>
      <c r="P34" s="487"/>
      <c r="Q34" s="487"/>
      <c r="R34" s="487"/>
      <c r="S34" s="487"/>
      <c r="T34" s="487"/>
    </row>
    <row r="35" spans="1:20" x14ac:dyDescent="0.3">
      <c r="A35" s="18"/>
      <c r="B35" s="21"/>
      <c r="C35" s="21"/>
      <c r="D35" s="21"/>
      <c r="E35" s="21"/>
      <c r="F35" s="21"/>
      <c r="G35" s="21"/>
      <c r="H35" s="21"/>
      <c r="I35" s="20"/>
      <c r="K35" s="487"/>
      <c r="L35" s="487"/>
      <c r="M35" s="487"/>
      <c r="N35" s="487"/>
      <c r="O35" s="487"/>
      <c r="P35" s="487"/>
      <c r="Q35" s="487"/>
      <c r="R35" s="487"/>
      <c r="S35" s="487"/>
      <c r="T35" s="487"/>
    </row>
    <row r="36" spans="1:20" x14ac:dyDescent="0.3">
      <c r="A36" s="18"/>
      <c r="B36" s="21"/>
      <c r="C36" s="21"/>
      <c r="D36" s="21"/>
      <c r="E36" s="21"/>
      <c r="F36" s="21"/>
      <c r="G36" s="21"/>
      <c r="H36" s="21"/>
      <c r="I36" s="20"/>
      <c r="K36" s="487"/>
      <c r="L36" s="487"/>
      <c r="M36" s="487"/>
      <c r="N36" s="487"/>
      <c r="O36" s="487"/>
      <c r="P36" s="487"/>
      <c r="Q36" s="487"/>
      <c r="R36" s="487"/>
      <c r="S36" s="487"/>
      <c r="T36" s="487"/>
    </row>
    <row r="37" spans="1:20" x14ac:dyDescent="0.3">
      <c r="A37" s="18"/>
      <c r="B37" s="21"/>
      <c r="C37" s="21"/>
      <c r="D37" s="21"/>
      <c r="E37" s="21"/>
      <c r="F37" s="21"/>
      <c r="G37" s="21"/>
      <c r="H37" s="21"/>
      <c r="I37" s="20"/>
      <c r="K37" s="483" t="s">
        <v>323</v>
      </c>
      <c r="L37" s="483"/>
      <c r="M37" s="483" t="s">
        <v>1</v>
      </c>
      <c r="N37" s="483"/>
      <c r="O37" s="483"/>
      <c r="P37" s="483"/>
      <c r="Q37" s="483"/>
      <c r="R37" s="483"/>
      <c r="S37" s="483"/>
      <c r="T37" s="85" t="s">
        <v>324</v>
      </c>
    </row>
    <row r="38" spans="1:20" x14ac:dyDescent="0.3">
      <c r="A38" s="18"/>
      <c r="B38" s="58" t="s">
        <v>3613</v>
      </c>
      <c r="C38" s="30" t="str" cm="1">
        <f t="array" ref="C38">_xll.U.CONFIG_DIR()</f>
        <v>C:\Runline\U\Current\config</v>
      </c>
      <c r="D38" s="21"/>
      <c r="E38" s="21"/>
      <c r="F38" s="21"/>
      <c r="G38" s="21"/>
      <c r="H38" s="21"/>
      <c r="I38" s="20"/>
      <c r="K38" s="484" t="s">
        <v>322</v>
      </c>
      <c r="L38" s="484"/>
      <c r="M38" s="484" t="s">
        <v>1632</v>
      </c>
      <c r="N38" s="484"/>
      <c r="O38" s="484"/>
      <c r="P38" s="484"/>
      <c r="Q38" s="484"/>
      <c r="R38" s="484"/>
      <c r="S38" s="484"/>
      <c r="T38" s="485" t="s">
        <v>326</v>
      </c>
    </row>
    <row r="39" spans="1:20" x14ac:dyDescent="0.3">
      <c r="A39" s="18"/>
      <c r="B39" s="21"/>
      <c r="C39" s="21"/>
      <c r="D39" s="21"/>
      <c r="E39" s="21"/>
      <c r="F39" s="21"/>
      <c r="G39" s="21"/>
      <c r="H39" s="21"/>
      <c r="I39" s="20"/>
      <c r="K39" s="484"/>
      <c r="L39" s="484"/>
      <c r="M39" s="484"/>
      <c r="N39" s="484"/>
      <c r="O39" s="484"/>
      <c r="P39" s="484"/>
      <c r="Q39" s="484"/>
      <c r="R39" s="484"/>
      <c r="S39" s="484"/>
      <c r="T39" s="485"/>
    </row>
    <row r="40" spans="1:20" ht="15" customHeight="1" x14ac:dyDescent="0.3">
      <c r="A40" s="18"/>
      <c r="B40" s="58" t="s">
        <v>3614</v>
      </c>
      <c r="C40" s="30" t="str" cm="1">
        <f t="array" ref="C40">_xll.U.VERSION()</f>
        <v>0.0.37.0</v>
      </c>
      <c r="D40" s="21"/>
      <c r="E40" s="21"/>
      <c r="F40" s="21"/>
      <c r="G40" s="21"/>
      <c r="H40" s="21"/>
      <c r="I40" s="20"/>
      <c r="K40" s="484"/>
      <c r="L40" s="484"/>
      <c r="M40" s="484"/>
      <c r="N40" s="484"/>
      <c r="O40" s="484"/>
      <c r="P40" s="484"/>
      <c r="Q40" s="484"/>
      <c r="R40" s="484"/>
      <c r="S40" s="484"/>
      <c r="T40" s="485"/>
    </row>
    <row r="41" spans="1:20" x14ac:dyDescent="0.3">
      <c r="A41" s="18"/>
      <c r="B41" s="21"/>
      <c r="C41" s="21"/>
      <c r="D41" s="21"/>
      <c r="E41" s="21"/>
      <c r="F41" s="21"/>
      <c r="G41" s="21"/>
      <c r="H41" s="21"/>
      <c r="I41" s="20"/>
      <c r="K41" s="126" t="s">
        <v>328</v>
      </c>
    </row>
    <row r="42" spans="1:20" x14ac:dyDescent="0.3">
      <c r="A42" s="18"/>
      <c r="B42" s="21"/>
      <c r="C42" s="21"/>
      <c r="D42" s="21"/>
      <c r="E42" s="21"/>
      <c r="F42" s="21"/>
      <c r="G42" s="21"/>
      <c r="H42" s="21"/>
      <c r="I42" s="20"/>
      <c r="K42" s="126"/>
    </row>
    <row r="43" spans="1:20" x14ac:dyDescent="0.3">
      <c r="A43" s="18"/>
      <c r="B43" s="21"/>
      <c r="C43" s="21"/>
      <c r="D43" s="21"/>
      <c r="E43" s="21"/>
      <c r="F43" s="21"/>
      <c r="G43" s="21"/>
      <c r="H43" s="21"/>
      <c r="I43" s="20"/>
    </row>
    <row r="44" spans="1:20" x14ac:dyDescent="0.3">
      <c r="A44" s="18"/>
      <c r="B44" s="21"/>
      <c r="C44" s="21"/>
      <c r="D44" s="21"/>
      <c r="E44" s="21"/>
      <c r="F44" s="21"/>
      <c r="G44" s="21"/>
      <c r="H44" s="21"/>
      <c r="I44" s="20"/>
      <c r="K44" s="486" t="s">
        <v>3609</v>
      </c>
      <c r="L44" s="486"/>
      <c r="M44" s="486"/>
      <c r="N44" s="486"/>
      <c r="O44" s="486"/>
      <c r="P44" s="486"/>
      <c r="Q44" s="486"/>
      <c r="R44" s="486"/>
      <c r="S44" s="486"/>
      <c r="T44" s="486"/>
    </row>
    <row r="45" spans="1:20" x14ac:dyDescent="0.3">
      <c r="A45" s="18"/>
      <c r="B45" s="21"/>
      <c r="C45" s="21"/>
      <c r="D45" s="21"/>
      <c r="E45" s="21"/>
      <c r="F45" s="21"/>
      <c r="G45" s="21"/>
      <c r="H45" s="21"/>
      <c r="I45" s="20"/>
      <c r="K45" s="487" t="s">
        <v>333</v>
      </c>
      <c r="L45" s="487"/>
      <c r="M45" s="487" t="s">
        <v>3812</v>
      </c>
      <c r="N45" s="487"/>
      <c r="O45" s="487"/>
      <c r="P45" s="487"/>
      <c r="Q45" s="487"/>
      <c r="R45" s="487"/>
      <c r="S45" s="487"/>
      <c r="T45" s="487"/>
    </row>
    <row r="46" spans="1:20" x14ac:dyDescent="0.3">
      <c r="A46" s="18"/>
      <c r="B46" s="21"/>
      <c r="C46" s="21"/>
      <c r="D46" s="21"/>
      <c r="E46" s="21"/>
      <c r="F46" s="21"/>
      <c r="G46" s="21"/>
      <c r="H46" s="21"/>
      <c r="I46" s="20"/>
      <c r="K46" s="487"/>
      <c r="L46" s="487"/>
      <c r="M46" s="487"/>
      <c r="N46" s="487"/>
      <c r="O46" s="487"/>
      <c r="P46" s="487"/>
      <c r="Q46" s="487"/>
      <c r="R46" s="487"/>
      <c r="S46" s="487"/>
      <c r="T46" s="487"/>
    </row>
    <row r="47" spans="1:20" ht="14.25" customHeight="1" x14ac:dyDescent="0.3">
      <c r="A47" s="18"/>
      <c r="B47" s="85" t="s">
        <v>3615</v>
      </c>
      <c r="C47" s="152" t="s">
        <v>3616</v>
      </c>
      <c r="D47" s="21"/>
      <c r="E47" s="21"/>
      <c r="F47" s="21"/>
      <c r="G47" s="21"/>
      <c r="H47" s="21"/>
      <c r="I47" s="20"/>
      <c r="K47" s="487"/>
      <c r="L47" s="487"/>
      <c r="M47" s="487"/>
      <c r="N47" s="487"/>
      <c r="O47" s="487"/>
      <c r="P47" s="487"/>
      <c r="Q47" s="487"/>
      <c r="R47" s="487"/>
      <c r="S47" s="487"/>
      <c r="T47" s="487"/>
    </row>
    <row r="48" spans="1:20" x14ac:dyDescent="0.3">
      <c r="A48" s="18"/>
      <c r="B48" s="21"/>
      <c r="C48" s="21"/>
      <c r="D48" s="21"/>
      <c r="E48" s="21"/>
      <c r="F48" s="21"/>
      <c r="G48" s="21"/>
      <c r="H48" s="21"/>
      <c r="I48" s="20"/>
      <c r="K48" s="483" t="s">
        <v>323</v>
      </c>
      <c r="L48" s="483"/>
      <c r="M48" s="483" t="s">
        <v>1</v>
      </c>
      <c r="N48" s="483"/>
      <c r="O48" s="483"/>
      <c r="P48" s="483"/>
      <c r="Q48" s="483"/>
      <c r="R48" s="483"/>
      <c r="S48" s="483"/>
      <c r="T48" s="85" t="s">
        <v>324</v>
      </c>
    </row>
    <row r="49" spans="1:20" x14ac:dyDescent="0.3">
      <c r="A49" s="18"/>
      <c r="B49" s="3" t="s">
        <v>1823</v>
      </c>
      <c r="C49" s="3" t="s">
        <v>1825</v>
      </c>
      <c r="D49" s="21"/>
      <c r="E49" s="21"/>
      <c r="F49" s="21"/>
      <c r="G49" s="21"/>
      <c r="H49" s="21"/>
      <c r="I49" s="20"/>
      <c r="K49" s="484" t="s">
        <v>793</v>
      </c>
      <c r="L49" s="484"/>
      <c r="M49" s="484" t="s">
        <v>3885</v>
      </c>
      <c r="N49" s="484"/>
      <c r="O49" s="484"/>
      <c r="P49" s="484"/>
      <c r="Q49" s="484"/>
      <c r="R49" s="484"/>
      <c r="S49" s="484"/>
      <c r="T49" s="485" t="s">
        <v>326</v>
      </c>
    </row>
    <row r="50" spans="1:20" x14ac:dyDescent="0.3">
      <c r="A50" s="18"/>
      <c r="B50" s="181" t="s">
        <v>1824</v>
      </c>
      <c r="C50" s="181" t="b">
        <v>1</v>
      </c>
      <c r="D50" s="21"/>
      <c r="E50" s="21"/>
      <c r="F50" s="21"/>
      <c r="G50" s="21"/>
      <c r="H50" s="21"/>
      <c r="I50" s="20"/>
      <c r="K50" s="484"/>
      <c r="L50" s="484"/>
      <c r="M50" s="484"/>
      <c r="N50" s="484"/>
      <c r="O50" s="484"/>
      <c r="P50" s="484"/>
      <c r="Q50" s="484"/>
      <c r="R50" s="484"/>
      <c r="S50" s="484"/>
      <c r="T50" s="485"/>
    </row>
    <row r="51" spans="1:20" ht="14.25" customHeight="1" x14ac:dyDescent="0.3">
      <c r="A51" s="18"/>
      <c r="B51" s="21"/>
      <c r="C51" s="21"/>
      <c r="D51" s="21"/>
      <c r="E51" s="21"/>
      <c r="F51" s="21"/>
      <c r="G51" s="21"/>
      <c r="H51" s="21"/>
      <c r="I51" s="20"/>
      <c r="K51" s="484"/>
      <c r="L51" s="484"/>
      <c r="M51" s="484"/>
      <c r="N51" s="484"/>
      <c r="O51" s="484"/>
      <c r="P51" s="484"/>
      <c r="Q51" s="484"/>
      <c r="R51" s="484"/>
      <c r="S51" s="484"/>
      <c r="T51" s="485"/>
    </row>
    <row r="52" spans="1:20" x14ac:dyDescent="0.3">
      <c r="A52" s="18"/>
      <c r="B52" s="21"/>
      <c r="C52" s="21"/>
      <c r="D52" s="21"/>
      <c r="E52" s="21"/>
      <c r="F52" s="21"/>
      <c r="G52" s="21"/>
      <c r="H52" s="21"/>
      <c r="I52" s="20"/>
      <c r="K52" s="484" t="s">
        <v>322</v>
      </c>
      <c r="L52" s="484"/>
      <c r="M52" s="484" t="s">
        <v>1633</v>
      </c>
      <c r="N52" s="484"/>
      <c r="O52" s="484"/>
      <c r="P52" s="484"/>
      <c r="Q52" s="484"/>
      <c r="R52" s="484"/>
      <c r="S52" s="484"/>
      <c r="T52" s="485" t="s">
        <v>326</v>
      </c>
    </row>
    <row r="53" spans="1:20" x14ac:dyDescent="0.3">
      <c r="A53" s="18"/>
      <c r="B53" s="3" t="s">
        <v>2627</v>
      </c>
      <c r="C53" s="21"/>
      <c r="D53" s="21"/>
      <c r="E53" s="21"/>
      <c r="F53" s="21"/>
      <c r="G53" s="21"/>
      <c r="H53" s="21"/>
      <c r="I53" s="20"/>
      <c r="K53" s="484"/>
      <c r="L53" s="484"/>
      <c r="M53" s="484"/>
      <c r="N53" s="484"/>
      <c r="O53" s="484"/>
      <c r="P53" s="484"/>
      <c r="Q53" s="484"/>
      <c r="R53" s="484"/>
      <c r="S53" s="484"/>
      <c r="T53" s="485"/>
    </row>
    <row r="54" spans="1:20" x14ac:dyDescent="0.3">
      <c r="A54" s="18"/>
      <c r="B54" s="181" t="s">
        <v>2628</v>
      </c>
      <c r="C54" s="21"/>
      <c r="D54" s="21"/>
      <c r="E54" s="21"/>
      <c r="F54" s="21"/>
      <c r="G54" s="21"/>
      <c r="H54" s="21"/>
      <c r="I54" s="20"/>
      <c r="K54" s="484"/>
      <c r="L54" s="484"/>
      <c r="M54" s="484"/>
      <c r="N54" s="484"/>
      <c r="O54" s="484"/>
      <c r="P54" s="484"/>
      <c r="Q54" s="484"/>
      <c r="R54" s="484"/>
      <c r="S54" s="484"/>
      <c r="T54" s="485"/>
    </row>
    <row r="55" spans="1:20" x14ac:dyDescent="0.3">
      <c r="A55" s="18"/>
      <c r="B55" s="181" t="s">
        <v>2629</v>
      </c>
      <c r="C55" s="21"/>
      <c r="D55" s="21"/>
      <c r="E55" s="21"/>
      <c r="F55" s="21"/>
      <c r="G55" s="21"/>
      <c r="H55" s="21"/>
      <c r="I55" s="20"/>
      <c r="K55" s="126" t="s">
        <v>328</v>
      </c>
    </row>
    <row r="56" spans="1:20" x14ac:dyDescent="0.3">
      <c r="A56" s="18"/>
      <c r="B56" s="21"/>
      <c r="C56" s="21"/>
      <c r="D56" s="21"/>
      <c r="E56" s="21"/>
      <c r="F56" s="21"/>
      <c r="G56" s="21"/>
      <c r="H56" s="21"/>
      <c r="I56" s="20"/>
      <c r="K56" s="126"/>
    </row>
    <row r="57" spans="1:20" x14ac:dyDescent="0.3">
      <c r="A57" s="18"/>
      <c r="B57" s="85" t="s">
        <v>3615</v>
      </c>
      <c r="C57" s="152" t="s">
        <v>3617</v>
      </c>
      <c r="D57" s="21"/>
      <c r="E57" s="21"/>
      <c r="F57" s="21"/>
      <c r="G57" s="21"/>
      <c r="H57" s="21"/>
      <c r="I57" s="20"/>
    </row>
    <row r="58" spans="1:20" x14ac:dyDescent="0.3">
      <c r="A58" s="18"/>
      <c r="B58" s="21"/>
      <c r="C58" s="21"/>
      <c r="D58" s="21"/>
      <c r="E58" s="21"/>
      <c r="F58" s="21"/>
      <c r="G58" s="21"/>
      <c r="H58" s="21"/>
      <c r="I58" s="20"/>
      <c r="K58" s="486" t="s">
        <v>3610</v>
      </c>
      <c r="L58" s="486"/>
      <c r="M58" s="486"/>
      <c r="N58" s="486"/>
      <c r="O58" s="486"/>
      <c r="P58" s="486"/>
      <c r="Q58" s="486"/>
      <c r="R58" s="486"/>
      <c r="S58" s="486"/>
      <c r="T58" s="486"/>
    </row>
    <row r="59" spans="1:20" x14ac:dyDescent="0.3">
      <c r="A59" s="18"/>
      <c r="B59" s="21"/>
      <c r="C59" s="21"/>
      <c r="D59" s="21"/>
      <c r="E59" s="21"/>
      <c r="F59" s="21"/>
      <c r="G59" s="21"/>
      <c r="H59" s="21"/>
      <c r="I59" s="20"/>
      <c r="K59" s="487" t="s">
        <v>333</v>
      </c>
      <c r="L59" s="487"/>
      <c r="M59" s="487" t="s">
        <v>961</v>
      </c>
      <c r="N59" s="487"/>
      <c r="O59" s="487"/>
      <c r="P59" s="487"/>
      <c r="Q59" s="487"/>
      <c r="R59" s="487"/>
      <c r="S59" s="487"/>
      <c r="T59" s="487"/>
    </row>
    <row r="60" spans="1:20" x14ac:dyDescent="0.3">
      <c r="A60" s="18"/>
      <c r="B60" s="21"/>
      <c r="C60" s="21"/>
      <c r="D60" s="21"/>
      <c r="E60" s="21"/>
      <c r="F60" s="21"/>
      <c r="G60" s="21"/>
      <c r="H60" s="21"/>
      <c r="I60" s="20"/>
      <c r="K60" s="487"/>
      <c r="L60" s="487"/>
      <c r="M60" s="487"/>
      <c r="N60" s="487"/>
      <c r="O60" s="487"/>
      <c r="P60" s="487"/>
      <c r="Q60" s="487"/>
      <c r="R60" s="487"/>
      <c r="S60" s="487"/>
      <c r="T60" s="487"/>
    </row>
    <row r="61" spans="1:20" x14ac:dyDescent="0.3">
      <c r="A61" s="18"/>
      <c r="B61" s="483" t="s">
        <v>3615</v>
      </c>
      <c r="C61" s="483"/>
      <c r="D61" s="483"/>
      <c r="E61" s="21"/>
      <c r="F61" s="21"/>
      <c r="G61" s="21"/>
      <c r="H61" s="21"/>
      <c r="I61" s="20"/>
      <c r="K61" s="487"/>
      <c r="L61" s="487"/>
      <c r="M61" s="487"/>
      <c r="N61" s="487"/>
      <c r="O61" s="487"/>
      <c r="P61" s="487"/>
      <c r="Q61" s="487"/>
      <c r="R61" s="487"/>
      <c r="S61" s="487"/>
      <c r="T61" s="487"/>
    </row>
    <row r="62" spans="1:20" x14ac:dyDescent="0.3">
      <c r="A62" s="18"/>
      <c r="B62" s="3" t="str">
        <f t="array" ref="B62:D65">_xll.U.PAD(_xll.U.ADDINS())</f>
        <v>Name</v>
      </c>
      <c r="C62" s="3" t="str">
        <v>Path</v>
      </c>
      <c r="D62" s="3" t="str">
        <v>Type</v>
      </c>
      <c r="E62" s="21"/>
      <c r="F62" s="21"/>
      <c r="G62" s="21"/>
      <c r="H62" s="21"/>
      <c r="I62" s="20"/>
      <c r="K62" s="483" t="s">
        <v>323</v>
      </c>
      <c r="L62" s="483"/>
      <c r="M62" s="483" t="s">
        <v>1</v>
      </c>
      <c r="N62" s="483"/>
      <c r="O62" s="483"/>
      <c r="P62" s="483"/>
      <c r="Q62" s="483"/>
      <c r="R62" s="483"/>
      <c r="S62" s="483"/>
      <c r="T62" s="85" t="s">
        <v>324</v>
      </c>
    </row>
    <row r="63" spans="1:20" x14ac:dyDescent="0.3">
      <c r="A63" s="18"/>
      <c r="B63" s="30" t="str">
        <v>Runline.U.AddIn.xll</v>
      </c>
      <c r="C63" s="30" t="str">
        <v>C:\Runline\U\Current</v>
      </c>
      <c r="D63" s="30" t="str">
        <v>Excel</v>
      </c>
      <c r="E63" s="21"/>
      <c r="F63" s="21"/>
      <c r="G63" s="21"/>
      <c r="H63" s="21"/>
      <c r="I63" s="20"/>
      <c r="K63" s="484" t="s">
        <v>322</v>
      </c>
      <c r="L63" s="484"/>
      <c r="M63" s="484" t="s">
        <v>1634</v>
      </c>
      <c r="N63" s="484"/>
      <c r="O63" s="484"/>
      <c r="P63" s="484"/>
      <c r="Q63" s="484"/>
      <c r="R63" s="484"/>
      <c r="S63" s="484"/>
      <c r="T63" s="485" t="s">
        <v>326</v>
      </c>
    </row>
    <row r="64" spans="1:20" x14ac:dyDescent="0.3">
      <c r="A64" s="18"/>
      <c r="B64" s="30" t="str">
        <v>Runline.U.AddIn</v>
      </c>
      <c r="C64" s="30" t="str">
        <v/>
      </c>
      <c r="D64" s="30" t="str">
        <v>COM</v>
      </c>
      <c r="E64" s="21"/>
      <c r="F64" s="21"/>
      <c r="G64" s="21"/>
      <c r="H64" s="21"/>
      <c r="I64" s="20"/>
      <c r="K64" s="484"/>
      <c r="L64" s="484"/>
      <c r="M64" s="484"/>
      <c r="N64" s="484"/>
      <c r="O64" s="484"/>
      <c r="P64" s="484"/>
      <c r="Q64" s="484"/>
      <c r="R64" s="484"/>
      <c r="S64" s="484"/>
      <c r="T64" s="485"/>
    </row>
    <row r="65" spans="1:20" x14ac:dyDescent="0.3">
      <c r="A65" s="18"/>
      <c r="B65" s="30" t="str">
        <v>Runline.U.AddIn-x64.xll</v>
      </c>
      <c r="C65" s="30" t="str">
        <v>C:\Runline\U\Current</v>
      </c>
      <c r="D65" s="30" t="str">
        <v>Excel</v>
      </c>
      <c r="E65" s="21"/>
      <c r="F65" s="21"/>
      <c r="G65" s="21"/>
      <c r="H65" s="21"/>
      <c r="I65" s="20"/>
      <c r="K65" s="484"/>
      <c r="L65" s="484"/>
      <c r="M65" s="484"/>
      <c r="N65" s="484"/>
      <c r="O65" s="484"/>
      <c r="P65" s="484"/>
      <c r="Q65" s="484"/>
      <c r="R65" s="484"/>
      <c r="S65" s="484"/>
      <c r="T65" s="485"/>
    </row>
    <row r="66" spans="1:20" x14ac:dyDescent="0.3">
      <c r="A66" s="18"/>
      <c r="B66" s="21"/>
      <c r="C66" s="21"/>
      <c r="D66" s="21"/>
      <c r="E66" s="21"/>
      <c r="F66" s="21"/>
      <c r="G66" s="21"/>
      <c r="H66" s="21"/>
      <c r="I66" s="20"/>
      <c r="K66" s="126" t="s">
        <v>328</v>
      </c>
    </row>
    <row r="67" spans="1:20" x14ac:dyDescent="0.3">
      <c r="A67" s="18"/>
      <c r="B67" s="21"/>
      <c r="C67" s="21"/>
      <c r="D67" s="21"/>
      <c r="E67" s="21"/>
      <c r="F67" s="21"/>
      <c r="G67" s="21"/>
      <c r="H67" s="21"/>
      <c r="I67" s="20"/>
      <c r="K67" s="126"/>
    </row>
    <row r="68" spans="1:20" x14ac:dyDescent="0.3">
      <c r="A68" s="18"/>
      <c r="B68" s="58" t="s">
        <v>3618</v>
      </c>
      <c r="C68" s="30" cm="1">
        <f t="array" ref="C68">_xll.U.PROCESS_ID()</f>
        <v>34856</v>
      </c>
      <c r="D68" s="21"/>
      <c r="E68" s="21"/>
      <c r="F68" s="21"/>
      <c r="G68" s="21"/>
      <c r="H68" s="21"/>
      <c r="I68" s="20"/>
    </row>
    <row r="69" spans="1:20" x14ac:dyDescent="0.3">
      <c r="A69" s="18"/>
      <c r="B69" s="21"/>
      <c r="C69" s="21"/>
      <c r="D69" s="21"/>
      <c r="E69" s="21"/>
      <c r="F69" s="21"/>
      <c r="G69" s="21"/>
      <c r="H69" s="21"/>
      <c r="I69" s="20"/>
      <c r="K69" s="486" t="s">
        <v>3611</v>
      </c>
      <c r="L69" s="486"/>
      <c r="M69" s="486"/>
      <c r="N69" s="486"/>
      <c r="O69" s="486"/>
      <c r="P69" s="486"/>
      <c r="Q69" s="486"/>
      <c r="R69" s="486"/>
      <c r="S69" s="486"/>
      <c r="T69" s="486"/>
    </row>
    <row r="70" spans="1:20" x14ac:dyDescent="0.3">
      <c r="A70" s="18"/>
      <c r="B70" s="21"/>
      <c r="C70" s="21"/>
      <c r="D70" s="21"/>
      <c r="E70" s="21"/>
      <c r="F70" s="21"/>
      <c r="G70" s="21"/>
      <c r="H70" s="21"/>
      <c r="I70" s="20"/>
      <c r="K70" s="487" t="s">
        <v>333</v>
      </c>
      <c r="L70" s="487"/>
      <c r="M70" s="487" t="s">
        <v>3871</v>
      </c>
      <c r="N70" s="487"/>
      <c r="O70" s="487"/>
      <c r="P70" s="487"/>
      <c r="Q70" s="487"/>
      <c r="R70" s="487"/>
      <c r="S70" s="487"/>
      <c r="T70" s="487"/>
    </row>
    <row r="71" spans="1:20" ht="15" customHeight="1" x14ac:dyDescent="0.3">
      <c r="A71" s="18"/>
      <c r="B71" s="58" t="s">
        <v>3619</v>
      </c>
      <c r="C71" s="30" t="str" cm="1">
        <f t="array" ref="C71">_xll.U.NETWORK_PATH("Z:\my_share\risk.xlsx")</f>
        <v>Z:\my_share\risk.xlsx</v>
      </c>
      <c r="D71" s="21"/>
      <c r="E71" s="21"/>
      <c r="F71" s="21"/>
      <c r="G71" s="21"/>
      <c r="H71" s="21"/>
      <c r="I71" s="20"/>
      <c r="K71" s="487"/>
      <c r="L71" s="487"/>
      <c r="M71" s="487"/>
      <c r="N71" s="487"/>
      <c r="O71" s="487"/>
      <c r="P71" s="487"/>
      <c r="Q71" s="487"/>
      <c r="R71" s="487"/>
      <c r="S71" s="487"/>
      <c r="T71" s="487"/>
    </row>
    <row r="72" spans="1:20" x14ac:dyDescent="0.3">
      <c r="A72" s="18"/>
      <c r="B72" s="21"/>
      <c r="C72" s="21"/>
      <c r="D72" s="21"/>
      <c r="E72" s="21"/>
      <c r="F72" s="21"/>
      <c r="G72" s="21"/>
      <c r="H72" s="21"/>
      <c r="I72" s="20"/>
      <c r="K72" s="487"/>
      <c r="L72" s="487"/>
      <c r="M72" s="487"/>
      <c r="N72" s="487"/>
      <c r="O72" s="487"/>
      <c r="P72" s="487"/>
      <c r="Q72" s="487"/>
      <c r="R72" s="487"/>
      <c r="S72" s="487"/>
      <c r="T72" s="487"/>
    </row>
    <row r="73" spans="1:20" x14ac:dyDescent="0.3">
      <c r="A73" s="18"/>
      <c r="B73" s="21"/>
      <c r="C73" s="21"/>
      <c r="D73" s="21"/>
      <c r="E73" s="21"/>
      <c r="F73" s="21"/>
      <c r="G73" s="21"/>
      <c r="H73" s="21"/>
      <c r="I73" s="20"/>
      <c r="K73" s="483" t="s">
        <v>323</v>
      </c>
      <c r="L73" s="483"/>
      <c r="M73" s="483" t="s">
        <v>1</v>
      </c>
      <c r="N73" s="483"/>
      <c r="O73" s="483"/>
      <c r="P73" s="483"/>
      <c r="Q73" s="483"/>
      <c r="R73" s="483"/>
      <c r="S73" s="483"/>
      <c r="T73" s="85" t="s">
        <v>324</v>
      </c>
    </row>
    <row r="74" spans="1:20" ht="15" customHeight="1" x14ac:dyDescent="0.3">
      <c r="A74" s="18"/>
      <c r="B74" s="21"/>
      <c r="C74" s="21"/>
      <c r="D74" s="21"/>
      <c r="E74" s="21"/>
      <c r="F74" s="21"/>
      <c r="G74" s="21"/>
      <c r="H74" s="21"/>
      <c r="I74" s="20"/>
      <c r="K74" s="496" t="s">
        <v>1631</v>
      </c>
      <c r="L74" s="497"/>
      <c r="M74" s="496" t="s">
        <v>3872</v>
      </c>
      <c r="N74" s="502"/>
      <c r="O74" s="502"/>
      <c r="P74" s="502"/>
      <c r="Q74" s="502"/>
      <c r="R74" s="502"/>
      <c r="S74" s="497"/>
      <c r="T74" s="505" t="s">
        <v>326</v>
      </c>
    </row>
    <row r="75" spans="1:20" ht="15" customHeight="1" x14ac:dyDescent="0.3">
      <c r="A75" s="18"/>
      <c r="B75" s="58" t="s">
        <v>3620</v>
      </c>
      <c r="C75" s="152" t="s">
        <v>3621</v>
      </c>
      <c r="D75" s="21"/>
      <c r="E75" s="21"/>
      <c r="F75" s="21"/>
      <c r="G75" s="21"/>
      <c r="H75" s="21"/>
      <c r="I75" s="20"/>
      <c r="K75" s="498"/>
      <c r="L75" s="499"/>
      <c r="M75" s="498"/>
      <c r="N75" s="503"/>
      <c r="O75" s="503"/>
      <c r="P75" s="503"/>
      <c r="Q75" s="503"/>
      <c r="R75" s="503"/>
      <c r="S75" s="499"/>
      <c r="T75" s="506"/>
    </row>
    <row r="76" spans="1:20" x14ac:dyDescent="0.3">
      <c r="A76" s="18"/>
      <c r="B76" s="21"/>
      <c r="C76" s="21"/>
      <c r="D76" s="21"/>
      <c r="E76" s="21"/>
      <c r="F76" s="21"/>
      <c r="G76" s="21"/>
      <c r="H76" s="21"/>
      <c r="I76" s="20"/>
      <c r="K76" s="500"/>
      <c r="L76" s="501"/>
      <c r="M76" s="500"/>
      <c r="N76" s="504"/>
      <c r="O76" s="504"/>
      <c r="P76" s="504"/>
      <c r="Q76" s="504"/>
      <c r="R76" s="504"/>
      <c r="S76" s="501"/>
      <c r="T76" s="507"/>
    </row>
    <row r="77" spans="1:20" ht="15" customHeight="1" x14ac:dyDescent="0.3">
      <c r="A77" s="18"/>
      <c r="B77" s="21"/>
      <c r="C77" s="21"/>
      <c r="D77" s="21"/>
      <c r="E77" s="21"/>
      <c r="F77" s="21"/>
      <c r="G77" s="21"/>
      <c r="H77" s="21"/>
      <c r="I77" s="20"/>
      <c r="K77" s="484" t="s">
        <v>750</v>
      </c>
      <c r="L77" s="484"/>
      <c r="M77" s="484" t="s">
        <v>3873</v>
      </c>
      <c r="N77" s="484"/>
      <c r="O77" s="484"/>
      <c r="P77" s="484"/>
      <c r="Q77" s="484"/>
      <c r="R77" s="484"/>
      <c r="S77" s="484"/>
      <c r="T77" s="485" t="s">
        <v>326</v>
      </c>
    </row>
    <row r="78" spans="1:20" x14ac:dyDescent="0.3">
      <c r="A78" s="18"/>
      <c r="B78" s="21"/>
      <c r="C78" s="21"/>
      <c r="D78" s="21"/>
      <c r="E78" s="21"/>
      <c r="F78" s="21"/>
      <c r="G78" s="21"/>
      <c r="H78" s="21"/>
      <c r="I78" s="20"/>
      <c r="K78" s="484"/>
      <c r="L78" s="484"/>
      <c r="M78" s="484"/>
      <c r="N78" s="484"/>
      <c r="O78" s="484"/>
      <c r="P78" s="484"/>
      <c r="Q78" s="484"/>
      <c r="R78" s="484"/>
      <c r="S78" s="484"/>
      <c r="T78" s="485"/>
    </row>
    <row r="79" spans="1:20" x14ac:dyDescent="0.3">
      <c r="A79" s="18"/>
      <c r="B79" s="21"/>
      <c r="C79" s="21"/>
      <c r="D79" s="21"/>
      <c r="E79" s="21"/>
      <c r="F79" s="21"/>
      <c r="G79" s="21"/>
      <c r="H79" s="21"/>
      <c r="I79" s="20"/>
      <c r="K79" s="484"/>
      <c r="L79" s="484"/>
      <c r="M79" s="484"/>
      <c r="N79" s="484"/>
      <c r="O79" s="484"/>
      <c r="P79" s="484"/>
      <c r="Q79" s="484"/>
      <c r="R79" s="484"/>
      <c r="S79" s="484"/>
      <c r="T79" s="485"/>
    </row>
    <row r="80" spans="1:20" x14ac:dyDescent="0.3">
      <c r="A80" s="18"/>
      <c r="B80" s="492" t="s">
        <v>3622</v>
      </c>
      <c r="C80" s="493"/>
      <c r="D80" s="21"/>
      <c r="E80" s="21"/>
      <c r="F80" s="21"/>
      <c r="G80" s="21"/>
      <c r="H80" s="21"/>
      <c r="I80" s="20"/>
      <c r="K80" s="484" t="s">
        <v>720</v>
      </c>
      <c r="L80" s="484"/>
      <c r="M80" s="484" t="s">
        <v>2221</v>
      </c>
      <c r="N80" s="484"/>
      <c r="O80" s="484"/>
      <c r="P80" s="484"/>
      <c r="Q80" s="484"/>
      <c r="R80" s="484"/>
      <c r="S80" s="484"/>
      <c r="T80" s="485" t="s">
        <v>326</v>
      </c>
    </row>
    <row r="81" spans="1:20" x14ac:dyDescent="0.3">
      <c r="A81" s="18"/>
      <c r="B81" s="30" t="str">
        <f t="array" ref="B81:C83">_xll.U.HELP()</f>
        <v>Usage Doc:</v>
      </c>
      <c r="C81" s="30" t="str">
        <v>Refer to C:\Runline\U\Current\U_UsageExamplex.xlsx for annotated usage examples of each U Add-In method</v>
      </c>
      <c r="D81" s="21"/>
      <c r="E81" s="21"/>
      <c r="F81" s="21"/>
      <c r="G81" s="21"/>
      <c r="H81" s="21"/>
      <c r="I81" s="20"/>
      <c r="K81" s="484"/>
      <c r="L81" s="484"/>
      <c r="M81" s="484"/>
      <c r="N81" s="484"/>
      <c r="O81" s="484"/>
      <c r="P81" s="484"/>
      <c r="Q81" s="484"/>
      <c r="R81" s="484"/>
      <c r="S81" s="484"/>
      <c r="T81" s="485"/>
    </row>
    <row r="82" spans="1:20" x14ac:dyDescent="0.3">
      <c r="A82" s="18"/>
      <c r="B82" s="30" t="str">
        <v>Advanced Usage Doc:</v>
      </c>
      <c r="C82" s="30" t="str">
        <v>Refer to C:\Runline\U\Current\U_AdvancedUsageRecipes.xlsx for examples of a few advanced scenarios</v>
      </c>
      <c r="D82" s="21"/>
      <c r="E82" s="21"/>
      <c r="F82" s="21"/>
      <c r="G82" s="21"/>
      <c r="H82" s="21"/>
      <c r="I82" s="20"/>
      <c r="K82" s="484"/>
      <c r="L82" s="484"/>
      <c r="M82" s="484"/>
      <c r="N82" s="484"/>
      <c r="O82" s="484"/>
      <c r="P82" s="484"/>
      <c r="Q82" s="484"/>
      <c r="R82" s="484"/>
      <c r="S82" s="484"/>
      <c r="T82" s="485"/>
    </row>
    <row r="83" spans="1:20" ht="15" customHeight="1" x14ac:dyDescent="0.3">
      <c r="A83" s="18"/>
      <c r="B83" s="30" t="str">
        <v>Contact:</v>
      </c>
      <c r="C83" s="30" t="str">
        <v>Email help@runline.com for usage guidance or to resolve issues</v>
      </c>
      <c r="D83" s="21"/>
      <c r="E83" s="21"/>
      <c r="F83" s="21"/>
      <c r="G83" s="21"/>
      <c r="H83" s="21"/>
      <c r="I83" s="20"/>
      <c r="K83" s="484" t="s">
        <v>2218</v>
      </c>
      <c r="L83" s="484"/>
      <c r="M83" s="484" t="s">
        <v>2219</v>
      </c>
      <c r="N83" s="484"/>
      <c r="O83" s="484"/>
      <c r="P83" s="484"/>
      <c r="Q83" s="484"/>
      <c r="R83" s="484"/>
      <c r="S83" s="484"/>
      <c r="T83" s="485" t="s">
        <v>326</v>
      </c>
    </row>
    <row r="84" spans="1:20" x14ac:dyDescent="0.3">
      <c r="A84" s="18"/>
      <c r="B84" s="21"/>
      <c r="C84" s="21"/>
      <c r="D84" s="21"/>
      <c r="E84" s="21"/>
      <c r="F84" s="21"/>
      <c r="G84" s="21"/>
      <c r="H84" s="21"/>
      <c r="I84" s="20"/>
      <c r="K84" s="484"/>
      <c r="L84" s="484"/>
      <c r="M84" s="484"/>
      <c r="N84" s="484"/>
      <c r="O84" s="484"/>
      <c r="P84" s="484"/>
      <c r="Q84" s="484"/>
      <c r="R84" s="484"/>
      <c r="S84" s="484"/>
      <c r="T84" s="485"/>
    </row>
    <row r="85" spans="1:20" x14ac:dyDescent="0.3">
      <c r="A85" s="18"/>
      <c r="B85" s="21"/>
      <c r="C85" s="21"/>
      <c r="D85" s="21"/>
      <c r="E85" s="21"/>
      <c r="F85" s="21"/>
      <c r="G85" s="21"/>
      <c r="H85" s="21"/>
      <c r="I85" s="20"/>
      <c r="K85" s="484"/>
      <c r="L85" s="484"/>
      <c r="M85" s="484"/>
      <c r="N85" s="484"/>
      <c r="O85" s="484"/>
      <c r="P85" s="484"/>
      <c r="Q85" s="484"/>
      <c r="R85" s="484"/>
      <c r="S85" s="484"/>
      <c r="T85" s="485"/>
    </row>
    <row r="86" spans="1:20" x14ac:dyDescent="0.3">
      <c r="A86" s="18"/>
      <c r="B86" s="21"/>
      <c r="C86" s="21"/>
      <c r="D86" s="21"/>
      <c r="E86" s="21"/>
      <c r="F86" s="21"/>
      <c r="G86" s="21"/>
      <c r="H86" s="21"/>
      <c r="I86" s="20"/>
      <c r="K86" s="496" t="s">
        <v>2299</v>
      </c>
      <c r="L86" s="497"/>
      <c r="M86" s="496" t="s">
        <v>3088</v>
      </c>
      <c r="N86" s="502"/>
      <c r="O86" s="502"/>
      <c r="P86" s="502"/>
      <c r="Q86" s="502"/>
      <c r="R86" s="502"/>
      <c r="S86" s="497"/>
      <c r="T86" s="505" t="s">
        <v>326</v>
      </c>
    </row>
    <row r="87" spans="1:20" x14ac:dyDescent="0.3">
      <c r="A87" s="18"/>
      <c r="B87" s="101" t="s">
        <v>3623</v>
      </c>
      <c r="C87" s="21"/>
      <c r="D87" s="21"/>
      <c r="E87" s="21"/>
      <c r="F87" s="21"/>
      <c r="G87" s="21"/>
      <c r="H87" s="21"/>
      <c r="I87" s="20"/>
      <c r="K87" s="498"/>
      <c r="L87" s="499"/>
      <c r="M87" s="498"/>
      <c r="N87" s="503"/>
      <c r="O87" s="503"/>
      <c r="P87" s="503"/>
      <c r="Q87" s="503"/>
      <c r="R87" s="503"/>
      <c r="S87" s="499"/>
      <c r="T87" s="506"/>
    </row>
    <row r="88" spans="1:20" x14ac:dyDescent="0.3">
      <c r="A88" s="18"/>
      <c r="B88" s="30" cm="1">
        <f t="array" ref="B88">_xll.U.RTD_THROTTLE_MILLIS()</f>
        <v>10</v>
      </c>
      <c r="C88" s="21"/>
      <c r="D88" s="21"/>
      <c r="E88" s="21"/>
      <c r="F88" s="21"/>
      <c r="G88" s="21"/>
      <c r="H88" s="21"/>
      <c r="I88" s="20"/>
      <c r="K88" s="500"/>
      <c r="L88" s="501"/>
      <c r="M88" s="500"/>
      <c r="N88" s="504"/>
      <c r="O88" s="504"/>
      <c r="P88" s="504"/>
      <c r="Q88" s="504"/>
      <c r="R88" s="504"/>
      <c r="S88" s="501"/>
      <c r="T88" s="507"/>
    </row>
    <row r="89" spans="1:20" x14ac:dyDescent="0.3">
      <c r="A89" s="18"/>
      <c r="B89" s="21"/>
      <c r="C89" s="21"/>
      <c r="D89" s="21"/>
      <c r="E89" s="21"/>
      <c r="F89" s="21"/>
      <c r="G89" s="21"/>
      <c r="H89" s="21"/>
      <c r="I89" s="20"/>
      <c r="K89" s="126" t="s">
        <v>328</v>
      </c>
    </row>
    <row r="90" spans="1:20" x14ac:dyDescent="0.3">
      <c r="A90" s="18"/>
      <c r="B90" s="21"/>
      <c r="C90" s="21"/>
      <c r="D90" s="21"/>
      <c r="E90" s="21"/>
      <c r="F90" s="21"/>
      <c r="G90" s="21"/>
      <c r="H90" s="21"/>
      <c r="I90" s="20"/>
      <c r="K90" s="126"/>
    </row>
    <row r="91" spans="1:20" x14ac:dyDescent="0.3">
      <c r="A91" s="18"/>
      <c r="B91" s="21"/>
      <c r="C91" s="21"/>
      <c r="D91" s="21"/>
      <c r="E91" s="21"/>
      <c r="F91" s="21"/>
      <c r="G91" s="21"/>
      <c r="H91" s="21"/>
      <c r="I91" s="20"/>
    </row>
    <row r="92" spans="1:20" x14ac:dyDescent="0.3">
      <c r="A92" s="18"/>
      <c r="B92" s="21"/>
      <c r="C92" s="21"/>
      <c r="D92" s="21"/>
      <c r="E92" s="21"/>
      <c r="F92" s="21"/>
      <c r="G92" s="21"/>
      <c r="H92" s="21"/>
      <c r="I92" s="20"/>
      <c r="K92" s="486" t="s">
        <v>3613</v>
      </c>
      <c r="L92" s="486"/>
      <c r="M92" s="486"/>
      <c r="N92" s="486"/>
      <c r="O92" s="486"/>
      <c r="P92" s="486"/>
      <c r="Q92" s="486"/>
      <c r="R92" s="486"/>
      <c r="S92" s="486"/>
      <c r="T92" s="486"/>
    </row>
    <row r="93" spans="1:20" x14ac:dyDescent="0.3">
      <c r="A93" s="18"/>
      <c r="B93" s="21"/>
      <c r="C93" s="21"/>
      <c r="D93" s="21"/>
      <c r="E93" s="21"/>
      <c r="F93" s="21"/>
      <c r="G93" s="21"/>
      <c r="H93" s="21"/>
      <c r="I93" s="20"/>
      <c r="K93" s="487" t="s">
        <v>333</v>
      </c>
      <c r="L93" s="487"/>
      <c r="M93" s="487" t="s">
        <v>3849</v>
      </c>
      <c r="N93" s="487"/>
      <c r="O93" s="487"/>
      <c r="P93" s="487"/>
      <c r="Q93" s="487"/>
      <c r="R93" s="487"/>
      <c r="S93" s="487"/>
      <c r="T93" s="487"/>
    </row>
    <row r="94" spans="1:20" x14ac:dyDescent="0.3">
      <c r="A94" s="18"/>
      <c r="B94" s="475" t="s">
        <v>3623</v>
      </c>
      <c r="C94" s="475"/>
      <c r="D94" s="21"/>
      <c r="E94" s="21"/>
      <c r="F94" s="21"/>
      <c r="G94" s="21"/>
      <c r="H94" s="21"/>
      <c r="I94" s="20"/>
      <c r="K94" s="487"/>
      <c r="L94" s="487"/>
      <c r="M94" s="487"/>
      <c r="N94" s="487"/>
      <c r="O94" s="487"/>
      <c r="P94" s="487"/>
      <c r="Q94" s="487"/>
      <c r="R94" s="487"/>
      <c r="S94" s="487"/>
      <c r="T94" s="487"/>
    </row>
    <row r="95" spans="1:20" x14ac:dyDescent="0.3">
      <c r="A95" s="18"/>
      <c r="B95" s="85" t="str">
        <f t="array" ref="B95:C98">_xll.U.RTD_THROTTLE_MILLIS()</f>
        <v>Source</v>
      </c>
      <c r="C95" s="85" t="str">
        <v>Value</v>
      </c>
      <c r="D95" s="21"/>
      <c r="E95" s="21"/>
      <c r="F95" s="21"/>
      <c r="G95" s="21"/>
      <c r="H95" s="21"/>
      <c r="I95" s="20"/>
      <c r="K95" s="487"/>
      <c r="L95" s="487"/>
      <c r="M95" s="487"/>
      <c r="N95" s="487"/>
      <c r="O95" s="487"/>
      <c r="P95" s="487"/>
      <c r="Q95" s="487"/>
      <c r="R95" s="487"/>
      <c r="S95" s="487"/>
      <c r="T95" s="487"/>
    </row>
    <row r="96" spans="1:20" x14ac:dyDescent="0.3">
      <c r="A96" s="18"/>
      <c r="B96" s="30" t="str">
        <v>REGISTRY (Current)</v>
      </c>
      <c r="C96" s="30">
        <v>10</v>
      </c>
      <c r="D96" s="21"/>
      <c r="E96" s="21"/>
      <c r="F96" s="21"/>
      <c r="G96" s="21"/>
      <c r="H96" s="21"/>
      <c r="I96" s="20"/>
      <c r="K96" s="483" t="s">
        <v>323</v>
      </c>
      <c r="L96" s="483"/>
      <c r="M96" s="483" t="s">
        <v>1</v>
      </c>
      <c r="N96" s="483"/>
      <c r="O96" s="483"/>
      <c r="P96" s="483"/>
      <c r="Q96" s="483"/>
      <c r="R96" s="483"/>
      <c r="S96" s="483"/>
      <c r="T96" s="85" t="s">
        <v>324</v>
      </c>
    </row>
    <row r="97" spans="1:20" x14ac:dyDescent="0.3">
      <c r="A97" s="18"/>
      <c r="B97" s="30" t="str">
        <v>REGISTRY (Startup)</v>
      </c>
      <c r="C97" s="30">
        <v>10</v>
      </c>
      <c r="D97" s="21"/>
      <c r="E97" s="21"/>
      <c r="F97" s="21"/>
      <c r="G97" s="21"/>
      <c r="H97" s="21"/>
      <c r="I97" s="20"/>
      <c r="K97" s="516" t="s">
        <v>431</v>
      </c>
      <c r="L97" s="517"/>
      <c r="M97" s="517"/>
      <c r="N97" s="517"/>
      <c r="O97" s="517"/>
      <c r="P97" s="517"/>
      <c r="Q97" s="517"/>
      <c r="R97" s="517"/>
      <c r="S97" s="517"/>
      <c r="T97" s="518"/>
    </row>
    <row r="98" spans="1:20" x14ac:dyDescent="0.3">
      <c r="A98" s="18"/>
      <c r="B98" s="30" t="str">
        <v>CONFIG</v>
      </c>
      <c r="C98" s="30">
        <v>100</v>
      </c>
      <c r="D98" s="21"/>
      <c r="E98" s="21"/>
      <c r="F98" s="21"/>
      <c r="G98" s="21"/>
      <c r="H98" s="21"/>
      <c r="I98" s="20"/>
    </row>
    <row r="99" spans="1:20" x14ac:dyDescent="0.3">
      <c r="A99" s="18"/>
      <c r="B99" s="21"/>
      <c r="C99" s="21"/>
      <c r="D99" s="21"/>
      <c r="E99" s="21"/>
      <c r="F99" s="21"/>
      <c r="G99" s="21"/>
      <c r="H99" s="21"/>
      <c r="I99" s="20"/>
    </row>
    <row r="100" spans="1:20" x14ac:dyDescent="0.3">
      <c r="A100" s="18"/>
      <c r="B100" s="21"/>
      <c r="C100" s="21"/>
      <c r="D100" s="21"/>
      <c r="E100" s="21"/>
      <c r="F100" s="21"/>
      <c r="G100" s="21"/>
      <c r="H100" s="21"/>
      <c r="I100" s="20"/>
      <c r="K100" s="486" t="s">
        <v>3614</v>
      </c>
      <c r="L100" s="486"/>
      <c r="M100" s="486"/>
      <c r="N100" s="486"/>
      <c r="O100" s="486"/>
      <c r="P100" s="486"/>
      <c r="Q100" s="486"/>
      <c r="R100" s="486"/>
      <c r="S100" s="486"/>
      <c r="T100" s="486"/>
    </row>
    <row r="101" spans="1:20" x14ac:dyDescent="0.3">
      <c r="A101" s="18"/>
      <c r="B101" s="21"/>
      <c r="C101" s="21"/>
      <c r="D101" s="21"/>
      <c r="E101" s="21"/>
      <c r="F101" s="21"/>
      <c r="G101" s="21"/>
      <c r="H101" s="21"/>
      <c r="I101" s="20"/>
      <c r="K101" s="487" t="s">
        <v>333</v>
      </c>
      <c r="L101" s="487"/>
      <c r="M101" s="487" t="s">
        <v>3850</v>
      </c>
      <c r="N101" s="487"/>
      <c r="O101" s="487"/>
      <c r="P101" s="487"/>
      <c r="Q101" s="487"/>
      <c r="R101" s="487"/>
      <c r="S101" s="487"/>
      <c r="T101" s="487"/>
    </row>
    <row r="102" spans="1:20" x14ac:dyDescent="0.3">
      <c r="A102" s="18"/>
      <c r="B102" s="21"/>
      <c r="C102" s="21"/>
      <c r="D102" s="21"/>
      <c r="E102" s="21"/>
      <c r="F102" s="21"/>
      <c r="G102" s="21"/>
      <c r="H102" s="21"/>
      <c r="I102" s="20"/>
      <c r="K102" s="487"/>
      <c r="L102" s="487"/>
      <c r="M102" s="487"/>
      <c r="N102" s="487"/>
      <c r="O102" s="487"/>
      <c r="P102" s="487"/>
      <c r="Q102" s="487"/>
      <c r="R102" s="487"/>
      <c r="S102" s="487"/>
      <c r="T102" s="487"/>
    </row>
    <row r="103" spans="1:20" x14ac:dyDescent="0.3">
      <c r="A103" s="18"/>
      <c r="B103" s="21"/>
      <c r="C103" s="21"/>
      <c r="D103" s="21"/>
      <c r="E103" s="21"/>
      <c r="F103" s="21"/>
      <c r="G103" s="21"/>
      <c r="H103" s="21"/>
      <c r="I103" s="20"/>
      <c r="K103" s="487"/>
      <c r="L103" s="487"/>
      <c r="M103" s="487"/>
      <c r="N103" s="487"/>
      <c r="O103" s="487"/>
      <c r="P103" s="487"/>
      <c r="Q103" s="487"/>
      <c r="R103" s="487"/>
      <c r="S103" s="487"/>
      <c r="T103" s="487"/>
    </row>
    <row r="104" spans="1:20" x14ac:dyDescent="0.3">
      <c r="A104" s="18"/>
      <c r="B104" s="21"/>
      <c r="C104" s="21"/>
      <c r="D104" s="21"/>
      <c r="E104" s="21"/>
      <c r="F104" s="21"/>
      <c r="G104" s="21"/>
      <c r="H104" s="21"/>
      <c r="I104" s="20"/>
      <c r="K104" s="483" t="s">
        <v>323</v>
      </c>
      <c r="L104" s="483"/>
      <c r="M104" s="483" t="s">
        <v>1</v>
      </c>
      <c r="N104" s="483"/>
      <c r="O104" s="483"/>
      <c r="P104" s="483"/>
      <c r="Q104" s="483"/>
      <c r="R104" s="483"/>
      <c r="S104" s="483"/>
      <c r="T104" s="85" t="s">
        <v>324</v>
      </c>
    </row>
    <row r="105" spans="1:20" ht="15" customHeight="1" x14ac:dyDescent="0.3">
      <c r="A105" s="18"/>
      <c r="B105" s="21"/>
      <c r="C105" s="21"/>
      <c r="D105" s="21"/>
      <c r="E105" s="21"/>
      <c r="F105" s="21"/>
      <c r="G105" s="21"/>
      <c r="H105" s="21"/>
      <c r="I105" s="20"/>
      <c r="K105" s="484" t="s">
        <v>3737</v>
      </c>
      <c r="L105" s="484"/>
      <c r="M105" s="484" t="s">
        <v>3738</v>
      </c>
      <c r="N105" s="484"/>
      <c r="O105" s="484"/>
      <c r="P105" s="484"/>
      <c r="Q105" s="484"/>
      <c r="R105" s="484"/>
      <c r="S105" s="484"/>
      <c r="T105" s="485" t="s">
        <v>326</v>
      </c>
    </row>
    <row r="106" spans="1:20" x14ac:dyDescent="0.3">
      <c r="A106" s="18"/>
      <c r="B106" s="21"/>
      <c r="C106" s="21"/>
      <c r="D106" s="21"/>
      <c r="E106" s="21"/>
      <c r="F106" s="21"/>
      <c r="G106" s="21"/>
      <c r="H106" s="21"/>
      <c r="I106" s="20"/>
      <c r="K106" s="484"/>
      <c r="L106" s="484"/>
      <c r="M106" s="484"/>
      <c r="N106" s="484"/>
      <c r="O106" s="484"/>
      <c r="P106" s="484"/>
      <c r="Q106" s="484"/>
      <c r="R106" s="484"/>
      <c r="S106" s="484"/>
      <c r="T106" s="485"/>
    </row>
    <row r="107" spans="1:20" x14ac:dyDescent="0.3">
      <c r="A107" s="18"/>
      <c r="B107" s="21"/>
      <c r="C107" s="21"/>
      <c r="D107" s="21"/>
      <c r="E107" s="21"/>
      <c r="F107" s="21"/>
      <c r="G107" s="21"/>
      <c r="H107" s="21"/>
      <c r="I107" s="20"/>
      <c r="K107" s="484"/>
      <c r="L107" s="484"/>
      <c r="M107" s="484"/>
      <c r="N107" s="484"/>
      <c r="O107" s="484"/>
      <c r="P107" s="484"/>
      <c r="Q107" s="484"/>
      <c r="R107" s="484"/>
      <c r="S107" s="484"/>
      <c r="T107" s="485"/>
    </row>
    <row r="108" spans="1:20" x14ac:dyDescent="0.3">
      <c r="A108" s="18"/>
      <c r="B108" s="21"/>
      <c r="C108" s="21"/>
      <c r="D108" s="21"/>
      <c r="E108" s="21"/>
      <c r="F108" s="21"/>
      <c r="G108" s="21"/>
      <c r="H108" s="21"/>
      <c r="I108" s="20"/>
      <c r="K108" s="496" t="s">
        <v>2299</v>
      </c>
      <c r="L108" s="497"/>
      <c r="M108" s="496" t="s">
        <v>3088</v>
      </c>
      <c r="N108" s="502"/>
      <c r="O108" s="502"/>
      <c r="P108" s="502"/>
      <c r="Q108" s="502"/>
      <c r="R108" s="502"/>
      <c r="S108" s="497"/>
      <c r="T108" s="505" t="s">
        <v>326</v>
      </c>
    </row>
    <row r="109" spans="1:20" x14ac:dyDescent="0.3">
      <c r="A109" s="18"/>
      <c r="B109" s="21"/>
      <c r="C109" s="21"/>
      <c r="D109" s="21"/>
      <c r="E109" s="21"/>
      <c r="F109" s="21"/>
      <c r="G109" s="21"/>
      <c r="H109" s="21"/>
      <c r="I109" s="20"/>
      <c r="K109" s="498"/>
      <c r="L109" s="499"/>
      <c r="M109" s="498"/>
      <c r="N109" s="503"/>
      <c r="O109" s="503"/>
      <c r="P109" s="503"/>
      <c r="Q109" s="503"/>
      <c r="R109" s="503"/>
      <c r="S109" s="499"/>
      <c r="T109" s="506"/>
    </row>
    <row r="110" spans="1:20" x14ac:dyDescent="0.3">
      <c r="A110" s="18"/>
      <c r="B110" s="21"/>
      <c r="C110" s="21"/>
      <c r="D110" s="21"/>
      <c r="E110" s="21"/>
      <c r="F110" s="21"/>
      <c r="G110" s="21"/>
      <c r="H110" s="21"/>
      <c r="I110" s="20"/>
      <c r="K110" s="500"/>
      <c r="L110" s="501"/>
      <c r="M110" s="500"/>
      <c r="N110" s="504"/>
      <c r="O110" s="504"/>
      <c r="P110" s="504"/>
      <c r="Q110" s="504"/>
      <c r="R110" s="504"/>
      <c r="S110" s="501"/>
      <c r="T110" s="507"/>
    </row>
    <row r="111" spans="1:20" x14ac:dyDescent="0.3">
      <c r="A111" s="18"/>
      <c r="B111" s="21"/>
      <c r="C111" s="21"/>
      <c r="D111" s="21"/>
      <c r="E111" s="21"/>
      <c r="F111" s="21"/>
      <c r="G111" s="21"/>
      <c r="H111" s="21"/>
      <c r="I111" s="20"/>
      <c r="K111" s="126" t="s">
        <v>328</v>
      </c>
    </row>
    <row r="112" spans="1:20" x14ac:dyDescent="0.3">
      <c r="A112" s="18"/>
      <c r="B112" s="101" t="s">
        <v>3624</v>
      </c>
      <c r="C112" s="21"/>
      <c r="D112" s="21"/>
      <c r="E112" s="21"/>
      <c r="F112" s="21"/>
      <c r="G112" s="21"/>
      <c r="H112" s="21"/>
      <c r="I112" s="20"/>
    </row>
    <row r="113" spans="1:20" x14ac:dyDescent="0.3">
      <c r="A113" s="18"/>
      <c r="B113" s="94" cm="1">
        <f t="array" ref="B113">_xll.U.LOG("This will be written to U Log file")</f>
        <v>46072.452947141202</v>
      </c>
      <c r="C113" s="21"/>
      <c r="D113" s="21"/>
      <c r="E113" s="21"/>
      <c r="F113" s="21"/>
      <c r="G113" s="21"/>
      <c r="H113" s="21"/>
      <c r="I113" s="20"/>
    </row>
    <row r="114" spans="1:20" x14ac:dyDescent="0.3">
      <c r="A114" s="18"/>
      <c r="B114" s="21"/>
      <c r="C114" s="21"/>
      <c r="D114" s="21"/>
      <c r="E114" s="21"/>
      <c r="F114" s="21"/>
      <c r="G114" s="21"/>
      <c r="H114" s="21"/>
      <c r="I114" s="20"/>
      <c r="K114" s="486" t="s">
        <v>3615</v>
      </c>
      <c r="L114" s="486"/>
      <c r="M114" s="486"/>
      <c r="N114" s="486"/>
      <c r="O114" s="486"/>
      <c r="P114" s="486"/>
      <c r="Q114" s="486"/>
      <c r="R114" s="486"/>
      <c r="S114" s="486"/>
      <c r="T114" s="486"/>
    </row>
    <row r="115" spans="1:20" x14ac:dyDescent="0.3">
      <c r="A115" s="18"/>
      <c r="B115" s="21"/>
      <c r="C115" s="21"/>
      <c r="D115" s="21"/>
      <c r="E115" s="21"/>
      <c r="F115" s="21"/>
      <c r="G115" s="21"/>
      <c r="H115" s="21"/>
      <c r="I115" s="20"/>
      <c r="K115" s="487" t="s">
        <v>333</v>
      </c>
      <c r="L115" s="487"/>
      <c r="M115" s="487" t="s">
        <v>2626</v>
      </c>
      <c r="N115" s="487"/>
      <c r="O115" s="487"/>
      <c r="P115" s="487"/>
      <c r="Q115" s="487"/>
      <c r="R115" s="487"/>
      <c r="S115" s="487"/>
      <c r="T115" s="487"/>
    </row>
    <row r="116" spans="1:20" x14ac:dyDescent="0.3">
      <c r="A116" s="18"/>
      <c r="B116" s="21"/>
      <c r="C116" s="21"/>
      <c r="D116" s="21"/>
      <c r="E116" s="21"/>
      <c r="F116" s="21"/>
      <c r="G116" s="21"/>
      <c r="H116" s="21"/>
      <c r="I116" s="20"/>
      <c r="K116" s="487"/>
      <c r="L116" s="487"/>
      <c r="M116" s="487"/>
      <c r="N116" s="487"/>
      <c r="O116" s="487"/>
      <c r="P116" s="487"/>
      <c r="Q116" s="487"/>
      <c r="R116" s="487"/>
      <c r="S116" s="487"/>
      <c r="T116" s="487"/>
    </row>
    <row r="117" spans="1:20" x14ac:dyDescent="0.3">
      <c r="A117" s="18"/>
      <c r="B117" s="21"/>
      <c r="C117" s="21"/>
      <c r="D117" s="21"/>
      <c r="E117" s="21"/>
      <c r="F117" s="21"/>
      <c r="G117" s="21"/>
      <c r="H117" s="21"/>
      <c r="I117" s="20"/>
      <c r="K117" s="487"/>
      <c r="L117" s="487"/>
      <c r="M117" s="487"/>
      <c r="N117" s="487"/>
      <c r="O117" s="487"/>
      <c r="P117" s="487"/>
      <c r="Q117" s="487"/>
      <c r="R117" s="487"/>
      <c r="S117" s="487"/>
      <c r="T117" s="487"/>
    </row>
    <row r="118" spans="1:20" x14ac:dyDescent="0.3">
      <c r="A118" s="18"/>
      <c r="B118" s="101" t="s">
        <v>3625</v>
      </c>
      <c r="C118" s="21"/>
      <c r="D118" s="21"/>
      <c r="E118" s="21"/>
      <c r="F118" s="21"/>
      <c r="G118" s="21"/>
      <c r="H118" s="21"/>
      <c r="I118" s="20"/>
      <c r="K118" s="483" t="s">
        <v>323</v>
      </c>
      <c r="L118" s="483"/>
      <c r="M118" s="483" t="s">
        <v>1</v>
      </c>
      <c r="N118" s="483"/>
      <c r="O118" s="483"/>
      <c r="P118" s="483"/>
      <c r="Q118" s="483"/>
      <c r="R118" s="483"/>
      <c r="S118" s="483"/>
      <c r="T118" s="85" t="s">
        <v>324</v>
      </c>
    </row>
    <row r="119" spans="1:20" x14ac:dyDescent="0.3">
      <c r="A119" s="18"/>
      <c r="B119" s="150" t="s">
        <v>3326</v>
      </c>
      <c r="C119" s="21"/>
      <c r="D119" s="21"/>
      <c r="E119" s="21"/>
      <c r="F119" s="21"/>
      <c r="G119" s="21"/>
      <c r="H119" s="21"/>
      <c r="I119" s="20"/>
      <c r="K119" s="488" t="s">
        <v>1906</v>
      </c>
      <c r="L119" s="488"/>
      <c r="M119" s="488" t="s">
        <v>2624</v>
      </c>
      <c r="N119" s="488"/>
      <c r="O119" s="488"/>
      <c r="P119" s="488"/>
      <c r="Q119" s="488"/>
      <c r="R119" s="488"/>
      <c r="S119" s="488"/>
      <c r="T119" s="489" t="s">
        <v>325</v>
      </c>
    </row>
    <row r="120" spans="1:20" x14ac:dyDescent="0.3">
      <c r="A120" s="18"/>
      <c r="B120" s="21"/>
      <c r="C120" s="21"/>
      <c r="D120" s="21"/>
      <c r="E120" s="21"/>
      <c r="F120" s="21"/>
      <c r="G120" s="21"/>
      <c r="H120" s="21"/>
      <c r="I120" s="20"/>
      <c r="K120" s="488"/>
      <c r="L120" s="488"/>
      <c r="M120" s="488"/>
      <c r="N120" s="488"/>
      <c r="O120" s="488"/>
      <c r="P120" s="488"/>
      <c r="Q120" s="488"/>
      <c r="R120" s="488"/>
      <c r="S120" s="488"/>
      <c r="T120" s="489"/>
    </row>
    <row r="121" spans="1:20" ht="15" thickBot="1" x14ac:dyDescent="0.35">
      <c r="A121" s="22"/>
      <c r="B121" s="23"/>
      <c r="C121" s="23"/>
      <c r="D121" s="23"/>
      <c r="E121" s="23"/>
      <c r="F121" s="23"/>
      <c r="G121" s="23"/>
      <c r="H121" s="23"/>
      <c r="I121" s="24"/>
      <c r="K121" s="488"/>
      <c r="L121" s="488"/>
      <c r="M121" s="488"/>
      <c r="N121" s="488"/>
      <c r="O121" s="488"/>
      <c r="P121" s="488"/>
      <c r="Q121" s="488"/>
      <c r="R121" s="488"/>
      <c r="S121" s="488"/>
      <c r="T121" s="489"/>
    </row>
    <row r="122" spans="1:20" ht="15" customHeight="1" x14ac:dyDescent="0.3">
      <c r="K122" s="488" t="s">
        <v>1822</v>
      </c>
      <c r="L122" s="488"/>
      <c r="M122" s="488" t="s">
        <v>2625</v>
      </c>
      <c r="N122" s="488"/>
      <c r="O122" s="488"/>
      <c r="P122" s="488"/>
      <c r="Q122" s="488"/>
      <c r="R122" s="488"/>
      <c r="S122" s="488"/>
      <c r="T122" s="489" t="s">
        <v>325</v>
      </c>
    </row>
    <row r="123" spans="1:20" x14ac:dyDescent="0.3">
      <c r="K123" s="488"/>
      <c r="L123" s="488"/>
      <c r="M123" s="488"/>
      <c r="N123" s="488"/>
      <c r="O123" s="488"/>
      <c r="P123" s="488"/>
      <c r="Q123" s="488"/>
      <c r="R123" s="488"/>
      <c r="S123" s="488"/>
      <c r="T123" s="489"/>
    </row>
    <row r="124" spans="1:20" x14ac:dyDescent="0.3">
      <c r="K124" s="488"/>
      <c r="L124" s="488"/>
      <c r="M124" s="488"/>
      <c r="N124" s="488"/>
      <c r="O124" s="488"/>
      <c r="P124" s="488"/>
      <c r="Q124" s="488"/>
      <c r="R124" s="488"/>
      <c r="S124" s="488"/>
      <c r="T124" s="489"/>
    </row>
    <row r="125" spans="1:20" x14ac:dyDescent="0.3">
      <c r="K125" s="496" t="s">
        <v>2299</v>
      </c>
      <c r="L125" s="497"/>
      <c r="M125" s="496" t="s">
        <v>3088</v>
      </c>
      <c r="N125" s="502"/>
      <c r="O125" s="502"/>
      <c r="P125" s="502"/>
      <c r="Q125" s="502"/>
      <c r="R125" s="502"/>
      <c r="S125" s="497"/>
      <c r="T125" s="505" t="s">
        <v>326</v>
      </c>
    </row>
    <row r="126" spans="1:20" x14ac:dyDescent="0.3">
      <c r="K126" s="498"/>
      <c r="L126" s="499"/>
      <c r="M126" s="498"/>
      <c r="N126" s="503"/>
      <c r="O126" s="503"/>
      <c r="P126" s="503"/>
      <c r="Q126" s="503"/>
      <c r="R126" s="503"/>
      <c r="S126" s="499"/>
      <c r="T126" s="506"/>
    </row>
    <row r="127" spans="1:20" x14ac:dyDescent="0.3">
      <c r="K127" s="500"/>
      <c r="L127" s="501"/>
      <c r="M127" s="500"/>
      <c r="N127" s="504"/>
      <c r="O127" s="504"/>
      <c r="P127" s="504"/>
      <c r="Q127" s="504"/>
      <c r="R127" s="504"/>
      <c r="S127" s="501"/>
      <c r="T127" s="507"/>
    </row>
    <row r="128" spans="1:20" x14ac:dyDescent="0.3">
      <c r="K128" s="126" t="s">
        <v>328</v>
      </c>
    </row>
    <row r="129" spans="11:20" x14ac:dyDescent="0.3">
      <c r="K129" s="126"/>
    </row>
    <row r="131" spans="11:20" x14ac:dyDescent="0.3">
      <c r="K131" s="486" t="s">
        <v>3618</v>
      </c>
      <c r="L131" s="486"/>
      <c r="M131" s="486"/>
      <c r="N131" s="486"/>
      <c r="O131" s="486"/>
      <c r="P131" s="486"/>
      <c r="Q131" s="486"/>
      <c r="R131" s="486"/>
      <c r="S131" s="486"/>
      <c r="T131" s="486"/>
    </row>
    <row r="132" spans="11:20" x14ac:dyDescent="0.3">
      <c r="K132" s="487" t="s">
        <v>333</v>
      </c>
      <c r="L132" s="487"/>
      <c r="M132" s="487" t="s">
        <v>575</v>
      </c>
      <c r="N132" s="487"/>
      <c r="O132" s="487"/>
      <c r="P132" s="487"/>
      <c r="Q132" s="487"/>
      <c r="R132" s="487"/>
      <c r="S132" s="487"/>
      <c r="T132" s="487"/>
    </row>
    <row r="133" spans="11:20" x14ac:dyDescent="0.3">
      <c r="K133" s="487"/>
      <c r="L133" s="487"/>
      <c r="M133" s="487"/>
      <c r="N133" s="487"/>
      <c r="O133" s="487"/>
      <c r="P133" s="487"/>
      <c r="Q133" s="487"/>
      <c r="R133" s="487"/>
      <c r="S133" s="487"/>
      <c r="T133" s="487"/>
    </row>
    <row r="134" spans="11:20" x14ac:dyDescent="0.3">
      <c r="K134" s="487"/>
      <c r="L134" s="487"/>
      <c r="M134" s="487"/>
      <c r="N134" s="487"/>
      <c r="O134" s="487"/>
      <c r="P134" s="487"/>
      <c r="Q134" s="487"/>
      <c r="R134" s="487"/>
      <c r="S134" s="487"/>
      <c r="T134" s="487"/>
    </row>
    <row r="135" spans="11:20" x14ac:dyDescent="0.3">
      <c r="K135" s="483" t="s">
        <v>323</v>
      </c>
      <c r="L135" s="483"/>
      <c r="M135" s="483" t="s">
        <v>1</v>
      </c>
      <c r="N135" s="483"/>
      <c r="O135" s="483"/>
      <c r="P135" s="483"/>
      <c r="Q135" s="483"/>
      <c r="R135" s="483"/>
      <c r="S135" s="483"/>
      <c r="T135" s="85" t="s">
        <v>324</v>
      </c>
    </row>
    <row r="136" spans="11:20" x14ac:dyDescent="0.3">
      <c r="K136" s="516" t="s">
        <v>431</v>
      </c>
      <c r="L136" s="517"/>
      <c r="M136" s="517"/>
      <c r="N136" s="517"/>
      <c r="O136" s="517"/>
      <c r="P136" s="517"/>
      <c r="Q136" s="517"/>
      <c r="R136" s="517"/>
      <c r="S136" s="517"/>
      <c r="T136" s="518"/>
    </row>
    <row r="139" spans="11:20" x14ac:dyDescent="0.3">
      <c r="K139" s="486" t="s">
        <v>3619</v>
      </c>
      <c r="L139" s="486"/>
      <c r="M139" s="486"/>
      <c r="N139" s="486"/>
      <c r="O139" s="486"/>
      <c r="P139" s="486"/>
      <c r="Q139" s="486"/>
      <c r="R139" s="486"/>
      <c r="S139" s="486"/>
      <c r="T139" s="486"/>
    </row>
    <row r="140" spans="11:20" x14ac:dyDescent="0.3">
      <c r="K140" s="487" t="s">
        <v>333</v>
      </c>
      <c r="L140" s="487"/>
      <c r="M140" s="487" t="s">
        <v>590</v>
      </c>
      <c r="N140" s="487"/>
      <c r="O140" s="487"/>
      <c r="P140" s="487"/>
      <c r="Q140" s="487"/>
      <c r="R140" s="487"/>
      <c r="S140" s="487"/>
      <c r="T140" s="487"/>
    </row>
    <row r="141" spans="11:20" x14ac:dyDescent="0.3">
      <c r="K141" s="487"/>
      <c r="L141" s="487"/>
      <c r="M141" s="487"/>
      <c r="N141" s="487"/>
      <c r="O141" s="487"/>
      <c r="P141" s="487"/>
      <c r="Q141" s="487"/>
      <c r="R141" s="487"/>
      <c r="S141" s="487"/>
      <c r="T141" s="487"/>
    </row>
    <row r="142" spans="11:20" x14ac:dyDescent="0.3">
      <c r="K142" s="487"/>
      <c r="L142" s="487"/>
      <c r="M142" s="487"/>
      <c r="N142" s="487"/>
      <c r="O142" s="487"/>
      <c r="P142" s="487"/>
      <c r="Q142" s="487"/>
      <c r="R142" s="487"/>
      <c r="S142" s="487"/>
      <c r="T142" s="487"/>
    </row>
    <row r="143" spans="11:20" x14ac:dyDescent="0.3">
      <c r="K143" s="483" t="s">
        <v>323</v>
      </c>
      <c r="L143" s="483"/>
      <c r="M143" s="483" t="s">
        <v>1</v>
      </c>
      <c r="N143" s="483"/>
      <c r="O143" s="483"/>
      <c r="P143" s="483"/>
      <c r="Q143" s="483"/>
      <c r="R143" s="483"/>
      <c r="S143" s="483"/>
      <c r="T143" s="85" t="s">
        <v>324</v>
      </c>
    </row>
    <row r="144" spans="11:20" x14ac:dyDescent="0.3">
      <c r="K144" s="487" t="s">
        <v>591</v>
      </c>
      <c r="L144" s="487"/>
      <c r="M144" s="487" t="s">
        <v>592</v>
      </c>
      <c r="N144" s="487"/>
      <c r="O144" s="487"/>
      <c r="P144" s="487"/>
      <c r="Q144" s="487"/>
      <c r="R144" s="487"/>
      <c r="S144" s="487"/>
      <c r="T144" s="509" t="s">
        <v>325</v>
      </c>
    </row>
    <row r="145" spans="11:20" x14ac:dyDescent="0.3">
      <c r="K145" s="487"/>
      <c r="L145" s="487"/>
      <c r="M145" s="487"/>
      <c r="N145" s="487"/>
      <c r="O145" s="487"/>
      <c r="P145" s="487"/>
      <c r="Q145" s="487"/>
      <c r="R145" s="487"/>
      <c r="S145" s="487"/>
      <c r="T145" s="509"/>
    </row>
    <row r="146" spans="11:20" x14ac:dyDescent="0.3">
      <c r="K146" s="487"/>
      <c r="L146" s="487"/>
      <c r="M146" s="487"/>
      <c r="N146" s="487"/>
      <c r="O146" s="487"/>
      <c r="P146" s="487"/>
      <c r="Q146" s="487"/>
      <c r="R146" s="487"/>
      <c r="S146" s="487"/>
      <c r="T146" s="509"/>
    </row>
    <row r="147" spans="11:20" x14ac:dyDescent="0.3">
      <c r="K147" s="126" t="s">
        <v>328</v>
      </c>
    </row>
    <row r="150" spans="11:20" x14ac:dyDescent="0.3">
      <c r="K150" s="486" t="s">
        <v>3620</v>
      </c>
      <c r="L150" s="486"/>
      <c r="M150" s="486"/>
      <c r="N150" s="486"/>
      <c r="O150" s="486"/>
      <c r="P150" s="486"/>
      <c r="Q150" s="486"/>
      <c r="R150" s="486"/>
      <c r="S150" s="486"/>
      <c r="T150" s="486"/>
    </row>
    <row r="151" spans="11:20" x14ac:dyDescent="0.3">
      <c r="K151" s="487" t="s">
        <v>333</v>
      </c>
      <c r="L151" s="487"/>
      <c r="M151" s="487" t="s">
        <v>893</v>
      </c>
      <c r="N151" s="487"/>
      <c r="O151" s="487"/>
      <c r="P151" s="487"/>
      <c r="Q151" s="487"/>
      <c r="R151" s="487"/>
      <c r="S151" s="487"/>
      <c r="T151" s="487"/>
    </row>
    <row r="152" spans="11:20" x14ac:dyDescent="0.3">
      <c r="K152" s="487"/>
      <c r="L152" s="487"/>
      <c r="M152" s="487"/>
      <c r="N152" s="487"/>
      <c r="O152" s="487"/>
      <c r="P152" s="487"/>
      <c r="Q152" s="487"/>
      <c r="R152" s="487"/>
      <c r="S152" s="487"/>
      <c r="T152" s="487"/>
    </row>
    <row r="153" spans="11:20" x14ac:dyDescent="0.3">
      <c r="K153" s="487"/>
      <c r="L153" s="487"/>
      <c r="M153" s="487"/>
      <c r="N153" s="487"/>
      <c r="O153" s="487"/>
      <c r="P153" s="487"/>
      <c r="Q153" s="487"/>
      <c r="R153" s="487"/>
      <c r="S153" s="487"/>
      <c r="T153" s="487"/>
    </row>
    <row r="154" spans="11:20" x14ac:dyDescent="0.3">
      <c r="K154" s="483" t="s">
        <v>323</v>
      </c>
      <c r="L154" s="483"/>
      <c r="M154" s="483" t="s">
        <v>1</v>
      </c>
      <c r="N154" s="483"/>
      <c r="O154" s="483"/>
      <c r="P154" s="483"/>
      <c r="Q154" s="483"/>
      <c r="R154" s="483"/>
      <c r="S154" s="483"/>
      <c r="T154" s="85" t="s">
        <v>324</v>
      </c>
    </row>
    <row r="155" spans="11:20" x14ac:dyDescent="0.3">
      <c r="K155" s="484" t="s">
        <v>894</v>
      </c>
      <c r="L155" s="484"/>
      <c r="M155" s="484" t="s">
        <v>3874</v>
      </c>
      <c r="N155" s="484"/>
      <c r="O155" s="484"/>
      <c r="P155" s="484"/>
      <c r="Q155" s="484"/>
      <c r="R155" s="484"/>
      <c r="S155" s="484"/>
      <c r="T155" s="485" t="s">
        <v>326</v>
      </c>
    </row>
    <row r="156" spans="11:20" x14ac:dyDescent="0.3">
      <c r="K156" s="484"/>
      <c r="L156" s="484"/>
      <c r="M156" s="484"/>
      <c r="N156" s="484"/>
      <c r="O156" s="484"/>
      <c r="P156" s="484"/>
      <c r="Q156" s="484"/>
      <c r="R156" s="484"/>
      <c r="S156" s="484"/>
      <c r="T156" s="485"/>
    </row>
    <row r="157" spans="11:20" x14ac:dyDescent="0.3">
      <c r="K157" s="484"/>
      <c r="L157" s="484"/>
      <c r="M157" s="484"/>
      <c r="N157" s="484"/>
      <c r="O157" s="484"/>
      <c r="P157" s="484"/>
      <c r="Q157" s="484"/>
      <c r="R157" s="484"/>
      <c r="S157" s="484"/>
      <c r="T157" s="485"/>
    </row>
    <row r="158" spans="11:20" x14ac:dyDescent="0.3">
      <c r="K158" s="126" t="s">
        <v>328</v>
      </c>
    </row>
    <row r="161" spans="11:20" x14ac:dyDescent="0.3">
      <c r="K161" s="486" t="s">
        <v>3622</v>
      </c>
      <c r="L161" s="486"/>
      <c r="M161" s="486"/>
      <c r="N161" s="486"/>
      <c r="O161" s="486"/>
      <c r="P161" s="486"/>
      <c r="Q161" s="486"/>
      <c r="R161" s="486"/>
      <c r="S161" s="486"/>
      <c r="T161" s="486"/>
    </row>
    <row r="162" spans="11:20" x14ac:dyDescent="0.3">
      <c r="K162" s="487" t="s">
        <v>333</v>
      </c>
      <c r="L162" s="487"/>
      <c r="M162" s="487" t="s">
        <v>3851</v>
      </c>
      <c r="N162" s="487"/>
      <c r="O162" s="487"/>
      <c r="P162" s="487"/>
      <c r="Q162" s="487"/>
      <c r="R162" s="487"/>
      <c r="S162" s="487"/>
      <c r="T162" s="487"/>
    </row>
    <row r="163" spans="11:20" x14ac:dyDescent="0.3">
      <c r="K163" s="487"/>
      <c r="L163" s="487"/>
      <c r="M163" s="487"/>
      <c r="N163" s="487"/>
      <c r="O163" s="487"/>
      <c r="P163" s="487"/>
      <c r="Q163" s="487"/>
      <c r="R163" s="487"/>
      <c r="S163" s="487"/>
      <c r="T163" s="487"/>
    </row>
    <row r="164" spans="11:20" x14ac:dyDescent="0.3">
      <c r="K164" s="487"/>
      <c r="L164" s="487"/>
      <c r="M164" s="487"/>
      <c r="N164" s="487"/>
      <c r="O164" s="487"/>
      <c r="P164" s="487"/>
      <c r="Q164" s="487"/>
      <c r="R164" s="487"/>
      <c r="S164" s="487"/>
      <c r="T164" s="487"/>
    </row>
    <row r="165" spans="11:20" x14ac:dyDescent="0.3">
      <c r="K165" s="483" t="s">
        <v>323</v>
      </c>
      <c r="L165" s="483"/>
      <c r="M165" s="483" t="s">
        <v>1</v>
      </c>
      <c r="N165" s="483"/>
      <c r="O165" s="483"/>
      <c r="P165" s="483"/>
      <c r="Q165" s="483"/>
      <c r="R165" s="483"/>
      <c r="S165" s="483"/>
      <c r="T165" s="85" t="s">
        <v>324</v>
      </c>
    </row>
    <row r="166" spans="11:20" x14ac:dyDescent="0.3">
      <c r="K166" s="516" t="s">
        <v>431</v>
      </c>
      <c r="L166" s="517"/>
      <c r="M166" s="517"/>
      <c r="N166" s="517"/>
      <c r="O166" s="517"/>
      <c r="P166" s="517"/>
      <c r="Q166" s="517"/>
      <c r="R166" s="517"/>
      <c r="S166" s="517"/>
      <c r="T166" s="518"/>
    </row>
    <row r="169" spans="11:20" x14ac:dyDescent="0.3">
      <c r="K169" s="486" t="s">
        <v>3623</v>
      </c>
      <c r="L169" s="486"/>
      <c r="M169" s="486"/>
      <c r="N169" s="486"/>
      <c r="O169" s="486"/>
      <c r="P169" s="486"/>
      <c r="Q169" s="486"/>
      <c r="R169" s="486"/>
      <c r="S169" s="486"/>
      <c r="T169" s="486"/>
    </row>
    <row r="170" spans="11:20" x14ac:dyDescent="0.3">
      <c r="K170" s="487" t="s">
        <v>333</v>
      </c>
      <c r="L170" s="487"/>
      <c r="M170" s="487" t="s">
        <v>3852</v>
      </c>
      <c r="N170" s="487"/>
      <c r="O170" s="487"/>
      <c r="P170" s="487"/>
      <c r="Q170" s="487"/>
      <c r="R170" s="487"/>
      <c r="S170" s="487"/>
      <c r="T170" s="487"/>
    </row>
    <row r="171" spans="11:20" x14ac:dyDescent="0.3">
      <c r="K171" s="487"/>
      <c r="L171" s="487"/>
      <c r="M171" s="487"/>
      <c r="N171" s="487"/>
      <c r="O171" s="487"/>
      <c r="P171" s="487"/>
      <c r="Q171" s="487"/>
      <c r="R171" s="487"/>
      <c r="S171" s="487"/>
      <c r="T171" s="487"/>
    </row>
    <row r="172" spans="11:20" x14ac:dyDescent="0.3">
      <c r="K172" s="487"/>
      <c r="L172" s="487"/>
      <c r="M172" s="487"/>
      <c r="N172" s="487"/>
      <c r="O172" s="487"/>
      <c r="P172" s="487"/>
      <c r="Q172" s="487"/>
      <c r="R172" s="487"/>
      <c r="S172" s="487"/>
      <c r="T172" s="487"/>
    </row>
    <row r="173" spans="11:20" x14ac:dyDescent="0.3">
      <c r="K173" s="483" t="s">
        <v>323</v>
      </c>
      <c r="L173" s="483"/>
      <c r="M173" s="483" t="s">
        <v>1</v>
      </c>
      <c r="N173" s="483"/>
      <c r="O173" s="483"/>
      <c r="P173" s="483"/>
      <c r="Q173" s="483"/>
      <c r="R173" s="483"/>
      <c r="S173" s="483"/>
      <c r="T173" s="85" t="s">
        <v>324</v>
      </c>
    </row>
    <row r="174" spans="11:20" x14ac:dyDescent="0.3">
      <c r="K174" s="488" t="s">
        <v>2270</v>
      </c>
      <c r="L174" s="488"/>
      <c r="M174" s="488" t="s">
        <v>2271</v>
      </c>
      <c r="N174" s="488"/>
      <c r="O174" s="488"/>
      <c r="P174" s="488"/>
      <c r="Q174" s="488"/>
      <c r="R174" s="488"/>
      <c r="S174" s="488"/>
      <c r="T174" s="489" t="s">
        <v>325</v>
      </c>
    </row>
    <row r="175" spans="11:20" x14ac:dyDescent="0.3">
      <c r="K175" s="488"/>
      <c r="L175" s="488"/>
      <c r="M175" s="488"/>
      <c r="N175" s="488"/>
      <c r="O175" s="488"/>
      <c r="P175" s="488"/>
      <c r="Q175" s="488"/>
      <c r="R175" s="488"/>
      <c r="S175" s="488"/>
      <c r="T175" s="489"/>
    </row>
    <row r="176" spans="11:20" x14ac:dyDescent="0.3">
      <c r="K176" s="488"/>
      <c r="L176" s="488"/>
      <c r="M176" s="488"/>
      <c r="N176" s="488"/>
      <c r="O176" s="488"/>
      <c r="P176" s="488"/>
      <c r="Q176" s="488"/>
      <c r="R176" s="488"/>
      <c r="S176" s="488"/>
      <c r="T176" s="489"/>
    </row>
    <row r="177" spans="11:20" ht="15" customHeight="1" x14ac:dyDescent="0.3">
      <c r="K177" s="484" t="s">
        <v>2269</v>
      </c>
      <c r="L177" s="484"/>
      <c r="M177" s="484" t="s">
        <v>3853</v>
      </c>
      <c r="N177" s="484"/>
      <c r="O177" s="484"/>
      <c r="P177" s="484"/>
      <c r="Q177" s="484"/>
      <c r="R177" s="484"/>
      <c r="S177" s="484"/>
      <c r="T177" s="485" t="s">
        <v>326</v>
      </c>
    </row>
    <row r="178" spans="11:20" x14ac:dyDescent="0.3">
      <c r="K178" s="484"/>
      <c r="L178" s="484"/>
      <c r="M178" s="484"/>
      <c r="N178" s="484"/>
      <c r="O178" s="484"/>
      <c r="P178" s="484"/>
      <c r="Q178" s="484"/>
      <c r="R178" s="484"/>
      <c r="S178" s="484"/>
      <c r="T178" s="485"/>
    </row>
    <row r="179" spans="11:20" x14ac:dyDescent="0.3">
      <c r="K179" s="484"/>
      <c r="L179" s="484"/>
      <c r="M179" s="484"/>
      <c r="N179" s="484"/>
      <c r="O179" s="484"/>
      <c r="P179" s="484"/>
      <c r="Q179" s="484"/>
      <c r="R179" s="484"/>
      <c r="S179" s="484"/>
      <c r="T179" s="485"/>
    </row>
    <row r="180" spans="11:20" x14ac:dyDescent="0.3">
      <c r="K180" s="496" t="s">
        <v>2299</v>
      </c>
      <c r="L180" s="497"/>
      <c r="M180" s="496" t="s">
        <v>3088</v>
      </c>
      <c r="N180" s="502"/>
      <c r="O180" s="502"/>
      <c r="P180" s="502"/>
      <c r="Q180" s="502"/>
      <c r="R180" s="502"/>
      <c r="S180" s="497"/>
      <c r="T180" s="505" t="s">
        <v>326</v>
      </c>
    </row>
    <row r="181" spans="11:20" x14ac:dyDescent="0.3">
      <c r="K181" s="498"/>
      <c r="L181" s="499"/>
      <c r="M181" s="498"/>
      <c r="N181" s="503"/>
      <c r="O181" s="503"/>
      <c r="P181" s="503"/>
      <c r="Q181" s="503"/>
      <c r="R181" s="503"/>
      <c r="S181" s="499"/>
      <c r="T181" s="506"/>
    </row>
    <row r="182" spans="11:20" x14ac:dyDescent="0.3">
      <c r="K182" s="500"/>
      <c r="L182" s="501"/>
      <c r="M182" s="500"/>
      <c r="N182" s="504"/>
      <c r="O182" s="504"/>
      <c r="P182" s="504"/>
      <c r="Q182" s="504"/>
      <c r="R182" s="504"/>
      <c r="S182" s="501"/>
      <c r="T182" s="507"/>
    </row>
    <row r="183" spans="11:20" x14ac:dyDescent="0.3">
      <c r="K183" s="126" t="s">
        <v>328</v>
      </c>
    </row>
    <row r="186" spans="11:20" x14ac:dyDescent="0.3">
      <c r="K186" s="486" t="s">
        <v>3624</v>
      </c>
      <c r="L186" s="486"/>
      <c r="M186" s="486"/>
      <c r="N186" s="486"/>
      <c r="O186" s="486"/>
      <c r="P186" s="486"/>
      <c r="Q186" s="486"/>
      <c r="R186" s="486"/>
      <c r="S186" s="486"/>
      <c r="T186" s="486"/>
    </row>
    <row r="187" spans="11:20" x14ac:dyDescent="0.3">
      <c r="K187" s="487" t="s">
        <v>333</v>
      </c>
      <c r="L187" s="487"/>
      <c r="M187" s="487" t="s">
        <v>3875</v>
      </c>
      <c r="N187" s="487"/>
      <c r="O187" s="487"/>
      <c r="P187" s="487"/>
      <c r="Q187" s="487"/>
      <c r="R187" s="487"/>
      <c r="S187" s="487"/>
      <c r="T187" s="487"/>
    </row>
    <row r="188" spans="11:20" x14ac:dyDescent="0.3">
      <c r="K188" s="487"/>
      <c r="L188" s="487"/>
      <c r="M188" s="487"/>
      <c r="N188" s="487"/>
      <c r="O188" s="487"/>
      <c r="P188" s="487"/>
      <c r="Q188" s="487"/>
      <c r="R188" s="487"/>
      <c r="S188" s="487"/>
      <c r="T188" s="487"/>
    </row>
    <row r="189" spans="11:20" x14ac:dyDescent="0.3">
      <c r="K189" s="487"/>
      <c r="L189" s="487"/>
      <c r="M189" s="487"/>
      <c r="N189" s="487"/>
      <c r="O189" s="487"/>
      <c r="P189" s="487"/>
      <c r="Q189" s="487"/>
      <c r="R189" s="487"/>
      <c r="S189" s="487"/>
      <c r="T189" s="487"/>
    </row>
    <row r="190" spans="11:20" x14ac:dyDescent="0.3">
      <c r="K190" s="483" t="s">
        <v>323</v>
      </c>
      <c r="L190" s="483"/>
      <c r="M190" s="483" t="s">
        <v>1</v>
      </c>
      <c r="N190" s="483"/>
      <c r="O190" s="483"/>
      <c r="P190" s="483"/>
      <c r="Q190" s="483"/>
      <c r="R190" s="483"/>
      <c r="S190" s="483"/>
      <c r="T190" s="85" t="s">
        <v>324</v>
      </c>
    </row>
    <row r="191" spans="11:20" x14ac:dyDescent="0.3">
      <c r="K191" s="488" t="s">
        <v>740</v>
      </c>
      <c r="L191" s="488"/>
      <c r="M191" s="488" t="s">
        <v>3854</v>
      </c>
      <c r="N191" s="488"/>
      <c r="O191" s="488"/>
      <c r="P191" s="488"/>
      <c r="Q191" s="488"/>
      <c r="R191" s="488"/>
      <c r="S191" s="488"/>
      <c r="T191" s="489" t="s">
        <v>325</v>
      </c>
    </row>
    <row r="192" spans="11:20" x14ac:dyDescent="0.3">
      <c r="K192" s="488"/>
      <c r="L192" s="488"/>
      <c r="M192" s="488"/>
      <c r="N192" s="488"/>
      <c r="O192" s="488"/>
      <c r="P192" s="488"/>
      <c r="Q192" s="488"/>
      <c r="R192" s="488"/>
      <c r="S192" s="488"/>
      <c r="T192" s="489"/>
    </row>
    <row r="193" spans="11:20" x14ac:dyDescent="0.3">
      <c r="K193" s="488"/>
      <c r="L193" s="488"/>
      <c r="M193" s="488"/>
      <c r="N193" s="488"/>
      <c r="O193" s="488"/>
      <c r="P193" s="488"/>
      <c r="Q193" s="488"/>
      <c r="R193" s="488"/>
      <c r="S193" s="488"/>
      <c r="T193" s="489"/>
    </row>
    <row r="194" spans="11:20" ht="15" customHeight="1" x14ac:dyDescent="0.3">
      <c r="K194" s="484" t="s">
        <v>1161</v>
      </c>
      <c r="L194" s="484"/>
      <c r="M194" s="484" t="s">
        <v>1162</v>
      </c>
      <c r="N194" s="484"/>
      <c r="O194" s="484"/>
      <c r="P194" s="484"/>
      <c r="Q194" s="484"/>
      <c r="R194" s="484"/>
      <c r="S194" s="484"/>
      <c r="T194" s="485" t="s">
        <v>326</v>
      </c>
    </row>
    <row r="195" spans="11:20" x14ac:dyDescent="0.3">
      <c r="K195" s="484"/>
      <c r="L195" s="484"/>
      <c r="M195" s="484"/>
      <c r="N195" s="484"/>
      <c r="O195" s="484"/>
      <c r="P195" s="484"/>
      <c r="Q195" s="484"/>
      <c r="R195" s="484"/>
      <c r="S195" s="484"/>
      <c r="T195" s="485"/>
    </row>
    <row r="196" spans="11:20" x14ac:dyDescent="0.3">
      <c r="K196" s="484"/>
      <c r="L196" s="484"/>
      <c r="M196" s="484"/>
      <c r="N196" s="484"/>
      <c r="O196" s="484"/>
      <c r="P196" s="484"/>
      <c r="Q196" s="484"/>
      <c r="R196" s="484"/>
      <c r="S196" s="484"/>
      <c r="T196" s="485"/>
    </row>
    <row r="197" spans="11:20" x14ac:dyDescent="0.3">
      <c r="K197" s="496" t="s">
        <v>2299</v>
      </c>
      <c r="L197" s="497"/>
      <c r="M197" s="496" t="s">
        <v>3088</v>
      </c>
      <c r="N197" s="502"/>
      <c r="O197" s="502"/>
      <c r="P197" s="502"/>
      <c r="Q197" s="502"/>
      <c r="R197" s="502"/>
      <c r="S197" s="497"/>
      <c r="T197" s="505" t="s">
        <v>326</v>
      </c>
    </row>
    <row r="198" spans="11:20" x14ac:dyDescent="0.3">
      <c r="K198" s="498"/>
      <c r="L198" s="499"/>
      <c r="M198" s="498"/>
      <c r="N198" s="503"/>
      <c r="O198" s="503"/>
      <c r="P198" s="503"/>
      <c r="Q198" s="503"/>
      <c r="R198" s="503"/>
      <c r="S198" s="499"/>
      <c r="T198" s="506"/>
    </row>
    <row r="199" spans="11:20" x14ac:dyDescent="0.3">
      <c r="K199" s="500"/>
      <c r="L199" s="501"/>
      <c r="M199" s="500"/>
      <c r="N199" s="504"/>
      <c r="O199" s="504"/>
      <c r="P199" s="504"/>
      <c r="Q199" s="504"/>
      <c r="R199" s="504"/>
      <c r="S199" s="501"/>
      <c r="T199" s="507"/>
    </row>
    <row r="200" spans="11:20" x14ac:dyDescent="0.3">
      <c r="K200" s="126" t="s">
        <v>328</v>
      </c>
    </row>
    <row r="203" spans="11:20" x14ac:dyDescent="0.3">
      <c r="K203" s="486" t="s">
        <v>3625</v>
      </c>
      <c r="L203" s="486"/>
      <c r="M203" s="486"/>
      <c r="N203" s="486"/>
      <c r="O203" s="486"/>
      <c r="P203" s="486"/>
      <c r="Q203" s="486"/>
      <c r="R203" s="486"/>
      <c r="S203" s="486"/>
      <c r="T203" s="486"/>
    </row>
    <row r="204" spans="11:20" x14ac:dyDescent="0.3">
      <c r="K204" s="487" t="s">
        <v>333</v>
      </c>
      <c r="L204" s="487"/>
      <c r="M204" s="487" t="s">
        <v>1624</v>
      </c>
      <c r="N204" s="487"/>
      <c r="O204" s="487"/>
      <c r="P204" s="487"/>
      <c r="Q204" s="487"/>
      <c r="R204" s="487"/>
      <c r="S204" s="487"/>
      <c r="T204" s="487"/>
    </row>
    <row r="205" spans="11:20" x14ac:dyDescent="0.3">
      <c r="K205" s="487"/>
      <c r="L205" s="487"/>
      <c r="M205" s="487"/>
      <c r="N205" s="487"/>
      <c r="O205" s="487"/>
      <c r="P205" s="487"/>
      <c r="Q205" s="487"/>
      <c r="R205" s="487"/>
      <c r="S205" s="487"/>
      <c r="T205" s="487"/>
    </row>
    <row r="206" spans="11:20" x14ac:dyDescent="0.3">
      <c r="K206" s="487"/>
      <c r="L206" s="487"/>
      <c r="M206" s="487"/>
      <c r="N206" s="487"/>
      <c r="O206" s="487"/>
      <c r="P206" s="487"/>
      <c r="Q206" s="487"/>
      <c r="R206" s="487"/>
      <c r="S206" s="487"/>
      <c r="T206" s="487"/>
    </row>
    <row r="207" spans="11:20" x14ac:dyDescent="0.3">
      <c r="K207" s="483" t="s">
        <v>323</v>
      </c>
      <c r="L207" s="483"/>
      <c r="M207" s="483" t="s">
        <v>1</v>
      </c>
      <c r="N207" s="483"/>
      <c r="O207" s="483"/>
      <c r="P207" s="483"/>
      <c r="Q207" s="483"/>
      <c r="R207" s="483"/>
      <c r="S207" s="483"/>
      <c r="T207" s="85" t="s">
        <v>324</v>
      </c>
    </row>
    <row r="208" spans="11:20" x14ac:dyDescent="0.3">
      <c r="K208" s="516" t="s">
        <v>431</v>
      </c>
      <c r="L208" s="517"/>
      <c r="M208" s="517"/>
      <c r="N208" s="517"/>
      <c r="O208" s="517"/>
      <c r="P208" s="517"/>
      <c r="Q208" s="517"/>
      <c r="R208" s="517"/>
      <c r="S208" s="517"/>
      <c r="T208" s="518"/>
    </row>
  </sheetData>
  <mergeCells count="165">
    <mergeCell ref="K19:L21"/>
    <mergeCell ref="M19:S21"/>
    <mergeCell ref="T19:T21"/>
    <mergeCell ref="K197:L199"/>
    <mergeCell ref="M197:S199"/>
    <mergeCell ref="T197:T199"/>
    <mergeCell ref="K180:L182"/>
    <mergeCell ref="M180:S182"/>
    <mergeCell ref="T180:T182"/>
    <mergeCell ref="K108:L110"/>
    <mergeCell ref="M108:S110"/>
    <mergeCell ref="T108:T110"/>
    <mergeCell ref="K191:L193"/>
    <mergeCell ref="M191:S193"/>
    <mergeCell ref="T191:T193"/>
    <mergeCell ref="K170:L172"/>
    <mergeCell ref="M170:T172"/>
    <mergeCell ref="K173:L173"/>
    <mergeCell ref="M173:S173"/>
    <mergeCell ref="K177:L179"/>
    <mergeCell ref="M177:S179"/>
    <mergeCell ref="K161:T161"/>
    <mergeCell ref="K136:T136"/>
    <mergeCell ref="K140:L142"/>
    <mergeCell ref="M140:T142"/>
    <mergeCell ref="K143:L143"/>
    <mergeCell ref="K8:L10"/>
    <mergeCell ref="M8:S10"/>
    <mergeCell ref="T8:T10"/>
    <mergeCell ref="K58:T58"/>
    <mergeCell ref="K59:L61"/>
    <mergeCell ref="M59:T61"/>
    <mergeCell ref="K174:L176"/>
    <mergeCell ref="M174:S176"/>
    <mergeCell ref="T174:T176"/>
    <mergeCell ref="K154:L154"/>
    <mergeCell ref="K162:L164"/>
    <mergeCell ref="M162:T164"/>
    <mergeCell ref="K165:L165"/>
    <mergeCell ref="M165:S165"/>
    <mergeCell ref="K144:L146"/>
    <mergeCell ref="M144:S146"/>
    <mergeCell ref="T144:T146"/>
    <mergeCell ref="M143:S143"/>
    <mergeCell ref="M154:S154"/>
    <mergeCell ref="K155:L157"/>
    <mergeCell ref="M96:S96"/>
    <mergeCell ref="K125:L127"/>
    <mergeCell ref="B61:D61"/>
    <mergeCell ref="K114:T114"/>
    <mergeCell ref="K115:L117"/>
    <mergeCell ref="M115:T117"/>
    <mergeCell ref="K118:L118"/>
    <mergeCell ref="M118:S118"/>
    <mergeCell ref="B80:C80"/>
    <mergeCell ref="K73:L73"/>
    <mergeCell ref="M73:S73"/>
    <mergeCell ref="K74:L76"/>
    <mergeCell ref="M74:S76"/>
    <mergeCell ref="T74:T76"/>
    <mergeCell ref="K77:L79"/>
    <mergeCell ref="T77:T79"/>
    <mergeCell ref="B94:C94"/>
    <mergeCell ref="K97:T97"/>
    <mergeCell ref="K100:T100"/>
    <mergeCell ref="K101:L103"/>
    <mergeCell ref="M101:T103"/>
    <mergeCell ref="K104:L104"/>
    <mergeCell ref="M104:S104"/>
    <mergeCell ref="K131:T131"/>
    <mergeCell ref="K132:L134"/>
    <mergeCell ref="K139:T139"/>
    <mergeCell ref="M77:S79"/>
    <mergeCell ref="T125:T127"/>
    <mergeCell ref="K45:L47"/>
    <mergeCell ref="K49:L51"/>
    <mergeCell ref="M49:S51"/>
    <mergeCell ref="T49:T51"/>
    <mergeCell ref="M48:S48"/>
    <mergeCell ref="K69:T69"/>
    <mergeCell ref="K70:L72"/>
    <mergeCell ref="M70:T72"/>
    <mergeCell ref="T122:T124"/>
    <mergeCell ref="K119:L121"/>
    <mergeCell ref="T177:T179"/>
    <mergeCell ref="K80:L82"/>
    <mergeCell ref="M125:S127"/>
    <mergeCell ref="K86:L88"/>
    <mergeCell ref="M86:S88"/>
    <mergeCell ref="T86:T88"/>
    <mergeCell ref="M119:S121"/>
    <mergeCell ref="T119:T121"/>
    <mergeCell ref="K92:T92"/>
    <mergeCell ref="K93:L95"/>
    <mergeCell ref="M93:T95"/>
    <mergeCell ref="K96:L96"/>
    <mergeCell ref="K83:L85"/>
    <mergeCell ref="M83:S85"/>
    <mergeCell ref="T83:T85"/>
    <mergeCell ref="T80:T82"/>
    <mergeCell ref="M132:T134"/>
    <mergeCell ref="K135:L135"/>
    <mergeCell ref="M135:S135"/>
    <mergeCell ref="K105:L107"/>
    <mergeCell ref="M105:S107"/>
    <mergeCell ref="T105:T107"/>
    <mergeCell ref="K122:L124"/>
    <mergeCell ref="M122:S124"/>
    <mergeCell ref="K29:L29"/>
    <mergeCell ref="M29:S29"/>
    <mergeCell ref="K33:T33"/>
    <mergeCell ref="K34:L36"/>
    <mergeCell ref="M34:T36"/>
    <mergeCell ref="K37:L37"/>
    <mergeCell ref="K38:L40"/>
    <mergeCell ref="M38:S40"/>
    <mergeCell ref="K44:T44"/>
    <mergeCell ref="K3:T3"/>
    <mergeCell ref="K4:L6"/>
    <mergeCell ref="M4:T6"/>
    <mergeCell ref="K7:L7"/>
    <mergeCell ref="M7:S7"/>
    <mergeCell ref="M45:T47"/>
    <mergeCell ref="T38:T40"/>
    <mergeCell ref="K63:L65"/>
    <mergeCell ref="M63:S65"/>
    <mergeCell ref="T63:T65"/>
    <mergeCell ref="K52:L54"/>
    <mergeCell ref="M52:S54"/>
    <mergeCell ref="T52:T54"/>
    <mergeCell ref="M37:S37"/>
    <mergeCell ref="K48:L48"/>
    <mergeCell ref="K30:T30"/>
    <mergeCell ref="K14:T14"/>
    <mergeCell ref="K15:L17"/>
    <mergeCell ref="M15:T17"/>
    <mergeCell ref="K18:L18"/>
    <mergeCell ref="M18:S18"/>
    <mergeCell ref="K25:T25"/>
    <mergeCell ref="K26:L28"/>
    <mergeCell ref="M26:T28"/>
    <mergeCell ref="K203:T203"/>
    <mergeCell ref="K204:L206"/>
    <mergeCell ref="M204:T206"/>
    <mergeCell ref="K207:L207"/>
    <mergeCell ref="M207:S207"/>
    <mergeCell ref="K208:T208"/>
    <mergeCell ref="M62:S62"/>
    <mergeCell ref="K62:L62"/>
    <mergeCell ref="K166:T166"/>
    <mergeCell ref="M155:S157"/>
    <mergeCell ref="T155:T157"/>
    <mergeCell ref="K150:T150"/>
    <mergeCell ref="K151:L153"/>
    <mergeCell ref="M151:T153"/>
    <mergeCell ref="K194:L196"/>
    <mergeCell ref="M194:S196"/>
    <mergeCell ref="T194:T196"/>
    <mergeCell ref="K169:T169"/>
    <mergeCell ref="K186:T186"/>
    <mergeCell ref="K187:L189"/>
    <mergeCell ref="M187:T189"/>
    <mergeCell ref="K190:L190"/>
    <mergeCell ref="M190:S190"/>
    <mergeCell ref="M80:S82"/>
  </mergeCells>
  <pageMargins left="0.7" right="0.7" top="0.75" bottom="0.75" header="0.3" footer="0.3"/>
  <pageSetup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Z233"/>
  <sheetViews>
    <sheetView workbookViewId="0">
      <pane ySplit="1" topLeftCell="A2" activePane="bottomLeft" state="frozen"/>
      <selection activeCell="C33" sqref="C33"/>
      <selection pane="bottomLeft"/>
    </sheetView>
  </sheetViews>
  <sheetFormatPr defaultColWidth="9.21875" defaultRowHeight="14.4" x14ac:dyDescent="0.3"/>
  <cols>
    <col min="2" max="2" width="28.21875" customWidth="1"/>
    <col min="3" max="3" width="23" customWidth="1"/>
    <col min="4" max="4" width="9.21875" customWidth="1"/>
    <col min="5" max="6" width="10.21875" customWidth="1"/>
    <col min="7" max="9" width="10.5546875" bestFit="1" customWidth="1"/>
    <col min="10" max="11" width="9.21875" customWidth="1"/>
    <col min="19" max="25" width="12" customWidth="1"/>
  </cols>
  <sheetData>
    <row r="1" spans="1:26" ht="34.5" customHeight="1" thickBot="1" x14ac:dyDescent="0.35">
      <c r="A1" s="292" t="s">
        <v>1580</v>
      </c>
      <c r="B1" s="473" t="e" vm="1">
        <v>#VALUE!</v>
      </c>
      <c r="C1" s="8" t="s">
        <v>177</v>
      </c>
      <c r="D1" s="27"/>
      <c r="E1" s="16"/>
      <c r="F1" s="16"/>
      <c r="G1" s="16"/>
      <c r="H1" s="16"/>
      <c r="I1" s="16"/>
      <c r="J1" s="16"/>
      <c r="K1" s="16"/>
      <c r="L1" s="16"/>
      <c r="M1" s="16"/>
      <c r="N1" s="16"/>
      <c r="O1" s="19"/>
    </row>
    <row r="2" spans="1:26" ht="15" customHeight="1" x14ac:dyDescent="0.3">
      <c r="A2" s="18"/>
      <c r="B2" s="25"/>
      <c r="C2" s="25"/>
      <c r="D2" s="21"/>
      <c r="E2" s="21"/>
      <c r="F2" s="21"/>
      <c r="G2" s="21"/>
      <c r="H2" s="21"/>
      <c r="I2" s="21"/>
      <c r="J2" s="21"/>
      <c r="K2" s="21"/>
      <c r="L2" s="21"/>
      <c r="M2" s="21"/>
      <c r="N2" s="21"/>
      <c r="O2" s="20"/>
    </row>
    <row r="3" spans="1:26" ht="15" customHeight="1" x14ac:dyDescent="0.3">
      <c r="A3" s="490" t="s">
        <v>160</v>
      </c>
      <c r="B3" s="491"/>
      <c r="C3" s="491"/>
      <c r="D3" s="491"/>
      <c r="E3" s="491"/>
      <c r="F3" s="491"/>
      <c r="G3" s="491"/>
      <c r="H3" s="491"/>
      <c r="I3" s="491"/>
      <c r="J3" s="491"/>
      <c r="K3" s="491"/>
      <c r="L3" s="491"/>
      <c r="M3" s="491"/>
      <c r="N3" s="21"/>
      <c r="O3" s="20"/>
      <c r="Q3" s="486" t="s">
        <v>3393</v>
      </c>
      <c r="R3" s="486"/>
      <c r="S3" s="486"/>
      <c r="T3" s="486"/>
      <c r="U3" s="486"/>
      <c r="V3" s="486"/>
      <c r="W3" s="486"/>
      <c r="X3" s="486"/>
      <c r="Y3" s="486"/>
      <c r="Z3" s="486"/>
    </row>
    <row r="4" spans="1:26" ht="15" customHeight="1" x14ac:dyDescent="0.3">
      <c r="A4" s="18"/>
      <c r="B4" s="21"/>
      <c r="C4" s="21"/>
      <c r="D4" s="26"/>
      <c r="E4" s="21"/>
      <c r="F4" s="21"/>
      <c r="G4" s="21"/>
      <c r="H4" s="21"/>
      <c r="I4" s="21"/>
      <c r="J4" s="21"/>
      <c r="K4" s="21"/>
      <c r="L4" s="21"/>
      <c r="M4" s="21"/>
      <c r="N4" s="21"/>
      <c r="O4" s="20"/>
      <c r="Q4" s="487" t="s">
        <v>333</v>
      </c>
      <c r="R4" s="487"/>
      <c r="S4" s="487" t="s">
        <v>451</v>
      </c>
      <c r="T4" s="487"/>
      <c r="U4" s="487"/>
      <c r="V4" s="487"/>
      <c r="W4" s="487"/>
      <c r="X4" s="487"/>
      <c r="Y4" s="487"/>
      <c r="Z4" s="487"/>
    </row>
    <row r="5" spans="1:26" ht="15" customHeight="1" x14ac:dyDescent="0.3">
      <c r="A5" s="18"/>
      <c r="B5" s="21"/>
      <c r="C5" s="21"/>
      <c r="D5" s="26"/>
      <c r="E5" s="21"/>
      <c r="F5" s="21"/>
      <c r="G5" s="21"/>
      <c r="H5" s="21"/>
      <c r="I5" s="21"/>
      <c r="J5" s="21"/>
      <c r="K5" s="21"/>
      <c r="L5" s="21"/>
      <c r="M5" s="21"/>
      <c r="N5" s="21"/>
      <c r="O5" s="20"/>
      <c r="Q5" s="487"/>
      <c r="R5" s="487"/>
      <c r="S5" s="487"/>
      <c r="T5" s="487"/>
      <c r="U5" s="487"/>
      <c r="V5" s="487"/>
      <c r="W5" s="487"/>
      <c r="X5" s="487"/>
      <c r="Y5" s="487"/>
      <c r="Z5" s="487"/>
    </row>
    <row r="6" spans="1:26" ht="15" customHeight="1" x14ac:dyDescent="0.3">
      <c r="A6" s="18"/>
      <c r="B6" s="492" t="s">
        <v>166</v>
      </c>
      <c r="C6" s="493"/>
      <c r="D6" s="26"/>
      <c r="E6" s="21"/>
      <c r="F6" s="21"/>
      <c r="G6" s="492" t="s">
        <v>3394</v>
      </c>
      <c r="H6" s="493"/>
      <c r="I6" s="21"/>
      <c r="J6" s="21"/>
      <c r="K6" s="21"/>
      <c r="L6" s="21"/>
      <c r="M6" s="21"/>
      <c r="N6" s="21"/>
      <c r="O6" s="20"/>
      <c r="Q6" s="487"/>
      <c r="R6" s="487"/>
      <c r="S6" s="487"/>
      <c r="T6" s="487"/>
      <c r="U6" s="487"/>
      <c r="V6" s="487"/>
      <c r="W6" s="487"/>
      <c r="X6" s="487"/>
      <c r="Y6" s="487"/>
      <c r="Z6" s="487"/>
    </row>
    <row r="7" spans="1:26" x14ac:dyDescent="0.3">
      <c r="A7" s="18"/>
      <c r="B7" s="42" t="s">
        <v>77</v>
      </c>
      <c r="C7" s="42">
        <v>1</v>
      </c>
      <c r="D7" s="21"/>
      <c r="E7" s="21"/>
      <c r="F7" s="21"/>
      <c r="G7" s="30" t="str">
        <f t="array" ref="G7:H12">_xll.U.VAPPEND(B7:C9,B12:C14)</f>
        <v>a</v>
      </c>
      <c r="H7" s="30">
        <v>1</v>
      </c>
      <c r="I7" s="21"/>
      <c r="J7" s="21"/>
      <c r="K7" s="21"/>
      <c r="L7" s="21"/>
      <c r="M7" s="21"/>
      <c r="N7" s="21"/>
      <c r="O7" s="20"/>
      <c r="Q7" s="483" t="s">
        <v>323</v>
      </c>
      <c r="R7" s="483"/>
      <c r="S7" s="483" t="s">
        <v>1</v>
      </c>
      <c r="T7" s="483"/>
      <c r="U7" s="483"/>
      <c r="V7" s="483"/>
      <c r="W7" s="483"/>
      <c r="X7" s="483"/>
      <c r="Y7" s="483"/>
      <c r="Z7" s="85" t="s">
        <v>324</v>
      </c>
    </row>
    <row r="8" spans="1:26" ht="15" customHeight="1" x14ac:dyDescent="0.3">
      <c r="A8" s="18"/>
      <c r="B8" s="42" t="s">
        <v>78</v>
      </c>
      <c r="C8" s="42">
        <v>2</v>
      </c>
      <c r="D8" s="21"/>
      <c r="E8" s="21"/>
      <c r="F8" s="21"/>
      <c r="G8" s="30" t="str">
        <v>b</v>
      </c>
      <c r="H8" s="30">
        <v>2</v>
      </c>
      <c r="I8" s="21"/>
      <c r="J8" s="21"/>
      <c r="K8" s="21"/>
      <c r="L8" s="21"/>
      <c r="M8" s="21"/>
      <c r="N8" s="21"/>
      <c r="O8" s="20"/>
      <c r="Q8" s="484" t="s">
        <v>1491</v>
      </c>
      <c r="R8" s="484"/>
      <c r="S8" s="484" t="s">
        <v>2962</v>
      </c>
      <c r="T8" s="484"/>
      <c r="U8" s="484"/>
      <c r="V8" s="484"/>
      <c r="W8" s="484"/>
      <c r="X8" s="484"/>
      <c r="Y8" s="484"/>
      <c r="Z8" s="485" t="s">
        <v>326</v>
      </c>
    </row>
    <row r="9" spans="1:26" x14ac:dyDescent="0.3">
      <c r="A9" s="18"/>
      <c r="B9" s="42" t="e">
        <f>1/0</f>
        <v>#DIV/0!</v>
      </c>
      <c r="C9" s="42" t="e" cm="1">
        <f t="array" ref="C9">blah</f>
        <v>#NAME?</v>
      </c>
      <c r="D9" s="21"/>
      <c r="E9" s="21"/>
      <c r="F9" s="21"/>
      <c r="G9" s="30" t="e">
        <v>#DIV/0!</v>
      </c>
      <c r="H9" s="30" t="e">
        <v>#NAME?</v>
      </c>
      <c r="I9" s="21"/>
      <c r="J9" s="21"/>
      <c r="K9" s="21"/>
      <c r="L9" s="21"/>
      <c r="M9" s="21"/>
      <c r="N9" s="21"/>
      <c r="O9" s="20"/>
      <c r="Q9" s="484"/>
      <c r="R9" s="484"/>
      <c r="S9" s="484"/>
      <c r="T9" s="484"/>
      <c r="U9" s="484"/>
      <c r="V9" s="484"/>
      <c r="W9" s="484"/>
      <c r="X9" s="484"/>
      <c r="Y9" s="484"/>
      <c r="Z9" s="485"/>
    </row>
    <row r="10" spans="1:26" x14ac:dyDescent="0.3">
      <c r="A10" s="18"/>
      <c r="B10" s="21"/>
      <c r="C10" s="21"/>
      <c r="D10" s="21"/>
      <c r="E10" s="21"/>
      <c r="F10" s="21"/>
      <c r="G10" s="30" t="str">
        <v>x</v>
      </c>
      <c r="H10" s="30">
        <v>9</v>
      </c>
      <c r="I10" s="21"/>
      <c r="J10" s="21"/>
      <c r="K10" s="21"/>
      <c r="L10" s="21"/>
      <c r="M10" s="21"/>
      <c r="N10" s="21"/>
      <c r="O10" s="20"/>
      <c r="Q10" s="484"/>
      <c r="R10" s="484"/>
      <c r="S10" s="484"/>
      <c r="T10" s="484"/>
      <c r="U10" s="484"/>
      <c r="V10" s="484"/>
      <c r="W10" s="484"/>
      <c r="X10" s="484"/>
      <c r="Y10" s="484"/>
      <c r="Z10" s="485"/>
    </row>
    <row r="11" spans="1:26" ht="15" customHeight="1" x14ac:dyDescent="0.3">
      <c r="A11" s="18"/>
      <c r="B11" s="492" t="s">
        <v>167</v>
      </c>
      <c r="C11" s="493"/>
      <c r="D11" s="21"/>
      <c r="E11" s="21"/>
      <c r="F11" s="21"/>
      <c r="G11" s="30" t="str">
        <v>y</v>
      </c>
      <c r="H11" s="30">
        <v>8</v>
      </c>
      <c r="I11" s="21"/>
      <c r="J11" s="21"/>
      <c r="K11" s="21"/>
      <c r="L11" s="21"/>
      <c r="M11" s="21"/>
      <c r="N11" s="21"/>
      <c r="O11" s="20"/>
      <c r="Q11" s="484" t="s">
        <v>458</v>
      </c>
      <c r="R11" s="484"/>
      <c r="S11" s="484" t="s">
        <v>450</v>
      </c>
      <c r="T11" s="484"/>
      <c r="U11" s="484"/>
      <c r="V11" s="484"/>
      <c r="W11" s="484"/>
      <c r="X11" s="484"/>
      <c r="Y11" s="484"/>
      <c r="Z11" s="485" t="s">
        <v>326</v>
      </c>
    </row>
    <row r="12" spans="1:26" x14ac:dyDescent="0.3">
      <c r="A12" s="18"/>
      <c r="B12" s="42" t="s">
        <v>80</v>
      </c>
      <c r="C12" s="42">
        <v>9</v>
      </c>
      <c r="D12" s="21"/>
      <c r="E12" s="21"/>
      <c r="F12" s="21"/>
      <c r="G12" s="30" t="str">
        <v>z</v>
      </c>
      <c r="H12" s="30">
        <v>7</v>
      </c>
      <c r="I12" s="21"/>
      <c r="J12" s="21"/>
      <c r="K12" s="21"/>
      <c r="L12" s="21"/>
      <c r="M12" s="21"/>
      <c r="N12" s="21"/>
      <c r="O12" s="20"/>
      <c r="Q12" s="484"/>
      <c r="R12" s="484"/>
      <c r="S12" s="484"/>
      <c r="T12" s="484"/>
      <c r="U12" s="484"/>
      <c r="V12" s="484"/>
      <c r="W12" s="484"/>
      <c r="X12" s="484"/>
      <c r="Y12" s="484"/>
      <c r="Z12" s="485"/>
    </row>
    <row r="13" spans="1:26" x14ac:dyDescent="0.3">
      <c r="A13" s="18"/>
      <c r="B13" s="42" t="s">
        <v>81</v>
      </c>
      <c r="C13" s="42">
        <v>8</v>
      </c>
      <c r="D13" s="21"/>
      <c r="E13" s="21"/>
      <c r="F13" s="21"/>
      <c r="G13" s="21"/>
      <c r="H13" s="21"/>
      <c r="I13" s="21"/>
      <c r="J13" s="21"/>
      <c r="K13" s="21"/>
      <c r="L13" s="21"/>
      <c r="M13" s="21"/>
      <c r="N13" s="21"/>
      <c r="O13" s="20"/>
      <c r="Q13" s="484"/>
      <c r="R13" s="484"/>
      <c r="S13" s="484"/>
      <c r="T13" s="484"/>
      <c r="U13" s="484"/>
      <c r="V13" s="484"/>
      <c r="W13" s="484"/>
      <c r="X13" s="484"/>
      <c r="Y13" s="484"/>
      <c r="Z13" s="485"/>
    </row>
    <row r="14" spans="1:26" ht="15" customHeight="1" x14ac:dyDescent="0.3">
      <c r="A14" s="18"/>
      <c r="B14" s="42" t="s">
        <v>82</v>
      </c>
      <c r="C14" s="42">
        <v>7</v>
      </c>
      <c r="D14" s="21"/>
      <c r="E14" s="21"/>
      <c r="F14" s="21"/>
      <c r="G14" s="492" t="s">
        <v>3394</v>
      </c>
      <c r="H14" s="493"/>
      <c r="I14" s="21"/>
      <c r="J14" s="21"/>
      <c r="K14" s="21"/>
      <c r="L14" s="21"/>
      <c r="M14" s="21"/>
      <c r="N14" s="21"/>
      <c r="O14" s="20"/>
      <c r="Q14" s="484" t="s">
        <v>458</v>
      </c>
      <c r="R14" s="484"/>
      <c r="S14" s="484" t="s">
        <v>450</v>
      </c>
      <c r="T14" s="484"/>
      <c r="U14" s="484"/>
      <c r="V14" s="484"/>
      <c r="W14" s="484"/>
      <c r="X14" s="484"/>
      <c r="Y14" s="484"/>
      <c r="Z14" s="485" t="s">
        <v>326</v>
      </c>
    </row>
    <row r="15" spans="1:26" x14ac:dyDescent="0.3">
      <c r="A15" s="18"/>
      <c r="B15" s="21"/>
      <c r="C15" s="21"/>
      <c r="D15" s="21"/>
      <c r="E15" s="21"/>
      <c r="F15" s="21"/>
      <c r="G15" s="30" t="str">
        <f t="array" ref="G15:H24">_xll.U.VFILTER(_xll.U.VAPPEND(B7:C9,(B12:C14,B17:C20)))</f>
        <v>a</v>
      </c>
      <c r="H15" s="30">
        <v>1</v>
      </c>
      <c r="I15" s="21"/>
      <c r="J15" s="21"/>
      <c r="K15" s="21"/>
      <c r="L15" s="21"/>
      <c r="M15" s="21"/>
      <c r="N15" s="21"/>
      <c r="O15" s="20"/>
      <c r="Q15" s="484"/>
      <c r="R15" s="484"/>
      <c r="S15" s="484"/>
      <c r="T15" s="484"/>
      <c r="U15" s="484"/>
      <c r="V15" s="484"/>
      <c r="W15" s="484"/>
      <c r="X15" s="484"/>
      <c r="Y15" s="484"/>
      <c r="Z15" s="485"/>
    </row>
    <row r="16" spans="1:26" x14ac:dyDescent="0.3">
      <c r="A16" s="18"/>
      <c r="B16" s="492" t="s">
        <v>168</v>
      </c>
      <c r="C16" s="493"/>
      <c r="D16" s="21"/>
      <c r="E16" s="21"/>
      <c r="F16" s="21"/>
      <c r="G16" s="30" t="str">
        <v>b</v>
      </c>
      <c r="H16" s="30">
        <v>2</v>
      </c>
      <c r="I16" s="21"/>
      <c r="J16" s="21"/>
      <c r="K16" s="21"/>
      <c r="L16" s="21"/>
      <c r="M16" s="21"/>
      <c r="N16" s="21"/>
      <c r="O16" s="20"/>
      <c r="Q16" s="484"/>
      <c r="R16" s="484"/>
      <c r="S16" s="484"/>
      <c r="T16" s="484"/>
      <c r="U16" s="484"/>
      <c r="V16" s="484"/>
      <c r="W16" s="484"/>
      <c r="X16" s="484"/>
      <c r="Y16" s="484"/>
      <c r="Z16" s="485"/>
    </row>
    <row r="17" spans="1:26" ht="15" customHeight="1" x14ac:dyDescent="0.3">
      <c r="A17" s="18"/>
      <c r="B17" s="42" t="s">
        <v>161</v>
      </c>
      <c r="C17" s="42">
        <v>1</v>
      </c>
      <c r="D17" s="21"/>
      <c r="E17" s="21"/>
      <c r="F17" s="21"/>
      <c r="G17" s="30" t="str">
        <v>x</v>
      </c>
      <c r="H17" s="30">
        <v>9</v>
      </c>
      <c r="I17" s="21"/>
      <c r="J17" s="21"/>
      <c r="K17" s="21"/>
      <c r="L17" s="21"/>
      <c r="M17" s="21"/>
      <c r="N17" s="21"/>
      <c r="O17" s="20"/>
      <c r="Q17" s="484" t="s">
        <v>458</v>
      </c>
      <c r="R17" s="484"/>
      <c r="S17" s="484" t="s">
        <v>450</v>
      </c>
      <c r="T17" s="484"/>
      <c r="U17" s="484"/>
      <c r="V17" s="484"/>
      <c r="W17" s="484"/>
      <c r="X17" s="484"/>
      <c r="Y17" s="484"/>
      <c r="Z17" s="485" t="s">
        <v>326</v>
      </c>
    </row>
    <row r="18" spans="1:26" x14ac:dyDescent="0.3">
      <c r="A18" s="18"/>
      <c r="B18" s="42" t="s">
        <v>162</v>
      </c>
      <c r="C18" s="42">
        <v>2</v>
      </c>
      <c r="D18" s="21"/>
      <c r="E18" s="21"/>
      <c r="F18" s="21"/>
      <c r="G18" s="30" t="str">
        <v>y</v>
      </c>
      <c r="H18" s="30">
        <v>8</v>
      </c>
      <c r="I18" s="21"/>
      <c r="J18" s="21"/>
      <c r="K18" s="21"/>
      <c r="L18" s="21"/>
      <c r="M18" s="21"/>
      <c r="N18" s="21"/>
      <c r="O18" s="20"/>
      <c r="Q18" s="484"/>
      <c r="R18" s="484"/>
      <c r="S18" s="484"/>
      <c r="T18" s="484"/>
      <c r="U18" s="484"/>
      <c r="V18" s="484"/>
      <c r="W18" s="484"/>
      <c r="X18" s="484"/>
      <c r="Y18" s="484"/>
      <c r="Z18" s="485"/>
    </row>
    <row r="19" spans="1:26" x14ac:dyDescent="0.3">
      <c r="A19" s="18"/>
      <c r="B19" s="42" t="e">
        <f>NA()</f>
        <v>#N/A</v>
      </c>
      <c r="C19" s="42" t="e">
        <f>1/0</f>
        <v>#DIV/0!</v>
      </c>
      <c r="D19" s="21"/>
      <c r="E19" s="21"/>
      <c r="F19" s="21"/>
      <c r="G19" s="30" t="str">
        <v>z</v>
      </c>
      <c r="H19" s="30">
        <v>7</v>
      </c>
      <c r="I19" s="21"/>
      <c r="J19" s="21"/>
      <c r="K19" s="21"/>
      <c r="L19" s="21"/>
      <c r="M19" s="21"/>
      <c r="N19" s="21"/>
      <c r="O19" s="20"/>
      <c r="Q19" s="484"/>
      <c r="R19" s="484"/>
      <c r="S19" s="484"/>
      <c r="T19" s="484"/>
      <c r="U19" s="484"/>
      <c r="V19" s="484"/>
      <c r="W19" s="484"/>
      <c r="X19" s="484"/>
      <c r="Y19" s="484"/>
      <c r="Z19" s="485"/>
    </row>
    <row r="20" spans="1:26" ht="15" customHeight="1" x14ac:dyDescent="0.3">
      <c r="A20" s="18"/>
      <c r="B20" s="42"/>
      <c r="C20" s="42"/>
      <c r="D20" s="21"/>
      <c r="E20" s="21"/>
      <c r="F20" s="21"/>
      <c r="G20" s="30" t="str">
        <v>Tom</v>
      </c>
      <c r="H20" s="30">
        <v>1</v>
      </c>
      <c r="I20" s="21"/>
      <c r="J20" s="21"/>
      <c r="K20" s="21"/>
      <c r="L20" s="21"/>
      <c r="M20" s="21"/>
      <c r="N20" s="21"/>
      <c r="O20" s="20"/>
      <c r="Q20" s="484" t="s">
        <v>458</v>
      </c>
      <c r="R20" s="484"/>
      <c r="S20" s="484" t="s">
        <v>450</v>
      </c>
      <c r="T20" s="484"/>
      <c r="U20" s="484"/>
      <c r="V20" s="484"/>
      <c r="W20" s="484"/>
      <c r="X20" s="484"/>
      <c r="Y20" s="484"/>
      <c r="Z20" s="485" t="s">
        <v>326</v>
      </c>
    </row>
    <row r="21" spans="1:26" x14ac:dyDescent="0.3">
      <c r="A21" s="18"/>
      <c r="B21" s="21"/>
      <c r="C21" s="21"/>
      <c r="D21" s="21"/>
      <c r="E21" s="21"/>
      <c r="F21" s="21"/>
      <c r="G21" s="30" t="str">
        <v>Dick</v>
      </c>
      <c r="H21" s="30">
        <v>2</v>
      </c>
      <c r="I21" s="21"/>
      <c r="J21" s="21"/>
      <c r="K21" s="21"/>
      <c r="L21" s="21"/>
      <c r="M21" s="21"/>
      <c r="N21" s="21"/>
      <c r="O21" s="20"/>
      <c r="Q21" s="484"/>
      <c r="R21" s="484"/>
      <c r="S21" s="484"/>
      <c r="T21" s="484"/>
      <c r="U21" s="484"/>
      <c r="V21" s="484"/>
      <c r="W21" s="484"/>
      <c r="X21" s="484"/>
      <c r="Y21" s="484"/>
      <c r="Z21" s="485"/>
    </row>
    <row r="22" spans="1:26" x14ac:dyDescent="0.3">
      <c r="A22" s="18"/>
      <c r="B22" s="21"/>
      <c r="C22" s="21"/>
      <c r="D22" s="21"/>
      <c r="E22" s="21"/>
      <c r="F22" s="21"/>
      <c r="G22" s="30" t="e">
        <v>#N/A</v>
      </c>
      <c r="H22" s="30" t="e">
        <v>#N/A</v>
      </c>
      <c r="I22" s="21"/>
      <c r="J22" s="21"/>
      <c r="K22" s="21"/>
      <c r="L22" s="21"/>
      <c r="M22" s="21"/>
      <c r="N22" s="21"/>
      <c r="O22" s="20"/>
      <c r="Q22" s="484"/>
      <c r="R22" s="484"/>
      <c r="S22" s="484"/>
      <c r="T22" s="484"/>
      <c r="U22" s="484"/>
      <c r="V22" s="484"/>
      <c r="W22" s="484"/>
      <c r="X22" s="484"/>
      <c r="Y22" s="484"/>
      <c r="Z22" s="485"/>
    </row>
    <row r="23" spans="1:26" ht="15" customHeight="1" x14ac:dyDescent="0.3">
      <c r="A23" s="18"/>
      <c r="B23" s="21"/>
      <c r="C23" s="21"/>
      <c r="D23" s="21"/>
      <c r="E23" s="21"/>
      <c r="F23" s="21"/>
      <c r="G23" s="30" t="e">
        <v>#N/A</v>
      </c>
      <c r="H23" s="30" t="e">
        <v>#N/A</v>
      </c>
      <c r="I23" s="21"/>
      <c r="J23" s="21"/>
      <c r="K23" s="21"/>
      <c r="L23" s="21"/>
      <c r="M23" s="21"/>
      <c r="N23" s="21"/>
      <c r="O23" s="20"/>
      <c r="Q23" s="484" t="s">
        <v>458</v>
      </c>
      <c r="R23" s="484"/>
      <c r="S23" s="484" t="s">
        <v>450</v>
      </c>
      <c r="T23" s="484"/>
      <c r="U23" s="484"/>
      <c r="V23" s="484"/>
      <c r="W23" s="484"/>
      <c r="X23" s="484"/>
      <c r="Y23" s="484"/>
      <c r="Z23" s="485" t="s">
        <v>326</v>
      </c>
    </row>
    <row r="24" spans="1:26" x14ac:dyDescent="0.3">
      <c r="A24" s="18"/>
      <c r="B24" s="21"/>
      <c r="C24" s="21"/>
      <c r="D24" s="21"/>
      <c r="E24" s="21"/>
      <c r="F24" s="21"/>
      <c r="G24" s="30" t="e">
        <v>#N/A</v>
      </c>
      <c r="H24" s="30" t="e">
        <v>#N/A</v>
      </c>
      <c r="I24" s="21"/>
      <c r="J24" s="21"/>
      <c r="K24" s="21"/>
      <c r="L24" s="21"/>
      <c r="M24" s="21"/>
      <c r="N24" s="21"/>
      <c r="O24" s="20"/>
      <c r="Q24" s="484"/>
      <c r="R24" s="484"/>
      <c r="S24" s="484"/>
      <c r="T24" s="484"/>
      <c r="U24" s="484"/>
      <c r="V24" s="484"/>
      <c r="W24" s="484"/>
      <c r="X24" s="484"/>
      <c r="Y24" s="484"/>
      <c r="Z24" s="485"/>
    </row>
    <row r="25" spans="1:26" x14ac:dyDescent="0.3">
      <c r="A25" s="18"/>
      <c r="B25" s="2" t="s">
        <v>169</v>
      </c>
      <c r="C25" s="21"/>
      <c r="D25" s="21"/>
      <c r="E25" s="21"/>
      <c r="F25" s="21"/>
      <c r="G25" s="21"/>
      <c r="H25" s="21"/>
      <c r="I25" s="21"/>
      <c r="J25" s="21"/>
      <c r="K25" s="21"/>
      <c r="L25" s="21"/>
      <c r="M25" s="21"/>
      <c r="N25" s="21"/>
      <c r="O25" s="20"/>
      <c r="Q25" s="484"/>
      <c r="R25" s="484"/>
      <c r="S25" s="484"/>
      <c r="T25" s="484"/>
      <c r="U25" s="484"/>
      <c r="V25" s="484"/>
      <c r="W25" s="484"/>
      <c r="X25" s="484"/>
      <c r="Y25" s="484"/>
      <c r="Z25" s="485"/>
    </row>
    <row r="26" spans="1:26" ht="15" customHeight="1" x14ac:dyDescent="0.3">
      <c r="A26" s="18"/>
      <c r="B26" s="42" t="s">
        <v>80</v>
      </c>
      <c r="C26" s="21"/>
      <c r="D26" s="21"/>
      <c r="E26" s="21"/>
      <c r="F26" s="21"/>
      <c r="G26" s="475" t="s">
        <v>3394</v>
      </c>
      <c r="H26" s="475"/>
      <c r="I26" s="475"/>
      <c r="J26" s="21"/>
      <c r="K26" s="21"/>
      <c r="L26" s="21"/>
      <c r="M26" s="21"/>
      <c r="N26" s="21"/>
      <c r="O26" s="20"/>
      <c r="Q26" s="484" t="s">
        <v>458</v>
      </c>
      <c r="R26" s="484"/>
      <c r="S26" s="484" t="s">
        <v>450</v>
      </c>
      <c r="T26" s="484"/>
      <c r="U26" s="484"/>
      <c r="V26" s="484"/>
      <c r="W26" s="484"/>
      <c r="X26" s="484"/>
      <c r="Y26" s="484"/>
      <c r="Z26" s="485" t="s">
        <v>326</v>
      </c>
    </row>
    <row r="27" spans="1:26" x14ac:dyDescent="0.3">
      <c r="A27" s="18"/>
      <c r="B27" s="42" t="s">
        <v>81</v>
      </c>
      <c r="C27" s="21"/>
      <c r="D27" s="21"/>
      <c r="E27" s="21"/>
      <c r="F27" s="21"/>
      <c r="G27" s="30" t="str">
        <f t="array" ref="G27:I36">_xll.U.VAPPEND(B7:C9,B26:B28,B31:D34)</f>
        <v>a</v>
      </c>
      <c r="H27" s="30">
        <v>1</v>
      </c>
      <c r="I27" s="30" t="str">
        <v/>
      </c>
      <c r="J27" s="21"/>
      <c r="K27" s="21"/>
      <c r="L27" s="21"/>
      <c r="M27" s="21"/>
      <c r="N27" s="21"/>
      <c r="O27" s="20"/>
      <c r="Q27" s="484"/>
      <c r="R27" s="484"/>
      <c r="S27" s="484"/>
      <c r="T27" s="484"/>
      <c r="U27" s="484"/>
      <c r="V27" s="484"/>
      <c r="W27" s="484"/>
      <c r="X27" s="484"/>
      <c r="Y27" s="484"/>
      <c r="Z27" s="485"/>
    </row>
    <row r="28" spans="1:26" x14ac:dyDescent="0.3">
      <c r="A28" s="18"/>
      <c r="B28" s="42" t="s">
        <v>82</v>
      </c>
      <c r="C28" s="21"/>
      <c r="D28" s="21"/>
      <c r="E28" s="21"/>
      <c r="F28" s="21"/>
      <c r="G28" s="30" t="str">
        <v>b</v>
      </c>
      <c r="H28" s="30">
        <v>2</v>
      </c>
      <c r="I28" s="30" t="str">
        <v/>
      </c>
      <c r="J28" s="21"/>
      <c r="K28" s="21"/>
      <c r="L28" s="21"/>
      <c r="M28" s="21"/>
      <c r="N28" s="21"/>
      <c r="O28" s="20"/>
      <c r="Q28" s="484"/>
      <c r="R28" s="484"/>
      <c r="S28" s="484"/>
      <c r="T28" s="484"/>
      <c r="U28" s="484"/>
      <c r="V28" s="484"/>
      <c r="W28" s="484"/>
      <c r="X28" s="484"/>
      <c r="Y28" s="484"/>
      <c r="Z28" s="485"/>
    </row>
    <row r="29" spans="1:26" ht="15" customHeight="1" x14ac:dyDescent="0.3">
      <c r="A29" s="18"/>
      <c r="B29" s="21"/>
      <c r="C29" s="21"/>
      <c r="D29" s="21"/>
      <c r="E29" s="21"/>
      <c r="F29" s="21"/>
      <c r="G29" s="30" t="e">
        <v>#DIV/0!</v>
      </c>
      <c r="H29" s="30" t="e">
        <v>#NAME?</v>
      </c>
      <c r="I29" s="30" t="str">
        <v/>
      </c>
      <c r="J29" s="21"/>
      <c r="K29" s="21"/>
      <c r="L29" s="21"/>
      <c r="M29" s="21"/>
      <c r="N29" s="21"/>
      <c r="O29" s="20"/>
      <c r="Q29" s="484" t="s">
        <v>458</v>
      </c>
      <c r="R29" s="484"/>
      <c r="S29" s="484" t="s">
        <v>450</v>
      </c>
      <c r="T29" s="484"/>
      <c r="U29" s="484"/>
      <c r="V29" s="484"/>
      <c r="W29" s="484"/>
      <c r="X29" s="484"/>
      <c r="Y29" s="484"/>
      <c r="Z29" s="485" t="s">
        <v>326</v>
      </c>
    </row>
    <row r="30" spans="1:26" x14ac:dyDescent="0.3">
      <c r="A30" s="18"/>
      <c r="B30" s="475" t="s">
        <v>170</v>
      </c>
      <c r="C30" s="475"/>
      <c r="D30" s="475"/>
      <c r="E30" s="21"/>
      <c r="F30" s="21"/>
      <c r="G30" s="30" t="str">
        <v>x</v>
      </c>
      <c r="H30" s="30" t="str">
        <v/>
      </c>
      <c r="I30" s="30" t="str">
        <v/>
      </c>
      <c r="J30" s="21"/>
      <c r="K30" s="21"/>
      <c r="L30" s="21"/>
      <c r="M30" s="21"/>
      <c r="N30" s="21"/>
      <c r="O30" s="20"/>
      <c r="Q30" s="484"/>
      <c r="R30" s="484"/>
      <c r="S30" s="484"/>
      <c r="T30" s="484"/>
      <c r="U30" s="484"/>
      <c r="V30" s="484"/>
      <c r="W30" s="484"/>
      <c r="X30" s="484"/>
      <c r="Y30" s="484"/>
      <c r="Z30" s="485"/>
    </row>
    <row r="31" spans="1:26" x14ac:dyDescent="0.3">
      <c r="A31" s="18"/>
      <c r="B31" s="42" t="s">
        <v>161</v>
      </c>
      <c r="C31" s="42">
        <v>1</v>
      </c>
      <c r="D31" s="42" t="s">
        <v>163</v>
      </c>
      <c r="E31" s="21"/>
      <c r="F31" s="21"/>
      <c r="G31" s="30" t="str">
        <v>y</v>
      </c>
      <c r="H31" s="30" t="str">
        <v/>
      </c>
      <c r="I31" s="30" t="str">
        <v/>
      </c>
      <c r="J31" s="21"/>
      <c r="K31" s="21"/>
      <c r="L31" s="21"/>
      <c r="M31" s="21"/>
      <c r="N31" s="21"/>
      <c r="O31" s="20"/>
      <c r="Q31" s="484"/>
      <c r="R31" s="484"/>
      <c r="S31" s="484"/>
      <c r="T31" s="484"/>
      <c r="U31" s="484"/>
      <c r="V31" s="484"/>
      <c r="W31" s="484"/>
      <c r="X31" s="484"/>
      <c r="Y31" s="484"/>
      <c r="Z31" s="485"/>
    </row>
    <row r="32" spans="1:26" ht="15" customHeight="1" x14ac:dyDescent="0.3">
      <c r="A32" s="18"/>
      <c r="B32" s="42" t="s">
        <v>162</v>
      </c>
      <c r="C32" s="42">
        <v>2</v>
      </c>
      <c r="D32" s="42" t="s">
        <v>164</v>
      </c>
      <c r="E32" s="21"/>
      <c r="F32" s="21"/>
      <c r="G32" s="30" t="str">
        <v>z</v>
      </c>
      <c r="H32" s="30" t="str">
        <v/>
      </c>
      <c r="I32" s="30" t="str">
        <v/>
      </c>
      <c r="J32" s="21"/>
      <c r="K32" s="21"/>
      <c r="L32" s="21"/>
      <c r="M32" s="21"/>
      <c r="N32" s="21"/>
      <c r="O32" s="20"/>
      <c r="Q32" s="484" t="s">
        <v>458</v>
      </c>
      <c r="R32" s="484"/>
      <c r="S32" s="484" t="s">
        <v>450</v>
      </c>
      <c r="T32" s="484"/>
      <c r="U32" s="484"/>
      <c r="V32" s="484"/>
      <c r="W32" s="484"/>
      <c r="X32" s="484"/>
      <c r="Y32" s="484"/>
      <c r="Z32" s="485" t="s">
        <v>326</v>
      </c>
    </row>
    <row r="33" spans="1:26" x14ac:dyDescent="0.3">
      <c r="A33" s="18"/>
      <c r="B33" s="42" t="e">
        <f>NA()</f>
        <v>#N/A</v>
      </c>
      <c r="C33" s="42" t="e">
        <f>1/0</f>
        <v>#DIV/0!</v>
      </c>
      <c r="D33" s="42" t="s">
        <v>165</v>
      </c>
      <c r="E33" s="21"/>
      <c r="F33" s="21"/>
      <c r="G33" s="30" t="str">
        <v>Tom</v>
      </c>
      <c r="H33" s="30">
        <v>1</v>
      </c>
      <c r="I33" s="30" t="str">
        <v>Mary</v>
      </c>
      <c r="J33" s="21"/>
      <c r="K33" s="21"/>
      <c r="L33" s="21"/>
      <c r="M33" s="21"/>
      <c r="N33" s="21"/>
      <c r="O33" s="20"/>
      <c r="Q33" s="484"/>
      <c r="R33" s="484"/>
      <c r="S33" s="484"/>
      <c r="T33" s="484"/>
      <c r="U33" s="484"/>
      <c r="V33" s="484"/>
      <c r="W33" s="484"/>
      <c r="X33" s="484"/>
      <c r="Y33" s="484"/>
      <c r="Z33" s="485"/>
    </row>
    <row r="34" spans="1:26" x14ac:dyDescent="0.3">
      <c r="A34" s="18"/>
      <c r="B34" s="42"/>
      <c r="C34" s="42"/>
      <c r="D34" s="42"/>
      <c r="E34" s="21"/>
      <c r="F34" s="21"/>
      <c r="G34" s="30" t="str">
        <v>Dick</v>
      </c>
      <c r="H34" s="30">
        <v>2</v>
      </c>
      <c r="I34" s="30" t="str">
        <v>Jo</v>
      </c>
      <c r="J34" s="21"/>
      <c r="K34" s="21"/>
      <c r="L34" s="21"/>
      <c r="M34" s="21"/>
      <c r="N34" s="21"/>
      <c r="O34" s="20"/>
      <c r="Q34" s="484"/>
      <c r="R34" s="484"/>
      <c r="S34" s="484"/>
      <c r="T34" s="484"/>
      <c r="U34" s="484"/>
      <c r="V34" s="484"/>
      <c r="W34" s="484"/>
      <c r="X34" s="484"/>
      <c r="Y34" s="484"/>
      <c r="Z34" s="485"/>
    </row>
    <row r="35" spans="1:26" ht="15" customHeight="1" x14ac:dyDescent="0.3">
      <c r="A35" s="18"/>
      <c r="B35" s="21"/>
      <c r="C35" s="21"/>
      <c r="D35" s="21"/>
      <c r="E35" s="21"/>
      <c r="F35" s="21"/>
      <c r="G35" s="30" t="e">
        <v>#N/A</v>
      </c>
      <c r="H35" s="30" t="e">
        <v>#DIV/0!</v>
      </c>
      <c r="I35" s="30" t="str">
        <v>Beth</v>
      </c>
      <c r="J35" s="21"/>
      <c r="K35" s="21"/>
      <c r="L35" s="21"/>
      <c r="M35" s="21"/>
      <c r="N35" s="21"/>
      <c r="O35" s="20"/>
      <c r="Q35" s="484" t="s">
        <v>458</v>
      </c>
      <c r="R35" s="484"/>
      <c r="S35" s="484" t="s">
        <v>450</v>
      </c>
      <c r="T35" s="484"/>
      <c r="U35" s="484"/>
      <c r="V35" s="484"/>
      <c r="W35" s="484"/>
      <c r="X35" s="484"/>
      <c r="Y35" s="484"/>
      <c r="Z35" s="485" t="s">
        <v>326</v>
      </c>
    </row>
    <row r="36" spans="1:26" x14ac:dyDescent="0.3">
      <c r="A36" s="18"/>
      <c r="B36" s="21"/>
      <c r="C36" s="21"/>
      <c r="D36" s="21"/>
      <c r="E36" s="21"/>
      <c r="F36" s="21"/>
      <c r="G36" s="30" t="str">
        <v/>
      </c>
      <c r="H36" s="30" t="str">
        <v/>
      </c>
      <c r="I36" s="30" t="str">
        <v/>
      </c>
      <c r="J36" s="21"/>
      <c r="K36" s="21"/>
      <c r="L36" s="21"/>
      <c r="M36" s="21"/>
      <c r="N36" s="21"/>
      <c r="O36" s="20"/>
      <c r="Q36" s="484"/>
      <c r="R36" s="484"/>
      <c r="S36" s="484"/>
      <c r="T36" s="484"/>
      <c r="U36" s="484"/>
      <c r="V36" s="484"/>
      <c r="W36" s="484"/>
      <c r="X36" s="484"/>
      <c r="Y36" s="484"/>
      <c r="Z36" s="485"/>
    </row>
    <row r="37" spans="1:26" x14ac:dyDescent="0.3">
      <c r="A37" s="18"/>
      <c r="B37" s="21"/>
      <c r="C37" s="21"/>
      <c r="D37" s="21"/>
      <c r="E37" s="21"/>
      <c r="F37" s="21"/>
      <c r="G37" s="21"/>
      <c r="H37" s="21"/>
      <c r="I37" s="21"/>
      <c r="J37" s="21"/>
      <c r="K37" s="21"/>
      <c r="L37" s="21"/>
      <c r="M37" s="21"/>
      <c r="N37" s="21"/>
      <c r="O37" s="20"/>
      <c r="Q37" s="484"/>
      <c r="R37" s="484"/>
      <c r="S37" s="484"/>
      <c r="T37" s="484"/>
      <c r="U37" s="484"/>
      <c r="V37" s="484"/>
      <c r="W37" s="484"/>
      <c r="X37" s="484"/>
      <c r="Y37" s="484"/>
      <c r="Z37" s="485"/>
    </row>
    <row r="38" spans="1:26" x14ac:dyDescent="0.3">
      <c r="A38" s="18"/>
      <c r="B38" s="21"/>
      <c r="C38" s="21"/>
      <c r="D38" s="21"/>
      <c r="E38" s="21"/>
      <c r="F38" s="21"/>
      <c r="G38" s="21"/>
      <c r="H38" s="21"/>
      <c r="I38" s="21"/>
      <c r="J38" s="21"/>
      <c r="K38" s="21"/>
      <c r="L38" s="21"/>
      <c r="M38" s="21"/>
      <c r="N38" s="21"/>
      <c r="O38" s="20"/>
      <c r="Q38" s="126" t="s">
        <v>328</v>
      </c>
    </row>
    <row r="39" spans="1:26" x14ac:dyDescent="0.3">
      <c r="A39" s="18"/>
      <c r="B39" s="21"/>
      <c r="C39" s="21"/>
      <c r="D39" s="21"/>
      <c r="E39" s="21"/>
      <c r="F39" s="21"/>
      <c r="G39" s="21"/>
      <c r="H39" s="21"/>
      <c r="I39" s="21"/>
      <c r="J39" s="21"/>
      <c r="K39" s="21"/>
      <c r="L39" s="21"/>
      <c r="M39" s="21"/>
      <c r="N39" s="21"/>
      <c r="O39" s="20"/>
    </row>
    <row r="40" spans="1:26" x14ac:dyDescent="0.3">
      <c r="A40" s="18"/>
      <c r="B40" s="21"/>
      <c r="C40" s="21"/>
      <c r="D40" s="21"/>
      <c r="E40" s="21"/>
      <c r="F40" s="21"/>
      <c r="G40" s="21"/>
      <c r="H40" s="21"/>
      <c r="I40" s="21"/>
      <c r="J40" s="21"/>
      <c r="K40" s="21"/>
      <c r="L40" s="21"/>
      <c r="M40" s="21"/>
      <c r="N40" s="21"/>
      <c r="O40" s="20"/>
    </row>
    <row r="41" spans="1:26" x14ac:dyDescent="0.3">
      <c r="A41" s="18"/>
      <c r="B41" s="21"/>
      <c r="C41" s="21"/>
      <c r="D41" s="21"/>
      <c r="E41" s="21"/>
      <c r="F41" s="21"/>
      <c r="G41" s="21"/>
      <c r="H41" s="21"/>
      <c r="I41" s="21"/>
      <c r="J41" s="21"/>
      <c r="K41" s="21"/>
      <c r="L41" s="21"/>
      <c r="M41" s="21"/>
      <c r="N41" s="21"/>
      <c r="O41" s="20"/>
    </row>
    <row r="42" spans="1:26" x14ac:dyDescent="0.3">
      <c r="A42" s="18"/>
      <c r="B42" s="21"/>
      <c r="C42" s="21"/>
      <c r="D42" s="21"/>
      <c r="E42" s="21"/>
      <c r="F42" s="21"/>
      <c r="G42" s="21"/>
      <c r="H42" s="21"/>
      <c r="I42" s="21"/>
      <c r="J42" s="21"/>
      <c r="K42" s="21"/>
      <c r="L42" s="21"/>
      <c r="M42" s="21"/>
      <c r="N42" s="21"/>
      <c r="O42" s="20"/>
    </row>
    <row r="43" spans="1:26" x14ac:dyDescent="0.3">
      <c r="A43" s="18"/>
      <c r="B43" s="271" t="s">
        <v>1506</v>
      </c>
      <c r="C43" s="250" t="str" cm="1">
        <f t="array" ref="C43">_xll.U.CACHE((B47:C49,B52:C54),"Data 1")</f>
        <v>Data 1 | 2026-02-19 10:52:23.523</v>
      </c>
      <c r="D43" s="113"/>
      <c r="E43" s="21"/>
      <c r="F43" s="21"/>
      <c r="G43" s="492" t="s">
        <v>3394</v>
      </c>
      <c r="H43" s="493"/>
      <c r="I43" s="21"/>
      <c r="J43" s="21"/>
      <c r="K43" s="21"/>
      <c r="L43" s="21"/>
      <c r="M43" s="21"/>
      <c r="N43" s="21"/>
      <c r="O43" s="20"/>
    </row>
    <row r="44" spans="1:26" x14ac:dyDescent="0.3">
      <c r="A44" s="18"/>
      <c r="B44" s="271" t="s">
        <v>1507</v>
      </c>
      <c r="C44" s="250" t="str" cm="1">
        <f t="array" ref="C44">_xll.U.CACHE((B57:C59,B62:C64),"Data 2")</f>
        <v>Data 2 | 2026-02-19 10:52:23.585</v>
      </c>
      <c r="D44" s="113"/>
      <c r="E44" s="21"/>
      <c r="F44" s="21"/>
      <c r="G44" s="30" t="str">
        <f t="array" ref="G44:H56">_xll.U.VAPPEND(C43:C44)</f>
        <v>Symbol</v>
      </c>
      <c r="H44" s="30" t="str">
        <v>Value</v>
      </c>
      <c r="I44" s="21"/>
      <c r="J44" s="21"/>
      <c r="K44" s="21"/>
      <c r="L44" s="21"/>
      <c r="M44" s="21"/>
      <c r="N44" s="21"/>
      <c r="O44" s="20"/>
    </row>
    <row r="45" spans="1:26" x14ac:dyDescent="0.3">
      <c r="A45" s="18"/>
      <c r="B45" s="21"/>
      <c r="C45" s="21"/>
      <c r="D45" s="21"/>
      <c r="E45" s="21"/>
      <c r="F45" s="21"/>
      <c r="G45" s="30" t="str">
        <v>abc</v>
      </c>
      <c r="H45" s="30">
        <v>1</v>
      </c>
      <c r="I45" s="21"/>
      <c r="J45" s="21"/>
      <c r="K45" s="21"/>
      <c r="L45" s="21"/>
      <c r="M45" s="21"/>
      <c r="N45" s="21"/>
      <c r="O45" s="20"/>
    </row>
    <row r="46" spans="1:26" x14ac:dyDescent="0.3">
      <c r="A46" s="18"/>
      <c r="B46" s="492" t="s">
        <v>1496</v>
      </c>
      <c r="C46" s="493"/>
      <c r="D46" s="21"/>
      <c r="F46" s="21"/>
      <c r="G46" s="30" t="str">
        <v>def</v>
      </c>
      <c r="H46" s="30">
        <v>2</v>
      </c>
      <c r="I46" s="21"/>
      <c r="J46" s="21"/>
      <c r="K46" s="21"/>
      <c r="L46" s="21"/>
      <c r="M46" s="21"/>
      <c r="N46" s="21"/>
      <c r="O46" s="20"/>
    </row>
    <row r="47" spans="1:26" x14ac:dyDescent="0.3">
      <c r="A47" s="18"/>
      <c r="B47" s="59" t="s">
        <v>2</v>
      </c>
      <c r="C47" s="59" t="s">
        <v>17</v>
      </c>
      <c r="D47" s="21"/>
      <c r="E47" s="21"/>
      <c r="F47" s="21"/>
      <c r="G47" s="30" t="str">
        <v>Symbol</v>
      </c>
      <c r="H47" s="30" t="str">
        <v>Value</v>
      </c>
      <c r="I47" s="21"/>
      <c r="J47" s="21"/>
      <c r="K47" s="21"/>
      <c r="L47" s="21"/>
      <c r="M47" s="21"/>
      <c r="N47" s="21"/>
      <c r="O47" s="20"/>
    </row>
    <row r="48" spans="1:26" x14ac:dyDescent="0.3">
      <c r="A48" s="18"/>
      <c r="B48" s="42" t="s">
        <v>1492</v>
      </c>
      <c r="C48" s="42">
        <v>1</v>
      </c>
      <c r="D48" s="21"/>
      <c r="E48" s="21"/>
      <c r="F48" s="21"/>
      <c r="G48" s="30" t="str">
        <v>ghi</v>
      </c>
      <c r="H48" s="30">
        <v>3</v>
      </c>
      <c r="I48" s="21"/>
      <c r="J48" s="21"/>
      <c r="K48" s="21"/>
      <c r="L48" s="21"/>
      <c r="M48" s="21"/>
      <c r="N48" s="21"/>
      <c r="O48" s="20"/>
    </row>
    <row r="49" spans="1:15" x14ac:dyDescent="0.3">
      <c r="A49" s="18"/>
      <c r="B49" s="42" t="s">
        <v>1493</v>
      </c>
      <c r="C49" s="42">
        <v>2</v>
      </c>
      <c r="D49" s="21"/>
      <c r="E49" s="21"/>
      <c r="F49" s="21"/>
      <c r="G49" s="30" t="str">
        <v>jkl</v>
      </c>
      <c r="H49" s="30">
        <v>4</v>
      </c>
      <c r="I49" s="21"/>
      <c r="J49" s="21"/>
      <c r="K49" s="21"/>
      <c r="L49" s="21"/>
      <c r="M49" s="21"/>
      <c r="N49" s="21"/>
      <c r="O49" s="20"/>
    </row>
    <row r="50" spans="1:15" x14ac:dyDescent="0.3">
      <c r="A50" s="18"/>
      <c r="B50" s="21"/>
      <c r="C50" s="21"/>
      <c r="D50" s="21"/>
      <c r="E50" s="21"/>
      <c r="F50" s="21"/>
      <c r="G50" s="30" t="str">
        <v>Symbol</v>
      </c>
      <c r="H50" s="30" t="str">
        <v>Value</v>
      </c>
      <c r="I50" s="21"/>
      <c r="J50" s="21"/>
      <c r="K50" s="21"/>
      <c r="L50" s="21"/>
      <c r="M50" s="21"/>
      <c r="N50" s="21"/>
      <c r="O50" s="20"/>
    </row>
    <row r="51" spans="1:15" x14ac:dyDescent="0.3">
      <c r="A51" s="18"/>
      <c r="B51" s="492" t="s">
        <v>1498</v>
      </c>
      <c r="C51" s="493"/>
      <c r="D51" s="21"/>
      <c r="E51" s="21"/>
      <c r="F51" s="21"/>
      <c r="G51" s="30" t="str">
        <v>qrs</v>
      </c>
      <c r="H51" s="30">
        <v>5</v>
      </c>
      <c r="I51" s="21"/>
      <c r="J51" s="21"/>
      <c r="K51" s="21"/>
      <c r="L51" s="21"/>
      <c r="M51" s="21"/>
      <c r="N51" s="21"/>
      <c r="O51" s="20"/>
    </row>
    <row r="52" spans="1:15" x14ac:dyDescent="0.3">
      <c r="A52" s="18"/>
      <c r="B52" s="59" t="s">
        <v>2</v>
      </c>
      <c r="C52" s="59" t="s">
        <v>17</v>
      </c>
      <c r="D52" s="21"/>
      <c r="E52" s="21"/>
      <c r="F52" s="21"/>
      <c r="G52" s="30" t="str">
        <v>tuv</v>
      </c>
      <c r="H52" s="30">
        <v>6</v>
      </c>
      <c r="I52" s="21"/>
      <c r="J52" s="21"/>
      <c r="K52" s="21"/>
      <c r="L52" s="21"/>
      <c r="M52" s="21"/>
      <c r="N52" s="21"/>
      <c r="O52" s="20"/>
    </row>
    <row r="53" spans="1:15" x14ac:dyDescent="0.3">
      <c r="A53" s="18"/>
      <c r="B53" s="42" t="s">
        <v>1494</v>
      </c>
      <c r="C53" s="42">
        <v>3</v>
      </c>
      <c r="D53" s="21"/>
      <c r="E53" s="21"/>
      <c r="F53" s="21"/>
      <c r="G53" s="30" t="str">
        <v>Symbol</v>
      </c>
      <c r="H53" s="30" t="str">
        <v>Value</v>
      </c>
      <c r="I53" s="21"/>
      <c r="J53" s="21"/>
      <c r="K53" s="21"/>
      <c r="L53" s="21"/>
      <c r="M53" s="21"/>
      <c r="N53" s="21"/>
      <c r="O53" s="20"/>
    </row>
    <row r="54" spans="1:15" x14ac:dyDescent="0.3">
      <c r="A54" s="18"/>
      <c r="B54" s="42" t="s">
        <v>1495</v>
      </c>
      <c r="C54" s="42">
        <v>4</v>
      </c>
      <c r="D54" s="21"/>
      <c r="E54" s="21"/>
      <c r="F54" s="21"/>
      <c r="G54" s="30" t="str">
        <v>wx</v>
      </c>
      <c r="H54" s="30">
        <v>7</v>
      </c>
      <c r="I54" s="21"/>
      <c r="J54" s="21"/>
      <c r="K54" s="21"/>
      <c r="L54" s="21"/>
      <c r="M54" s="21"/>
      <c r="N54" s="21"/>
      <c r="O54" s="20"/>
    </row>
    <row r="55" spans="1:15" x14ac:dyDescent="0.3">
      <c r="A55" s="18"/>
      <c r="B55" s="21"/>
      <c r="C55" s="21"/>
      <c r="D55" s="21"/>
      <c r="E55" s="21"/>
      <c r="F55" s="21"/>
      <c r="G55" s="30" t="str">
        <v>yz</v>
      </c>
      <c r="H55" s="30">
        <v>8</v>
      </c>
      <c r="I55" s="21"/>
      <c r="J55" s="21"/>
      <c r="K55" s="21"/>
      <c r="L55" s="21"/>
      <c r="M55" s="21"/>
      <c r="N55" s="21"/>
      <c r="O55" s="20"/>
    </row>
    <row r="56" spans="1:15" x14ac:dyDescent="0.3">
      <c r="A56" s="18"/>
      <c r="B56" s="492" t="s">
        <v>1499</v>
      </c>
      <c r="C56" s="493"/>
      <c r="D56" s="21"/>
      <c r="E56" s="21"/>
      <c r="F56" s="21"/>
      <c r="G56" s="30" t="e">
        <v>#N/A</v>
      </c>
      <c r="H56" s="30" t="e">
        <v>#N/A</v>
      </c>
      <c r="I56" s="21"/>
      <c r="J56" s="21"/>
      <c r="K56" s="21"/>
      <c r="L56" s="21"/>
      <c r="M56" s="21"/>
      <c r="N56" s="21"/>
      <c r="O56" s="20"/>
    </row>
    <row r="57" spans="1:15" x14ac:dyDescent="0.3">
      <c r="A57" s="18"/>
      <c r="B57" s="59" t="s">
        <v>2</v>
      </c>
      <c r="C57" s="59" t="s">
        <v>17</v>
      </c>
      <c r="D57" s="21"/>
      <c r="E57" s="21"/>
      <c r="F57" s="21"/>
      <c r="G57" s="21"/>
      <c r="H57" s="21"/>
      <c r="I57" s="21"/>
      <c r="J57" s="21"/>
      <c r="K57" s="21"/>
      <c r="L57" s="21"/>
      <c r="M57" s="21"/>
      <c r="N57" s="21"/>
      <c r="O57" s="20"/>
    </row>
    <row r="58" spans="1:15" x14ac:dyDescent="0.3">
      <c r="A58" s="18"/>
      <c r="B58" s="42" t="s">
        <v>1500</v>
      </c>
      <c r="C58" s="42">
        <v>5</v>
      </c>
      <c r="D58" s="21"/>
      <c r="E58" s="21"/>
      <c r="F58" s="21"/>
      <c r="G58" s="21"/>
      <c r="H58" s="21"/>
      <c r="I58" s="21"/>
      <c r="J58" s="21"/>
      <c r="K58" s="21"/>
      <c r="L58" s="21"/>
      <c r="M58" s="21"/>
      <c r="N58" s="21"/>
      <c r="O58" s="20"/>
    </row>
    <row r="59" spans="1:15" x14ac:dyDescent="0.3">
      <c r="A59" s="18"/>
      <c r="B59" s="42" t="s">
        <v>1501</v>
      </c>
      <c r="C59" s="42">
        <v>6</v>
      </c>
      <c r="D59" s="21"/>
      <c r="E59" s="21"/>
      <c r="F59" s="21"/>
      <c r="G59" s="492" t="s">
        <v>3394</v>
      </c>
      <c r="H59" s="493"/>
      <c r="I59" s="21"/>
      <c r="J59" s="21"/>
      <c r="K59" s="21"/>
      <c r="L59" s="21"/>
      <c r="M59" s="21"/>
      <c r="N59" s="21"/>
      <c r="O59" s="20"/>
    </row>
    <row r="60" spans="1:15" x14ac:dyDescent="0.3">
      <c r="A60" s="18"/>
      <c r="B60" s="21"/>
      <c r="C60" s="21"/>
      <c r="D60" s="21"/>
      <c r="E60" s="21"/>
      <c r="F60" s="21"/>
      <c r="G60" s="30" t="str">
        <f t="array" ref="G60:H65">_xll.U.VAPPEND(C43:C44&amp;" | 2")</f>
        <v>Symbol</v>
      </c>
      <c r="H60" s="30" t="str">
        <v>Value</v>
      </c>
      <c r="I60" s="21"/>
      <c r="J60" s="21"/>
      <c r="K60" s="21"/>
      <c r="L60" s="21"/>
      <c r="M60" s="21"/>
      <c r="N60" s="21"/>
      <c r="O60" s="20"/>
    </row>
    <row r="61" spans="1:15" x14ac:dyDescent="0.3">
      <c r="A61" s="18"/>
      <c r="B61" s="492" t="s">
        <v>1497</v>
      </c>
      <c r="C61" s="493"/>
      <c r="D61" s="21"/>
      <c r="E61" s="21"/>
      <c r="F61" s="21"/>
      <c r="G61" s="30" t="str">
        <v>ghi</v>
      </c>
      <c r="H61" s="30">
        <v>3</v>
      </c>
      <c r="I61" s="21"/>
      <c r="J61" s="21"/>
      <c r="K61" s="21"/>
      <c r="L61" s="21"/>
      <c r="M61" s="21"/>
      <c r="N61" s="21"/>
      <c r="O61" s="20"/>
    </row>
    <row r="62" spans="1:15" x14ac:dyDescent="0.3">
      <c r="A62" s="18"/>
      <c r="B62" s="59" t="s">
        <v>2</v>
      </c>
      <c r="C62" s="59" t="s">
        <v>17</v>
      </c>
      <c r="D62" s="21"/>
      <c r="E62" s="21"/>
      <c r="F62" s="21"/>
      <c r="G62" s="30" t="str">
        <v>jkl</v>
      </c>
      <c r="H62" s="30">
        <v>4</v>
      </c>
      <c r="I62" s="21"/>
      <c r="J62" s="21"/>
      <c r="K62" s="21"/>
      <c r="L62" s="21"/>
      <c r="M62" s="21"/>
      <c r="N62" s="21"/>
      <c r="O62" s="20"/>
    </row>
    <row r="63" spans="1:15" x14ac:dyDescent="0.3">
      <c r="A63" s="18"/>
      <c r="B63" s="42" t="s">
        <v>1502</v>
      </c>
      <c r="C63" s="42">
        <v>7</v>
      </c>
      <c r="D63" s="21"/>
      <c r="E63" s="21"/>
      <c r="F63" s="21"/>
      <c r="G63" s="30" t="str">
        <v>Symbol</v>
      </c>
      <c r="H63" s="30" t="str">
        <v>Value</v>
      </c>
      <c r="I63" s="21"/>
      <c r="J63" s="21"/>
      <c r="K63" s="21"/>
      <c r="L63" s="21"/>
      <c r="M63" s="21"/>
      <c r="N63" s="21"/>
      <c r="O63" s="20"/>
    </row>
    <row r="64" spans="1:15" x14ac:dyDescent="0.3">
      <c r="A64" s="18"/>
      <c r="B64" s="42" t="s">
        <v>1503</v>
      </c>
      <c r="C64" s="42">
        <v>8</v>
      </c>
      <c r="D64" s="21"/>
      <c r="E64" s="21"/>
      <c r="F64" s="21"/>
      <c r="G64" s="30" t="str">
        <v>wx</v>
      </c>
      <c r="H64" s="30">
        <v>7</v>
      </c>
      <c r="I64" s="21"/>
      <c r="J64" s="21"/>
      <c r="K64" s="21"/>
      <c r="L64" s="21"/>
      <c r="M64" s="21"/>
      <c r="N64" s="21"/>
      <c r="O64" s="20"/>
    </row>
    <row r="65" spans="1:15" x14ac:dyDescent="0.3">
      <c r="A65" s="18"/>
      <c r="B65" s="21"/>
      <c r="C65" s="21"/>
      <c r="D65" s="21"/>
      <c r="E65" s="21"/>
      <c r="F65" s="21"/>
      <c r="G65" s="30" t="str">
        <v>yz</v>
      </c>
      <c r="H65" s="30">
        <v>8</v>
      </c>
      <c r="I65" s="21"/>
      <c r="J65" s="21"/>
      <c r="K65" s="21"/>
      <c r="L65" s="21"/>
      <c r="M65" s="21"/>
      <c r="N65" s="21"/>
      <c r="O65" s="20"/>
    </row>
    <row r="66" spans="1:15" x14ac:dyDescent="0.3">
      <c r="A66" s="18"/>
      <c r="B66" s="21"/>
      <c r="C66" s="21"/>
      <c r="D66" s="21"/>
      <c r="E66" s="21"/>
      <c r="F66" s="21"/>
      <c r="G66" s="21"/>
      <c r="H66" s="21"/>
      <c r="I66" s="21"/>
      <c r="J66" s="21"/>
      <c r="K66" s="21"/>
      <c r="L66" s="21"/>
      <c r="M66" s="21"/>
      <c r="N66" s="21"/>
      <c r="O66" s="20"/>
    </row>
    <row r="67" spans="1:15" x14ac:dyDescent="0.3">
      <c r="A67" s="18"/>
      <c r="B67" s="21"/>
      <c r="C67" s="21"/>
      <c r="D67" s="21"/>
      <c r="E67" s="21"/>
      <c r="F67" s="21"/>
      <c r="G67" s="21"/>
      <c r="H67" s="21"/>
      <c r="I67" s="21"/>
      <c r="J67" s="21"/>
      <c r="K67" s="21"/>
      <c r="L67" s="21"/>
      <c r="M67" s="21"/>
      <c r="N67" s="21"/>
      <c r="O67" s="20"/>
    </row>
    <row r="68" spans="1:15" x14ac:dyDescent="0.3">
      <c r="A68" s="18"/>
      <c r="B68" s="21"/>
      <c r="C68" s="21"/>
      <c r="D68" s="21"/>
      <c r="E68" s="21"/>
      <c r="F68" s="21"/>
      <c r="G68" s="21"/>
      <c r="H68" s="21"/>
      <c r="I68" s="21"/>
      <c r="J68" s="21"/>
      <c r="K68" s="21"/>
      <c r="L68" s="21"/>
      <c r="M68" s="21"/>
      <c r="N68" s="21"/>
      <c r="O68" s="20"/>
    </row>
    <row r="69" spans="1:15" x14ac:dyDescent="0.3">
      <c r="A69" s="18"/>
      <c r="B69" s="21"/>
      <c r="C69" s="21"/>
      <c r="D69" s="21"/>
      <c r="E69" s="21"/>
      <c r="F69" s="21"/>
      <c r="G69" s="21"/>
      <c r="H69" s="21"/>
      <c r="I69" s="21"/>
      <c r="J69" s="21"/>
      <c r="K69" s="21"/>
      <c r="L69" s="21"/>
      <c r="M69" s="21"/>
      <c r="N69" s="21"/>
      <c r="O69" s="20"/>
    </row>
    <row r="70" spans="1:15" x14ac:dyDescent="0.3">
      <c r="A70" s="18"/>
      <c r="B70" s="21"/>
      <c r="C70" s="21"/>
      <c r="D70" s="21"/>
      <c r="E70" s="21"/>
      <c r="F70" s="21"/>
      <c r="G70" s="21"/>
      <c r="H70" s="21"/>
      <c r="I70" s="21"/>
      <c r="J70" s="21"/>
      <c r="K70" s="21"/>
      <c r="L70" s="21"/>
      <c r="M70" s="21"/>
      <c r="N70" s="21"/>
      <c r="O70" s="20"/>
    </row>
    <row r="71" spans="1:15" x14ac:dyDescent="0.3">
      <c r="A71" s="18"/>
      <c r="B71" s="2" t="s">
        <v>1505</v>
      </c>
      <c r="C71" s="181" t="s">
        <v>1504</v>
      </c>
      <c r="D71" s="21"/>
      <c r="E71" s="21"/>
      <c r="F71" s="21"/>
      <c r="G71" s="492" t="s">
        <v>3394</v>
      </c>
      <c r="H71" s="493"/>
      <c r="I71" s="21"/>
      <c r="J71" s="21"/>
      <c r="K71" s="21"/>
      <c r="L71" s="21"/>
      <c r="M71" s="21"/>
      <c r="N71" s="21"/>
      <c r="O71" s="20"/>
    </row>
    <row r="72" spans="1:15" x14ac:dyDescent="0.3">
      <c r="A72" s="18"/>
      <c r="B72" s="21"/>
      <c r="C72" s="21"/>
      <c r="D72" s="21"/>
      <c r="E72" s="21"/>
      <c r="F72" s="21"/>
      <c r="G72" s="3" t="str">
        <f t="array" ref="G72:H80">_xll.U.VAPPEND(C71,C43:C44)</f>
        <v>Symbol</v>
      </c>
      <c r="H72" s="3" t="str">
        <v>Value</v>
      </c>
      <c r="I72" s="21"/>
      <c r="J72" s="21"/>
      <c r="K72" s="21"/>
      <c r="L72" s="21"/>
      <c r="M72" s="21"/>
      <c r="N72" s="21"/>
      <c r="O72" s="20"/>
    </row>
    <row r="73" spans="1:15" x14ac:dyDescent="0.3">
      <c r="A73" s="18"/>
      <c r="B73" s="21"/>
      <c r="C73" s="21"/>
      <c r="D73" s="21"/>
      <c r="E73" s="21"/>
      <c r="F73" s="21"/>
      <c r="G73" s="30" t="str">
        <v>abc</v>
      </c>
      <c r="H73" s="30">
        <v>1</v>
      </c>
      <c r="I73" s="21"/>
      <c r="J73" s="21"/>
      <c r="K73" s="21"/>
      <c r="L73" s="21"/>
      <c r="M73" s="21"/>
      <c r="N73" s="21"/>
      <c r="O73" s="20"/>
    </row>
    <row r="74" spans="1:15" x14ac:dyDescent="0.3">
      <c r="A74" s="18"/>
      <c r="B74" s="21"/>
      <c r="C74" s="21"/>
      <c r="D74" s="21"/>
      <c r="E74" s="21"/>
      <c r="F74" s="21"/>
      <c r="G74" s="30" t="str">
        <v>def</v>
      </c>
      <c r="H74" s="30">
        <v>2</v>
      </c>
      <c r="I74" s="21"/>
      <c r="J74" s="21"/>
      <c r="K74" s="21"/>
      <c r="L74" s="21"/>
      <c r="M74" s="21"/>
      <c r="N74" s="21"/>
      <c r="O74" s="20"/>
    </row>
    <row r="75" spans="1:15" x14ac:dyDescent="0.3">
      <c r="A75" s="18"/>
      <c r="B75" s="21"/>
      <c r="C75" s="21"/>
      <c r="D75" s="21"/>
      <c r="E75" s="21"/>
      <c r="F75" s="21"/>
      <c r="G75" s="30" t="str">
        <v>ghi</v>
      </c>
      <c r="H75" s="30">
        <v>3</v>
      </c>
      <c r="I75" s="21"/>
      <c r="J75" s="21"/>
      <c r="K75" s="21"/>
      <c r="L75" s="21"/>
      <c r="M75" s="21"/>
      <c r="N75" s="21"/>
      <c r="O75" s="20"/>
    </row>
    <row r="76" spans="1:15" x14ac:dyDescent="0.3">
      <c r="A76" s="18"/>
      <c r="B76" s="21"/>
      <c r="C76" s="21"/>
      <c r="D76" s="21"/>
      <c r="E76" s="21"/>
      <c r="F76" s="21"/>
      <c r="G76" s="30" t="str">
        <v>jkl</v>
      </c>
      <c r="H76" s="30">
        <v>4</v>
      </c>
      <c r="I76" s="21"/>
      <c r="J76" s="21"/>
      <c r="K76" s="21"/>
      <c r="L76" s="21"/>
      <c r="M76" s="21"/>
      <c r="N76" s="21"/>
      <c r="O76" s="20"/>
    </row>
    <row r="77" spans="1:15" x14ac:dyDescent="0.3">
      <c r="A77" s="18"/>
      <c r="B77" s="21"/>
      <c r="C77" s="21"/>
      <c r="D77" s="21"/>
      <c r="E77" s="21"/>
      <c r="F77" s="21"/>
      <c r="G77" s="30" t="str">
        <v>qrs</v>
      </c>
      <c r="H77" s="30">
        <v>5</v>
      </c>
      <c r="I77" s="21"/>
      <c r="J77" s="21"/>
      <c r="K77" s="21"/>
      <c r="L77" s="21"/>
      <c r="M77" s="21"/>
      <c r="N77" s="21"/>
      <c r="O77" s="20"/>
    </row>
    <row r="78" spans="1:15" x14ac:dyDescent="0.3">
      <c r="A78" s="18"/>
      <c r="B78" s="21"/>
      <c r="C78" s="21"/>
      <c r="D78" s="21"/>
      <c r="E78" s="21"/>
      <c r="F78" s="21"/>
      <c r="G78" s="30" t="str">
        <v>tuv</v>
      </c>
      <c r="H78" s="30">
        <v>6</v>
      </c>
      <c r="I78" s="21"/>
      <c r="J78" s="21"/>
      <c r="K78" s="21"/>
      <c r="L78" s="21"/>
      <c r="M78" s="21"/>
      <c r="N78" s="21"/>
      <c r="O78" s="20"/>
    </row>
    <row r="79" spans="1:15" x14ac:dyDescent="0.3">
      <c r="A79" s="18"/>
      <c r="B79" s="21"/>
      <c r="C79" s="21"/>
      <c r="D79" s="21"/>
      <c r="E79" s="21"/>
      <c r="F79" s="21"/>
      <c r="G79" s="30" t="str">
        <v>wx</v>
      </c>
      <c r="H79" s="30">
        <v>7</v>
      </c>
      <c r="I79" s="21"/>
      <c r="J79" s="21"/>
      <c r="K79" s="21"/>
      <c r="L79" s="21"/>
      <c r="M79" s="21"/>
      <c r="N79" s="21"/>
      <c r="O79" s="20"/>
    </row>
    <row r="80" spans="1:15" x14ac:dyDescent="0.3">
      <c r="A80" s="18"/>
      <c r="B80" s="21"/>
      <c r="C80" s="21"/>
      <c r="D80" s="21"/>
      <c r="E80" s="21"/>
      <c r="F80" s="21"/>
      <c r="G80" s="30" t="str">
        <v>yz</v>
      </c>
      <c r="H80" s="30">
        <v>8</v>
      </c>
      <c r="I80" s="21"/>
      <c r="J80" s="21"/>
      <c r="K80" s="21"/>
      <c r="L80" s="21"/>
      <c r="M80" s="21"/>
      <c r="N80" s="21"/>
      <c r="O80" s="20"/>
    </row>
    <row r="81" spans="1:15" x14ac:dyDescent="0.3">
      <c r="A81" s="18"/>
      <c r="B81" s="21"/>
      <c r="C81" s="21"/>
      <c r="D81" s="21"/>
      <c r="E81" s="21"/>
      <c r="F81" s="21"/>
      <c r="G81" s="21"/>
      <c r="H81" s="21"/>
      <c r="I81" s="21"/>
      <c r="J81" s="21"/>
      <c r="K81" s="21"/>
      <c r="L81" s="21"/>
      <c r="M81" s="21"/>
      <c r="N81" s="21"/>
      <c r="O81" s="20"/>
    </row>
    <row r="82" spans="1:15" x14ac:dyDescent="0.3">
      <c r="A82" s="18"/>
      <c r="B82" s="21"/>
      <c r="C82" s="21"/>
      <c r="D82" s="21"/>
      <c r="E82" s="21"/>
      <c r="F82" s="21"/>
      <c r="G82" s="21"/>
      <c r="H82" s="21"/>
      <c r="I82" s="21"/>
      <c r="J82" s="21"/>
      <c r="K82" s="21"/>
      <c r="L82" s="21"/>
      <c r="M82" s="21"/>
      <c r="N82" s="21"/>
      <c r="O82" s="20"/>
    </row>
    <row r="83" spans="1:15" x14ac:dyDescent="0.3">
      <c r="A83" s="18"/>
      <c r="B83" s="271" t="s">
        <v>1506</v>
      </c>
      <c r="C83" s="250" t="str">
        <f>C43</f>
        <v>Data 1 | 2026-02-19 10:52:23.523</v>
      </c>
      <c r="D83" s="113"/>
      <c r="E83" s="21"/>
      <c r="F83" s="21"/>
      <c r="G83" s="492" t="s">
        <v>3394</v>
      </c>
      <c r="H83" s="493"/>
      <c r="I83" s="21"/>
      <c r="J83" s="21"/>
      <c r="K83" s="21"/>
      <c r="L83" s="21"/>
      <c r="M83" s="21"/>
      <c r="N83" s="21"/>
      <c r="O83" s="20"/>
    </row>
    <row r="84" spans="1:15" x14ac:dyDescent="0.3">
      <c r="A84" s="18"/>
      <c r="B84" s="271" t="s">
        <v>1507</v>
      </c>
      <c r="C84" s="250" t="str">
        <f>C44</f>
        <v>Data 2 | 2026-02-19 10:52:23.585</v>
      </c>
      <c r="D84" s="113"/>
      <c r="E84" s="21"/>
      <c r="F84" s="21"/>
      <c r="G84" s="3" t="str">
        <f t="array" ref="G84:H88">_xll.U.VAPPEND(C71,C83:C85)</f>
        <v>Data 1 | 2026-02-19 10:52:23.523</v>
      </c>
      <c r="H84" s="3" t="str">
        <v>Data 1 | 2026-02-19 10:52:23.523</v>
      </c>
      <c r="I84" s="21"/>
      <c r="J84" s="21"/>
      <c r="K84" s="21"/>
      <c r="L84" s="21"/>
      <c r="M84" s="21"/>
      <c r="N84" s="21"/>
      <c r="O84" s="20"/>
    </row>
    <row r="85" spans="1:15" x14ac:dyDescent="0.3">
      <c r="A85" s="18"/>
      <c r="B85" s="271" t="s">
        <v>1508</v>
      </c>
      <c r="C85" s="250" t="s">
        <v>1509</v>
      </c>
      <c r="D85" s="113"/>
      <c r="E85" s="21"/>
      <c r="F85" s="21"/>
      <c r="G85" s="30" t="str">
        <v>Data 2 | 2026-02-19 10:52:23.585</v>
      </c>
      <c r="H85" s="30" t="str">
        <v>Data 2 | 2026-02-19 10:52:23.585</v>
      </c>
      <c r="I85" s="21"/>
      <c r="J85" s="21"/>
      <c r="K85" s="21"/>
      <c r="L85" s="21"/>
      <c r="M85" s="21"/>
      <c r="N85" s="21"/>
      <c r="O85" s="20"/>
    </row>
    <row r="86" spans="1:15" x14ac:dyDescent="0.3">
      <c r="A86" s="18"/>
      <c r="B86" s="21"/>
      <c r="C86" s="21"/>
      <c r="D86" s="21"/>
      <c r="E86" s="21"/>
      <c r="F86" s="21"/>
      <c r="G86" s="30" t="str">
        <v>I Don't Exist</v>
      </c>
      <c r="H86" s="30" t="str">
        <v>I Don't Exist</v>
      </c>
      <c r="I86" s="21"/>
      <c r="J86" s="21"/>
      <c r="K86" s="21"/>
      <c r="L86" s="21"/>
      <c r="M86" s="21"/>
      <c r="N86" s="21"/>
      <c r="O86" s="20"/>
    </row>
    <row r="87" spans="1:15" x14ac:dyDescent="0.3">
      <c r="A87" s="18"/>
      <c r="B87" s="21"/>
      <c r="C87" s="21"/>
      <c r="D87" s="21"/>
      <c r="E87" s="21"/>
      <c r="F87" s="21"/>
      <c r="G87" s="30" t="e">
        <v>#N/A</v>
      </c>
      <c r="H87" s="30" t="e">
        <v>#N/A</v>
      </c>
      <c r="I87" s="21"/>
      <c r="J87" s="21"/>
      <c r="K87" s="21"/>
      <c r="L87" s="21"/>
      <c r="M87" s="21"/>
      <c r="N87" s="21"/>
      <c r="O87" s="20"/>
    </row>
    <row r="88" spans="1:15" x14ac:dyDescent="0.3">
      <c r="A88" s="18"/>
      <c r="B88" s="21"/>
      <c r="C88" s="21"/>
      <c r="D88" s="21"/>
      <c r="E88" s="21"/>
      <c r="F88" s="21"/>
      <c r="G88" s="30" t="e">
        <v>#N/A</v>
      </c>
      <c r="H88" s="30" t="e">
        <v>#N/A</v>
      </c>
      <c r="I88" s="21"/>
      <c r="J88" s="21"/>
      <c r="K88" s="21"/>
      <c r="L88" s="21"/>
      <c r="M88" s="21"/>
      <c r="N88" s="21"/>
      <c r="O88" s="20"/>
    </row>
    <row r="89" spans="1:15" x14ac:dyDescent="0.3">
      <c r="A89" s="18"/>
      <c r="B89" s="21"/>
      <c r="C89" s="21"/>
      <c r="D89" s="21"/>
      <c r="E89" s="21"/>
      <c r="F89" s="21"/>
      <c r="G89" s="21"/>
      <c r="H89" s="21"/>
      <c r="I89" s="21"/>
      <c r="J89" s="21"/>
      <c r="K89" s="21"/>
      <c r="L89" s="21"/>
      <c r="M89" s="21"/>
      <c r="N89" s="21"/>
      <c r="O89" s="20"/>
    </row>
    <row r="90" spans="1:15" x14ac:dyDescent="0.3">
      <c r="A90" s="18"/>
      <c r="B90" s="21"/>
      <c r="C90" s="21"/>
      <c r="D90" s="21"/>
      <c r="E90" s="21"/>
      <c r="F90" s="21"/>
      <c r="G90" s="21"/>
      <c r="H90" s="21"/>
      <c r="I90" s="21"/>
      <c r="J90" s="21"/>
      <c r="K90" s="21"/>
      <c r="L90" s="21"/>
      <c r="M90" s="21"/>
      <c r="N90" s="21"/>
      <c r="O90" s="20"/>
    </row>
    <row r="91" spans="1:15" x14ac:dyDescent="0.3">
      <c r="A91" s="18"/>
      <c r="B91" s="2" t="s">
        <v>1505</v>
      </c>
      <c r="C91" s="181" t="s">
        <v>1510</v>
      </c>
      <c r="D91" s="21"/>
      <c r="E91" s="21"/>
      <c r="F91" s="21"/>
      <c r="G91" s="492" t="s">
        <v>3394</v>
      </c>
      <c r="H91" s="493"/>
      <c r="I91" s="21"/>
      <c r="J91" s="21"/>
      <c r="K91" s="21"/>
      <c r="L91" s="21"/>
      <c r="M91" s="21"/>
      <c r="N91" s="21"/>
      <c r="O91" s="20"/>
    </row>
    <row r="92" spans="1:15" x14ac:dyDescent="0.3">
      <c r="A92" s="18"/>
      <c r="B92" s="21"/>
      <c r="C92" s="21"/>
      <c r="D92" s="21"/>
      <c r="E92" s="21"/>
      <c r="F92" s="21"/>
      <c r="G92" s="3" t="str">
        <f t="array" ref="G92:H101">_xll.U.VAPPEND(C91,C83:C85)</f>
        <v>Symbol</v>
      </c>
      <c r="H92" s="3" t="str">
        <v>Value</v>
      </c>
      <c r="I92" s="21"/>
      <c r="J92" s="21"/>
      <c r="K92" s="21"/>
      <c r="L92" s="21"/>
      <c r="M92" s="21"/>
      <c r="N92" s="21"/>
      <c r="O92" s="20"/>
    </row>
    <row r="93" spans="1:15" x14ac:dyDescent="0.3">
      <c r="A93" s="18"/>
      <c r="B93" s="21"/>
      <c r="C93" s="21"/>
      <c r="D93" s="21"/>
      <c r="E93" s="21"/>
      <c r="F93" s="21"/>
      <c r="G93" s="30" t="str">
        <v>abc</v>
      </c>
      <c r="H93" s="30">
        <v>1</v>
      </c>
      <c r="I93" s="21"/>
      <c r="J93" s="21"/>
      <c r="K93" s="21"/>
      <c r="L93" s="21"/>
      <c r="M93" s="21"/>
      <c r="N93" s="21"/>
      <c r="O93" s="20"/>
    </row>
    <row r="94" spans="1:15" x14ac:dyDescent="0.3">
      <c r="A94" s="18"/>
      <c r="B94" s="21"/>
      <c r="C94" s="21"/>
      <c r="D94" s="21"/>
      <c r="E94" s="21"/>
      <c r="F94" s="21"/>
      <c r="G94" s="30" t="str">
        <v>def</v>
      </c>
      <c r="H94" s="30">
        <v>2</v>
      </c>
      <c r="I94" s="21"/>
      <c r="J94" s="21"/>
      <c r="K94" s="21"/>
      <c r="L94" s="21"/>
      <c r="M94" s="21"/>
      <c r="N94" s="21"/>
      <c r="O94" s="20"/>
    </row>
    <row r="95" spans="1:15" x14ac:dyDescent="0.3">
      <c r="A95" s="18"/>
      <c r="B95" s="21"/>
      <c r="C95" s="21"/>
      <c r="D95" s="21"/>
      <c r="E95" s="21"/>
      <c r="F95" s="21"/>
      <c r="G95" s="30" t="str">
        <v>ghi</v>
      </c>
      <c r="H95" s="30">
        <v>3</v>
      </c>
      <c r="I95" s="21"/>
      <c r="J95" s="21"/>
      <c r="K95" s="21"/>
      <c r="L95" s="21"/>
      <c r="M95" s="21"/>
      <c r="N95" s="21"/>
      <c r="O95" s="20"/>
    </row>
    <row r="96" spans="1:15" x14ac:dyDescent="0.3">
      <c r="A96" s="18"/>
      <c r="B96" s="21"/>
      <c r="C96" s="21"/>
      <c r="D96" s="21"/>
      <c r="E96" s="21"/>
      <c r="F96" s="21"/>
      <c r="G96" s="30" t="str">
        <v>jkl</v>
      </c>
      <c r="H96" s="30">
        <v>4</v>
      </c>
      <c r="I96" s="21"/>
      <c r="J96" s="21"/>
      <c r="K96" s="21"/>
      <c r="L96" s="21"/>
      <c r="M96" s="21"/>
      <c r="N96" s="21"/>
      <c r="O96" s="20"/>
    </row>
    <row r="97" spans="1:15" x14ac:dyDescent="0.3">
      <c r="A97" s="18"/>
      <c r="B97" s="21"/>
      <c r="C97" s="21"/>
      <c r="D97" s="21"/>
      <c r="E97" s="21"/>
      <c r="F97" s="21"/>
      <c r="G97" s="30" t="str">
        <v>qrs</v>
      </c>
      <c r="H97" s="30">
        <v>5</v>
      </c>
      <c r="I97" s="21"/>
      <c r="J97" s="21"/>
      <c r="K97" s="21"/>
      <c r="L97" s="21"/>
      <c r="M97" s="21"/>
      <c r="N97" s="21"/>
      <c r="O97" s="20"/>
    </row>
    <row r="98" spans="1:15" x14ac:dyDescent="0.3">
      <c r="A98" s="18"/>
      <c r="B98" s="21"/>
      <c r="C98" s="21"/>
      <c r="D98" s="21"/>
      <c r="E98" s="21"/>
      <c r="F98" s="21"/>
      <c r="G98" s="30" t="str">
        <v>tuv</v>
      </c>
      <c r="H98" s="30">
        <v>6</v>
      </c>
      <c r="I98" s="21"/>
      <c r="J98" s="21"/>
      <c r="K98" s="21"/>
      <c r="L98" s="21"/>
      <c r="M98" s="21"/>
      <c r="N98" s="21"/>
      <c r="O98" s="20"/>
    </row>
    <row r="99" spans="1:15" x14ac:dyDescent="0.3">
      <c r="A99" s="18"/>
      <c r="B99" s="21"/>
      <c r="C99" s="21"/>
      <c r="D99" s="21"/>
      <c r="E99" s="21"/>
      <c r="F99" s="21"/>
      <c r="G99" s="30" t="str">
        <v>wx</v>
      </c>
      <c r="H99" s="30">
        <v>7</v>
      </c>
      <c r="I99" s="21"/>
      <c r="J99" s="21"/>
      <c r="K99" s="21"/>
      <c r="L99" s="21"/>
      <c r="M99" s="21"/>
      <c r="N99" s="21"/>
      <c r="O99" s="20"/>
    </row>
    <row r="100" spans="1:15" x14ac:dyDescent="0.3">
      <c r="A100" s="18"/>
      <c r="B100" s="21"/>
      <c r="C100" s="21"/>
      <c r="D100" s="21"/>
      <c r="E100" s="21"/>
      <c r="F100" s="21"/>
      <c r="G100" s="30" t="str">
        <v>yz</v>
      </c>
      <c r="H100" s="30">
        <v>8</v>
      </c>
      <c r="I100" s="21"/>
      <c r="J100" s="21"/>
      <c r="K100" s="21"/>
      <c r="L100" s="21"/>
      <c r="M100" s="21"/>
      <c r="N100" s="21"/>
      <c r="O100" s="20"/>
    </row>
    <row r="101" spans="1:15" x14ac:dyDescent="0.3">
      <c r="A101" s="18"/>
      <c r="B101" s="21"/>
      <c r="C101" s="21"/>
      <c r="D101" s="21"/>
      <c r="E101" s="21"/>
      <c r="F101" s="21"/>
      <c r="G101" s="30" t="e">
        <v>#N/A</v>
      </c>
      <c r="H101" s="30" t="e">
        <v>#N/A</v>
      </c>
      <c r="I101" s="21"/>
      <c r="J101" s="21"/>
      <c r="K101" s="21"/>
      <c r="L101" s="21"/>
      <c r="M101" s="21"/>
      <c r="N101" s="21"/>
      <c r="O101" s="20"/>
    </row>
    <row r="102" spans="1:15" x14ac:dyDescent="0.3">
      <c r="A102" s="18"/>
      <c r="B102" s="21"/>
      <c r="C102" s="21"/>
      <c r="D102" s="21"/>
      <c r="E102" s="21"/>
      <c r="F102" s="21"/>
      <c r="G102" s="21"/>
      <c r="H102" s="21"/>
      <c r="I102" s="21"/>
      <c r="J102" s="21"/>
      <c r="K102" s="21"/>
      <c r="L102" s="21"/>
      <c r="M102" s="21"/>
      <c r="N102" s="21"/>
      <c r="O102" s="20"/>
    </row>
    <row r="103" spans="1:15" x14ac:dyDescent="0.3">
      <c r="A103" s="18"/>
      <c r="B103" s="21"/>
      <c r="C103" s="21"/>
      <c r="D103" s="21"/>
      <c r="E103" s="21"/>
      <c r="F103" s="21"/>
      <c r="G103" s="21"/>
      <c r="H103" s="21"/>
      <c r="I103" s="21"/>
      <c r="J103" s="21"/>
      <c r="K103" s="21"/>
      <c r="L103" s="21"/>
      <c r="M103" s="21"/>
      <c r="N103" s="21"/>
      <c r="O103" s="20"/>
    </row>
    <row r="104" spans="1:15" x14ac:dyDescent="0.3">
      <c r="A104" s="18"/>
      <c r="B104" s="21"/>
      <c r="C104" s="21"/>
      <c r="D104" s="21"/>
      <c r="E104" s="21"/>
      <c r="F104" s="21"/>
      <c r="G104" s="21"/>
      <c r="H104" s="21"/>
      <c r="I104" s="21"/>
      <c r="J104" s="21"/>
      <c r="K104" s="21"/>
      <c r="L104" s="21"/>
      <c r="M104" s="21"/>
      <c r="N104" s="21"/>
      <c r="O104" s="20"/>
    </row>
    <row r="105" spans="1:15" x14ac:dyDescent="0.3">
      <c r="A105" s="18"/>
      <c r="B105" s="2" t="s">
        <v>1505</v>
      </c>
      <c r="C105" s="181" t="s">
        <v>1511</v>
      </c>
      <c r="D105" s="21"/>
      <c r="E105" s="21"/>
      <c r="F105" s="21"/>
      <c r="G105" s="492" t="s">
        <v>3394</v>
      </c>
      <c r="H105" s="493"/>
      <c r="I105" s="21"/>
      <c r="J105" s="21"/>
      <c r="K105" s="21"/>
      <c r="L105" s="21"/>
      <c r="M105" s="21"/>
      <c r="N105" s="21"/>
      <c r="O105" s="20"/>
    </row>
    <row r="106" spans="1:15" x14ac:dyDescent="0.3">
      <c r="A106" s="18"/>
      <c r="B106" s="21"/>
      <c r="C106" s="21"/>
      <c r="D106" s="21"/>
      <c r="E106" s="21"/>
      <c r="F106" s="21"/>
      <c r="G106" s="3" t="str">
        <f t="array" ref="G106:H115">_xll.U.VAPPEND(C105,C83:C85)</f>
        <v>Data value "I Don't Exist" is not a known report or cache key</v>
      </c>
      <c r="H106" s="3" t="str">
        <v>Data value "I Don't Exist" is not a known report or cache key</v>
      </c>
      <c r="I106" s="21"/>
      <c r="J106" s="21"/>
      <c r="K106" s="21"/>
      <c r="L106" s="21"/>
      <c r="M106" s="21"/>
      <c r="N106" s="21"/>
      <c r="O106" s="20"/>
    </row>
    <row r="107" spans="1:15" x14ac:dyDescent="0.3">
      <c r="A107" s="18"/>
      <c r="B107" s="21"/>
      <c r="C107" s="21"/>
      <c r="D107" s="21"/>
      <c r="E107" s="21"/>
      <c r="F107" s="21"/>
      <c r="G107" s="30" t="str">
        <v>Data value "I Don't Exist" is not a known report or cache key</v>
      </c>
      <c r="H107" s="30" t="str">
        <v>Data value "I Don't Exist" is not a known report or cache key</v>
      </c>
      <c r="I107" s="21"/>
      <c r="J107" s="21"/>
      <c r="K107" s="21"/>
      <c r="L107" s="21"/>
      <c r="M107" s="21"/>
      <c r="N107" s="21"/>
      <c r="O107" s="20"/>
    </row>
    <row r="108" spans="1:15" x14ac:dyDescent="0.3">
      <c r="A108" s="18"/>
      <c r="B108" s="21"/>
      <c r="C108" s="21"/>
      <c r="D108" s="21"/>
      <c r="E108" s="21"/>
      <c r="F108" s="21"/>
      <c r="G108" s="30" t="str">
        <v>Data value "I Don't Exist" is not a known report or cache key</v>
      </c>
      <c r="H108" s="30" t="str">
        <v>Data value "I Don't Exist" is not a known report or cache key</v>
      </c>
      <c r="I108" s="21"/>
      <c r="J108" s="21"/>
      <c r="K108" s="21"/>
      <c r="L108" s="21"/>
      <c r="M108" s="21"/>
      <c r="N108" s="21"/>
      <c r="O108" s="20"/>
    </row>
    <row r="109" spans="1:15" x14ac:dyDescent="0.3">
      <c r="A109" s="18"/>
      <c r="B109" s="21"/>
      <c r="C109" s="21"/>
      <c r="D109" s="21"/>
      <c r="E109" s="21"/>
      <c r="F109" s="21"/>
      <c r="G109" s="30" t="str">
        <v>Data value "I Don't Exist" is not a known report or cache key</v>
      </c>
      <c r="H109" s="30" t="str">
        <v>Data value "I Don't Exist" is not a known report or cache key</v>
      </c>
      <c r="I109" s="21"/>
      <c r="J109" s="21"/>
      <c r="K109" s="21"/>
      <c r="L109" s="21"/>
      <c r="M109" s="21"/>
      <c r="N109" s="21"/>
      <c r="O109" s="20"/>
    </row>
    <row r="110" spans="1:15" x14ac:dyDescent="0.3">
      <c r="A110" s="18"/>
      <c r="B110" s="21"/>
      <c r="C110" s="21"/>
      <c r="D110" s="21"/>
      <c r="E110" s="21"/>
      <c r="F110" s="21"/>
      <c r="G110" s="30" t="str">
        <v>Data value "I Don't Exist" is not a known report or cache key</v>
      </c>
      <c r="H110" s="30" t="str">
        <v>Data value "I Don't Exist" is not a known report or cache key</v>
      </c>
      <c r="I110" s="21"/>
      <c r="J110" s="21"/>
      <c r="K110" s="21"/>
      <c r="L110" s="21"/>
      <c r="M110" s="21"/>
      <c r="N110" s="21"/>
      <c r="O110" s="20"/>
    </row>
    <row r="111" spans="1:15" x14ac:dyDescent="0.3">
      <c r="A111" s="18"/>
      <c r="B111" s="21"/>
      <c r="C111" s="21"/>
      <c r="D111" s="21"/>
      <c r="E111" s="21"/>
      <c r="F111" s="21"/>
      <c r="G111" s="30" t="str">
        <v>Data value "I Don't Exist" is not a known report or cache key</v>
      </c>
      <c r="H111" s="30" t="str">
        <v>Data value "I Don't Exist" is not a known report or cache key</v>
      </c>
      <c r="I111" s="21"/>
      <c r="J111" s="21"/>
      <c r="K111" s="21"/>
      <c r="L111" s="21"/>
      <c r="M111" s="21"/>
      <c r="N111" s="21"/>
      <c r="O111" s="20"/>
    </row>
    <row r="112" spans="1:15" x14ac:dyDescent="0.3">
      <c r="A112" s="18"/>
      <c r="B112" s="21"/>
      <c r="C112" s="21"/>
      <c r="D112" s="21"/>
      <c r="E112" s="21"/>
      <c r="F112" s="21"/>
      <c r="G112" s="30" t="str">
        <v>Data value "I Don't Exist" is not a known report or cache key</v>
      </c>
      <c r="H112" s="30" t="str">
        <v>Data value "I Don't Exist" is not a known report or cache key</v>
      </c>
      <c r="I112" s="21"/>
      <c r="J112" s="21"/>
      <c r="K112" s="21"/>
      <c r="L112" s="21"/>
      <c r="M112" s="21"/>
      <c r="N112" s="21"/>
      <c r="O112" s="20"/>
    </row>
    <row r="113" spans="1:15" x14ac:dyDescent="0.3">
      <c r="A113" s="18"/>
      <c r="B113" s="21"/>
      <c r="C113" s="21"/>
      <c r="D113" s="21"/>
      <c r="E113" s="21"/>
      <c r="F113" s="21"/>
      <c r="G113" s="30" t="str">
        <v>Data value "I Don't Exist" is not a known report or cache key</v>
      </c>
      <c r="H113" s="30" t="str">
        <v>Data value "I Don't Exist" is not a known report or cache key</v>
      </c>
      <c r="I113" s="21"/>
      <c r="J113" s="21"/>
      <c r="K113" s="21"/>
      <c r="L113" s="21"/>
      <c r="M113" s="21"/>
      <c r="N113" s="21"/>
      <c r="O113" s="20"/>
    </row>
    <row r="114" spans="1:15" x14ac:dyDescent="0.3">
      <c r="A114" s="18"/>
      <c r="B114" s="21"/>
      <c r="C114" s="21"/>
      <c r="D114" s="21"/>
      <c r="E114" s="21"/>
      <c r="F114" s="21"/>
      <c r="G114" s="30" t="str">
        <v>Data value "I Don't Exist" is not a known report or cache key</v>
      </c>
      <c r="H114" s="30" t="str">
        <v>Data value "I Don't Exist" is not a known report or cache key</v>
      </c>
      <c r="I114" s="21"/>
      <c r="J114" s="21"/>
      <c r="K114" s="21"/>
      <c r="L114" s="21"/>
      <c r="M114" s="21"/>
      <c r="N114" s="21"/>
      <c r="O114" s="20"/>
    </row>
    <row r="115" spans="1:15" x14ac:dyDescent="0.3">
      <c r="A115" s="18"/>
      <c r="B115" s="21"/>
      <c r="C115" s="21"/>
      <c r="D115" s="21"/>
      <c r="E115" s="21"/>
      <c r="F115" s="21"/>
      <c r="G115" s="30" t="str">
        <v>Data value "I Don't Exist" is not a known report or cache key</v>
      </c>
      <c r="H115" s="30" t="str">
        <v>Data value "I Don't Exist" is not a known report or cache key</v>
      </c>
      <c r="I115" s="21"/>
      <c r="J115" s="21"/>
      <c r="K115" s="21"/>
      <c r="L115" s="21"/>
      <c r="M115" s="21"/>
      <c r="N115" s="21"/>
      <c r="O115" s="20"/>
    </row>
    <row r="116" spans="1:15" x14ac:dyDescent="0.3">
      <c r="A116" s="18"/>
      <c r="B116" s="21"/>
      <c r="C116" s="21"/>
      <c r="D116" s="21"/>
      <c r="E116" s="21"/>
      <c r="F116" s="21"/>
      <c r="G116" s="21"/>
      <c r="H116" s="21"/>
      <c r="I116" s="21"/>
      <c r="J116" s="21"/>
      <c r="K116" s="21"/>
      <c r="L116" s="21"/>
      <c r="M116" s="21"/>
      <c r="N116" s="21"/>
      <c r="O116" s="20"/>
    </row>
    <row r="117" spans="1:15" x14ac:dyDescent="0.3">
      <c r="A117" s="18"/>
      <c r="B117" s="21"/>
      <c r="C117" s="21"/>
      <c r="D117" s="21"/>
      <c r="E117" s="21"/>
      <c r="F117" s="21"/>
      <c r="G117" s="21"/>
      <c r="H117" s="21"/>
      <c r="I117" s="21"/>
      <c r="J117" s="21"/>
      <c r="K117" s="21"/>
      <c r="L117" s="21"/>
      <c r="M117" s="21"/>
      <c r="N117" s="21"/>
      <c r="O117" s="20"/>
    </row>
    <row r="118" spans="1:15" x14ac:dyDescent="0.3">
      <c r="A118" s="18"/>
      <c r="B118" s="2" t="s">
        <v>1505</v>
      </c>
      <c r="C118" s="181" t="s">
        <v>1512</v>
      </c>
      <c r="D118" s="21"/>
      <c r="E118" s="21"/>
      <c r="F118" s="21"/>
      <c r="G118" s="475" t="s">
        <v>3394</v>
      </c>
      <c r="H118" s="475"/>
      <c r="I118" s="475"/>
      <c r="J118" s="21"/>
      <c r="K118" s="21"/>
      <c r="L118" s="21"/>
      <c r="M118" s="21"/>
      <c r="N118" s="21"/>
      <c r="O118" s="20"/>
    </row>
    <row r="119" spans="1:15" x14ac:dyDescent="0.3">
      <c r="A119" s="18"/>
      <c r="B119" s="21"/>
      <c r="C119" s="21"/>
      <c r="D119" s="21"/>
      <c r="E119" s="21"/>
      <c r="F119" s="21"/>
      <c r="G119" s="3" t="str">
        <f t="array" ref="G119:I125">_xll.U.VAPPEND(C118,B121:C123,B126:D128)</f>
        <v>Symbol</v>
      </c>
      <c r="H119" s="3" t="str">
        <v>Value</v>
      </c>
      <c r="I119" s="3" t="str">
        <v>Age</v>
      </c>
      <c r="J119" s="21"/>
      <c r="K119" s="21"/>
      <c r="L119" s="21"/>
      <c r="M119" s="21"/>
      <c r="N119" s="21"/>
      <c r="O119" s="20"/>
    </row>
    <row r="120" spans="1:15" x14ac:dyDescent="0.3">
      <c r="A120" s="18"/>
      <c r="B120" s="492" t="s">
        <v>166</v>
      </c>
      <c r="C120" s="493"/>
      <c r="D120" s="21"/>
      <c r="E120" s="21"/>
      <c r="F120" s="21"/>
      <c r="G120" s="30" t="str">
        <v>a</v>
      </c>
      <c r="H120" s="30">
        <v>1</v>
      </c>
      <c r="I120" s="30" t="str">
        <v/>
      </c>
      <c r="J120" s="21"/>
      <c r="K120" s="21"/>
      <c r="L120" s="21"/>
      <c r="M120" s="21"/>
      <c r="N120" s="21"/>
      <c r="O120" s="20"/>
    </row>
    <row r="121" spans="1:15" x14ac:dyDescent="0.3">
      <c r="A121" s="18"/>
      <c r="B121" s="59" t="s">
        <v>2</v>
      </c>
      <c r="C121" s="59" t="s">
        <v>17</v>
      </c>
      <c r="D121" s="21"/>
      <c r="E121" s="21"/>
      <c r="F121" s="21"/>
      <c r="G121" s="30" t="str">
        <v>b</v>
      </c>
      <c r="H121" s="30">
        <v>2</v>
      </c>
      <c r="I121" s="30" t="str">
        <v/>
      </c>
      <c r="J121" s="21"/>
      <c r="K121" s="21"/>
      <c r="L121" s="21"/>
      <c r="M121" s="21"/>
      <c r="N121" s="21"/>
      <c r="O121" s="20"/>
    </row>
    <row r="122" spans="1:15" x14ac:dyDescent="0.3">
      <c r="A122" s="18"/>
      <c r="B122" s="42" t="s">
        <v>77</v>
      </c>
      <c r="C122" s="42">
        <v>1</v>
      </c>
      <c r="D122" s="21"/>
      <c r="E122" s="21"/>
      <c r="F122" s="21"/>
      <c r="G122" s="30" t="str">
        <v>c</v>
      </c>
      <c r="H122" s="30">
        <v>3</v>
      </c>
      <c r="I122" s="30">
        <v>14</v>
      </c>
      <c r="J122" s="21"/>
      <c r="K122" s="21"/>
      <c r="L122" s="21"/>
      <c r="M122" s="21"/>
      <c r="N122" s="21"/>
      <c r="O122" s="20"/>
    </row>
    <row r="123" spans="1:15" x14ac:dyDescent="0.3">
      <c r="A123" s="18"/>
      <c r="B123" s="42" t="s">
        <v>78</v>
      </c>
      <c r="C123" s="42">
        <v>2</v>
      </c>
      <c r="D123" s="21"/>
      <c r="E123" s="21"/>
      <c r="F123" s="21"/>
      <c r="G123" s="30" t="str">
        <v>d</v>
      </c>
      <c r="H123" s="30">
        <v>4</v>
      </c>
      <c r="I123" s="30">
        <v>5</v>
      </c>
      <c r="J123" s="21"/>
      <c r="K123" s="21"/>
      <c r="L123" s="21"/>
      <c r="M123" s="21"/>
      <c r="N123" s="21"/>
      <c r="O123" s="20"/>
    </row>
    <row r="124" spans="1:15" x14ac:dyDescent="0.3">
      <c r="A124" s="18"/>
      <c r="B124" s="21"/>
      <c r="C124" s="21"/>
      <c r="D124" s="21"/>
      <c r="E124" s="21"/>
      <c r="F124" s="21"/>
      <c r="G124" s="30" t="e">
        <v>#N/A</v>
      </c>
      <c r="H124" s="30" t="e">
        <v>#N/A</v>
      </c>
      <c r="I124" s="30" t="e">
        <v>#N/A</v>
      </c>
      <c r="J124" s="21"/>
      <c r="K124" s="21"/>
      <c r="L124" s="21"/>
      <c r="M124" s="21"/>
      <c r="N124" s="21"/>
      <c r="O124" s="20"/>
    </row>
    <row r="125" spans="1:15" x14ac:dyDescent="0.3">
      <c r="A125" s="18"/>
      <c r="B125" s="475" t="s">
        <v>167</v>
      </c>
      <c r="C125" s="475"/>
      <c r="D125" s="475"/>
      <c r="E125" s="21"/>
      <c r="F125" s="21"/>
      <c r="G125" s="30" t="e">
        <v>#N/A</v>
      </c>
      <c r="H125" s="30" t="e">
        <v>#N/A</v>
      </c>
      <c r="I125" s="30" t="e">
        <v>#N/A</v>
      </c>
      <c r="J125" s="21"/>
      <c r="K125" s="21"/>
      <c r="L125" s="21"/>
      <c r="M125" s="21"/>
      <c r="N125" s="21"/>
      <c r="O125" s="20"/>
    </row>
    <row r="126" spans="1:15" x14ac:dyDescent="0.3">
      <c r="A126" s="18"/>
      <c r="B126" s="59" t="s">
        <v>17</v>
      </c>
      <c r="C126" s="59" t="s">
        <v>1065</v>
      </c>
      <c r="D126" s="59" t="s">
        <v>2</v>
      </c>
      <c r="E126" s="21"/>
      <c r="F126" s="21"/>
      <c r="G126" s="21"/>
      <c r="H126" s="21"/>
      <c r="I126" s="21"/>
      <c r="J126" s="21"/>
      <c r="K126" s="21"/>
      <c r="L126" s="21"/>
      <c r="M126" s="21"/>
      <c r="N126" s="21"/>
      <c r="O126" s="20"/>
    </row>
    <row r="127" spans="1:15" x14ac:dyDescent="0.3">
      <c r="A127" s="18"/>
      <c r="B127" s="42">
        <v>3</v>
      </c>
      <c r="C127" s="42">
        <v>14</v>
      </c>
      <c r="D127" s="42" t="s">
        <v>79</v>
      </c>
      <c r="E127" s="21"/>
      <c r="F127" s="21"/>
      <c r="G127" s="21"/>
      <c r="H127" s="21"/>
      <c r="I127" s="21"/>
      <c r="J127" s="21"/>
      <c r="K127" s="21"/>
      <c r="L127" s="21"/>
      <c r="M127" s="21"/>
      <c r="N127" s="21"/>
      <c r="O127" s="20"/>
    </row>
    <row r="128" spans="1:15" x14ac:dyDescent="0.3">
      <c r="A128" s="18"/>
      <c r="B128" s="42">
        <v>4</v>
      </c>
      <c r="C128" s="42">
        <v>5</v>
      </c>
      <c r="D128" s="42" t="s">
        <v>1473</v>
      </c>
      <c r="E128" s="21"/>
      <c r="F128" s="21"/>
      <c r="G128" s="21"/>
      <c r="H128" s="21"/>
      <c r="I128" s="21"/>
      <c r="J128" s="21"/>
      <c r="K128" s="21"/>
      <c r="L128" s="21"/>
      <c r="M128" s="21"/>
      <c r="N128" s="21"/>
      <c r="O128" s="20"/>
    </row>
    <row r="129" spans="1:15" x14ac:dyDescent="0.3">
      <c r="A129" s="18"/>
      <c r="B129" s="21"/>
      <c r="C129" s="21"/>
      <c r="D129" s="21"/>
      <c r="E129" s="21"/>
      <c r="F129" s="21"/>
      <c r="G129" s="21"/>
      <c r="H129" s="21"/>
      <c r="I129" s="21"/>
      <c r="J129" s="21"/>
      <c r="K129" s="21"/>
      <c r="L129" s="21"/>
      <c r="M129" s="21"/>
      <c r="N129" s="21"/>
      <c r="O129" s="20"/>
    </row>
    <row r="130" spans="1:15" x14ac:dyDescent="0.3">
      <c r="A130" s="18"/>
      <c r="B130" s="21"/>
      <c r="C130" s="21"/>
      <c r="D130" s="21"/>
      <c r="E130" s="21"/>
      <c r="F130" s="21"/>
      <c r="G130" s="21"/>
      <c r="H130" s="21"/>
      <c r="I130" s="21"/>
      <c r="J130" s="21"/>
      <c r="K130" s="21"/>
      <c r="L130" s="21"/>
      <c r="M130" s="21"/>
      <c r="N130" s="21"/>
      <c r="O130" s="20"/>
    </row>
    <row r="131" spans="1:15" x14ac:dyDescent="0.3">
      <c r="A131" s="18"/>
      <c r="B131" s="2" t="s">
        <v>1505</v>
      </c>
      <c r="C131" s="181" t="s">
        <v>1512</v>
      </c>
      <c r="D131" s="21"/>
      <c r="E131" s="21"/>
      <c r="F131" s="21"/>
      <c r="G131" s="475" t="s">
        <v>3394</v>
      </c>
      <c r="H131" s="475"/>
      <c r="I131" s="475"/>
      <c r="J131" s="475"/>
      <c r="K131" s="475"/>
      <c r="L131" s="21"/>
      <c r="M131" s="21"/>
      <c r="N131" s="21"/>
      <c r="O131" s="20"/>
    </row>
    <row r="132" spans="1:15" x14ac:dyDescent="0.3">
      <c r="A132" s="18"/>
      <c r="B132" s="21"/>
      <c r="C132" s="21"/>
      <c r="D132" s="21"/>
      <c r="E132" s="21"/>
      <c r="F132" s="21"/>
      <c r="G132" s="3" t="str">
        <f t="array" ref="G132:K138">_xll.U.VAPPEND(C131,B121:C123,B134:D136)</f>
        <v>Symbol</v>
      </c>
      <c r="H132" s="3" t="str">
        <v>Value</v>
      </c>
      <c r="I132" s="3" t="str">
        <v>Val</v>
      </c>
      <c r="J132" s="3" t="str">
        <v>Age</v>
      </c>
      <c r="K132" s="3" t="str">
        <v>Sym</v>
      </c>
      <c r="L132" s="21"/>
      <c r="M132" s="21"/>
      <c r="N132" s="21"/>
      <c r="O132" s="20"/>
    </row>
    <row r="133" spans="1:15" x14ac:dyDescent="0.3">
      <c r="A133" s="18"/>
      <c r="B133" s="475" t="s">
        <v>1513</v>
      </c>
      <c r="C133" s="475"/>
      <c r="D133" s="475"/>
      <c r="E133" s="21"/>
      <c r="F133" s="21"/>
      <c r="G133" s="30" t="str">
        <v>a</v>
      </c>
      <c r="H133" s="30">
        <v>1</v>
      </c>
      <c r="I133" s="30" t="str">
        <v/>
      </c>
      <c r="J133" s="30" t="str">
        <v/>
      </c>
      <c r="K133" s="30" t="str">
        <v/>
      </c>
      <c r="L133" s="21"/>
      <c r="M133" s="21"/>
      <c r="N133" s="21"/>
      <c r="O133" s="20"/>
    </row>
    <row r="134" spans="1:15" x14ac:dyDescent="0.3">
      <c r="A134" s="18"/>
      <c r="B134" s="59" t="s">
        <v>1094</v>
      </c>
      <c r="C134" s="59" t="s">
        <v>1065</v>
      </c>
      <c r="D134" s="59" t="s">
        <v>1514</v>
      </c>
      <c r="E134" s="21"/>
      <c r="F134" s="21"/>
      <c r="G134" s="30" t="str">
        <v>b</v>
      </c>
      <c r="H134" s="30">
        <v>2</v>
      </c>
      <c r="I134" s="30" t="str">
        <v/>
      </c>
      <c r="J134" s="30" t="str">
        <v/>
      </c>
      <c r="K134" s="30" t="str">
        <v/>
      </c>
      <c r="L134" s="21"/>
      <c r="M134" s="21"/>
      <c r="N134" s="21"/>
      <c r="O134" s="20"/>
    </row>
    <row r="135" spans="1:15" x14ac:dyDescent="0.3">
      <c r="A135" s="18"/>
      <c r="B135" s="42">
        <v>3</v>
      </c>
      <c r="C135" s="42">
        <v>14</v>
      </c>
      <c r="D135" s="42" t="s">
        <v>79</v>
      </c>
      <c r="E135" s="21"/>
      <c r="F135" s="21"/>
      <c r="G135" s="30" t="str">
        <v/>
      </c>
      <c r="H135" s="30" t="str">
        <v/>
      </c>
      <c r="I135" s="30">
        <v>3</v>
      </c>
      <c r="J135" s="30">
        <v>14</v>
      </c>
      <c r="K135" s="30" t="str">
        <v>c</v>
      </c>
      <c r="L135" s="21"/>
      <c r="M135" s="21"/>
      <c r="N135" s="21"/>
      <c r="O135" s="20"/>
    </row>
    <row r="136" spans="1:15" x14ac:dyDescent="0.3">
      <c r="A136" s="18"/>
      <c r="B136" s="42">
        <v>4</v>
      </c>
      <c r="C136" s="42">
        <v>5</v>
      </c>
      <c r="D136" s="42" t="s">
        <v>1473</v>
      </c>
      <c r="E136" s="21"/>
      <c r="F136" s="21"/>
      <c r="G136" s="30" t="str">
        <v/>
      </c>
      <c r="H136" s="30" t="str">
        <v/>
      </c>
      <c r="I136" s="30">
        <v>4</v>
      </c>
      <c r="J136" s="30">
        <v>5</v>
      </c>
      <c r="K136" s="30" t="str">
        <v>d</v>
      </c>
      <c r="L136" s="21"/>
      <c r="M136" s="21"/>
      <c r="N136" s="21"/>
      <c r="O136" s="20"/>
    </row>
    <row r="137" spans="1:15" x14ac:dyDescent="0.3">
      <c r="A137" s="18"/>
      <c r="B137" s="21"/>
      <c r="C137" s="21"/>
      <c r="D137" s="21"/>
      <c r="E137" s="21"/>
      <c r="F137" s="21"/>
      <c r="G137" s="30" t="e">
        <v>#N/A</v>
      </c>
      <c r="H137" s="30" t="e">
        <v>#N/A</v>
      </c>
      <c r="I137" s="30" t="e">
        <v>#N/A</v>
      </c>
      <c r="J137" s="30" t="e">
        <v>#N/A</v>
      </c>
      <c r="K137" s="30" t="e">
        <v>#N/A</v>
      </c>
      <c r="L137" s="21"/>
      <c r="M137" s="21"/>
      <c r="N137" s="21"/>
      <c r="O137" s="20"/>
    </row>
    <row r="138" spans="1:15" x14ac:dyDescent="0.3">
      <c r="A138" s="18"/>
      <c r="B138" s="21"/>
      <c r="C138" s="21"/>
      <c r="D138" s="21"/>
      <c r="E138" s="21"/>
      <c r="F138" s="21"/>
      <c r="G138" s="30" t="e">
        <v>#N/A</v>
      </c>
      <c r="H138" s="30" t="e">
        <v>#N/A</v>
      </c>
      <c r="I138" s="30" t="e">
        <v>#N/A</v>
      </c>
      <c r="J138" s="30" t="e">
        <v>#N/A</v>
      </c>
      <c r="K138" s="30" t="e">
        <v>#N/A</v>
      </c>
      <c r="L138" s="21"/>
      <c r="M138" s="21"/>
      <c r="N138" s="21"/>
      <c r="O138" s="20"/>
    </row>
    <row r="139" spans="1:15" x14ac:dyDescent="0.3">
      <c r="A139" s="18"/>
      <c r="B139" s="21"/>
      <c r="C139" s="21"/>
      <c r="D139" s="21"/>
      <c r="E139" s="21"/>
      <c r="F139" s="21"/>
      <c r="G139" s="21"/>
      <c r="H139" s="21"/>
      <c r="I139" s="21"/>
      <c r="J139" s="21"/>
      <c r="K139" s="21"/>
      <c r="L139" s="21"/>
      <c r="M139" s="21"/>
      <c r="N139" s="21"/>
      <c r="O139" s="20"/>
    </row>
    <row r="140" spans="1:15" x14ac:dyDescent="0.3">
      <c r="A140" s="18"/>
      <c r="B140" s="21"/>
      <c r="C140" s="21"/>
      <c r="D140" s="21"/>
      <c r="E140" s="21"/>
      <c r="F140" s="21"/>
      <c r="G140" s="21"/>
      <c r="H140" s="21"/>
      <c r="I140" s="21"/>
      <c r="J140" s="21"/>
      <c r="K140" s="21"/>
      <c r="L140" s="21"/>
      <c r="M140" s="21"/>
      <c r="N140" s="21"/>
      <c r="O140" s="20"/>
    </row>
    <row r="141" spans="1:15" x14ac:dyDescent="0.3">
      <c r="A141" s="18"/>
      <c r="B141" s="2" t="s">
        <v>1505</v>
      </c>
      <c r="C141" s="181" t="str" cm="1">
        <f t="array" ref="C141">_xll.U.FORMAT_STRING("config(match={0})",_xll.U.CONCAT(_xll.U.CONCAT(B145:C146,":",,TRUE),"|"))</f>
        <v>config(match=Sym:Symbol|Val:Value)</v>
      </c>
      <c r="D141" s="21"/>
      <c r="E141" s="21"/>
      <c r="F141" s="21"/>
      <c r="G141" s="475" t="s">
        <v>3394</v>
      </c>
      <c r="H141" s="475"/>
      <c r="I141" s="475"/>
      <c r="J141" s="21"/>
      <c r="K141" s="21"/>
      <c r="L141" s="21"/>
      <c r="M141" s="21"/>
      <c r="N141" s="21"/>
      <c r="O141" s="20"/>
    </row>
    <row r="142" spans="1:15" x14ac:dyDescent="0.3">
      <c r="A142" s="18"/>
      <c r="B142" s="21"/>
      <c r="C142" s="21"/>
      <c r="D142" s="21"/>
      <c r="E142" s="21"/>
      <c r="F142" s="21"/>
      <c r="G142" s="3" t="str">
        <f t="array" ref="G142:I148">_xll.U.VAPPEND(C141,B121:C123,B134:D136)</f>
        <v>Symbol</v>
      </c>
      <c r="H142" s="3" t="str">
        <v>Value</v>
      </c>
      <c r="I142" s="3" t="str">
        <v>Age</v>
      </c>
      <c r="J142" s="21"/>
      <c r="K142" s="21"/>
      <c r="L142" s="21"/>
      <c r="M142" s="21"/>
      <c r="N142" s="21"/>
      <c r="O142" s="20"/>
    </row>
    <row r="143" spans="1:15" x14ac:dyDescent="0.3">
      <c r="A143" s="18"/>
      <c r="B143" s="492" t="s">
        <v>1515</v>
      </c>
      <c r="C143" s="493"/>
      <c r="D143" s="21"/>
      <c r="E143" s="21"/>
      <c r="F143" s="21"/>
      <c r="G143" s="30" t="str">
        <v>a</v>
      </c>
      <c r="H143" s="30">
        <v>1</v>
      </c>
      <c r="I143" s="30" t="str">
        <v/>
      </c>
      <c r="J143" s="21"/>
      <c r="K143" s="21"/>
      <c r="L143" s="21"/>
      <c r="M143" s="21"/>
      <c r="N143" s="21"/>
      <c r="O143" s="20"/>
    </row>
    <row r="144" spans="1:15" x14ac:dyDescent="0.3">
      <c r="A144" s="18"/>
      <c r="B144" s="59" t="s">
        <v>772</v>
      </c>
      <c r="C144" s="59" t="s">
        <v>693</v>
      </c>
      <c r="D144" s="21"/>
      <c r="E144" s="21"/>
      <c r="F144" s="21"/>
      <c r="G144" s="30" t="str">
        <v>b</v>
      </c>
      <c r="H144" s="30">
        <v>2</v>
      </c>
      <c r="I144" s="30" t="str">
        <v/>
      </c>
      <c r="J144" s="21"/>
      <c r="K144" s="21"/>
      <c r="L144" s="21"/>
      <c r="M144" s="21"/>
      <c r="N144" s="21"/>
      <c r="O144" s="20"/>
    </row>
    <row r="145" spans="1:15" x14ac:dyDescent="0.3">
      <c r="A145" s="18"/>
      <c r="B145" s="42" t="s">
        <v>1514</v>
      </c>
      <c r="C145" s="42" t="s">
        <v>2</v>
      </c>
      <c r="D145" s="21"/>
      <c r="E145" s="21"/>
      <c r="F145" s="21"/>
      <c r="G145" s="30" t="str">
        <v>c</v>
      </c>
      <c r="H145" s="30">
        <v>3</v>
      </c>
      <c r="I145" s="30">
        <v>14</v>
      </c>
      <c r="J145" s="21"/>
      <c r="K145" s="21"/>
      <c r="L145" s="21"/>
      <c r="M145" s="21"/>
      <c r="N145" s="21"/>
      <c r="O145" s="20"/>
    </row>
    <row r="146" spans="1:15" x14ac:dyDescent="0.3">
      <c r="A146" s="18"/>
      <c r="B146" s="42" t="s">
        <v>1094</v>
      </c>
      <c r="C146" s="42" t="s">
        <v>17</v>
      </c>
      <c r="D146" s="21"/>
      <c r="E146" s="21"/>
      <c r="F146" s="21"/>
      <c r="G146" s="30" t="str">
        <v>d</v>
      </c>
      <c r="H146" s="30">
        <v>4</v>
      </c>
      <c r="I146" s="30">
        <v>5</v>
      </c>
      <c r="J146" s="21"/>
      <c r="K146" s="21"/>
      <c r="L146" s="21"/>
      <c r="M146" s="21"/>
      <c r="N146" s="21"/>
      <c r="O146" s="20"/>
    </row>
    <row r="147" spans="1:15" x14ac:dyDescent="0.3">
      <c r="A147" s="18"/>
      <c r="B147" s="21"/>
      <c r="C147" s="21"/>
      <c r="D147" s="21"/>
      <c r="E147" s="21"/>
      <c r="F147" s="21"/>
      <c r="G147" s="30" t="e">
        <v>#N/A</v>
      </c>
      <c r="H147" s="30" t="e">
        <v>#N/A</v>
      </c>
      <c r="I147" s="30" t="e">
        <v>#N/A</v>
      </c>
      <c r="J147" s="21"/>
      <c r="K147" s="21"/>
      <c r="L147" s="21"/>
      <c r="M147" s="21"/>
      <c r="N147" s="21"/>
      <c r="O147" s="20"/>
    </row>
    <row r="148" spans="1:15" x14ac:dyDescent="0.3">
      <c r="A148" s="18"/>
      <c r="B148" s="21"/>
      <c r="C148" s="21"/>
      <c r="D148" s="21"/>
      <c r="E148" s="21"/>
      <c r="F148" s="21"/>
      <c r="G148" s="30" t="e">
        <v>#N/A</v>
      </c>
      <c r="H148" s="30" t="e">
        <v>#N/A</v>
      </c>
      <c r="I148" s="30" t="e">
        <v>#N/A</v>
      </c>
      <c r="J148" s="21"/>
      <c r="K148" s="21"/>
      <c r="L148" s="21"/>
      <c r="M148" s="21"/>
      <c r="N148" s="21"/>
      <c r="O148" s="20"/>
    </row>
    <row r="149" spans="1:15" x14ac:dyDescent="0.3">
      <c r="A149" s="18"/>
      <c r="B149" s="21"/>
      <c r="C149" s="21"/>
      <c r="D149" s="21"/>
      <c r="E149" s="21"/>
      <c r="F149" s="21"/>
      <c r="G149" s="21"/>
      <c r="H149" s="21"/>
      <c r="I149" s="21"/>
      <c r="J149" s="21"/>
      <c r="K149" s="21"/>
      <c r="L149" s="21"/>
      <c r="M149" s="21"/>
      <c r="N149" s="21"/>
      <c r="O149" s="20"/>
    </row>
    <row r="150" spans="1:15" x14ac:dyDescent="0.3">
      <c r="A150" s="18"/>
      <c r="B150" s="21"/>
      <c r="C150" s="21"/>
      <c r="D150" s="21"/>
      <c r="E150" s="21"/>
      <c r="F150" s="21"/>
      <c r="G150" s="21"/>
      <c r="H150" s="21"/>
      <c r="I150" s="21"/>
      <c r="J150" s="21"/>
      <c r="K150" s="21"/>
      <c r="L150" s="21"/>
      <c r="M150" s="21"/>
      <c r="N150" s="21"/>
      <c r="O150" s="20"/>
    </row>
    <row r="151" spans="1:15" x14ac:dyDescent="0.3">
      <c r="A151" s="18"/>
      <c r="B151" s="21"/>
      <c r="C151" s="21"/>
      <c r="D151" s="21"/>
      <c r="E151" s="21"/>
      <c r="F151" s="21"/>
      <c r="G151" s="21"/>
      <c r="H151" s="21"/>
      <c r="I151" s="21"/>
      <c r="J151" s="21"/>
      <c r="K151" s="21"/>
      <c r="L151" s="21"/>
      <c r="M151" s="21"/>
      <c r="N151" s="21"/>
      <c r="O151" s="20"/>
    </row>
    <row r="152" spans="1:15" x14ac:dyDescent="0.3">
      <c r="A152" s="18"/>
      <c r="B152" s="2" t="s">
        <v>1505</v>
      </c>
      <c r="C152" s="181" t="s">
        <v>1527</v>
      </c>
      <c r="D152" s="21"/>
      <c r="E152" s="21"/>
      <c r="F152" s="21"/>
      <c r="G152" s="21"/>
      <c r="H152" s="21"/>
      <c r="I152" s="21"/>
      <c r="J152" s="21"/>
      <c r="K152" s="21"/>
      <c r="L152" s="21"/>
      <c r="M152" s="21"/>
      <c r="N152" s="21"/>
      <c r="O152" s="20"/>
    </row>
    <row r="153" spans="1:15" x14ac:dyDescent="0.3">
      <c r="A153" s="18"/>
      <c r="B153" s="21"/>
      <c r="C153" s="21"/>
      <c r="D153" s="21"/>
      <c r="E153" s="21"/>
      <c r="F153" s="21"/>
      <c r="G153" s="21"/>
      <c r="H153" s="21"/>
      <c r="I153" s="21"/>
      <c r="J153" s="21"/>
      <c r="K153" s="21"/>
      <c r="L153" s="21"/>
      <c r="M153" s="21"/>
      <c r="N153" s="21"/>
      <c r="O153" s="20"/>
    </row>
    <row r="154" spans="1:15" x14ac:dyDescent="0.3">
      <c r="A154" s="18"/>
      <c r="B154" s="475" t="s">
        <v>1518</v>
      </c>
      <c r="C154" s="475"/>
      <c r="D154" s="475"/>
      <c r="E154" s="475"/>
      <c r="F154" s="21"/>
      <c r="G154" s="475" t="s">
        <v>3394</v>
      </c>
      <c r="H154" s="475"/>
      <c r="I154" s="475"/>
      <c r="J154" s="475"/>
      <c r="K154" s="21"/>
      <c r="L154" s="21"/>
      <c r="M154" s="21"/>
      <c r="N154" s="21"/>
      <c r="O154" s="20"/>
    </row>
    <row r="155" spans="1:15" x14ac:dyDescent="0.3">
      <c r="A155" s="18"/>
      <c r="B155" s="272" t="s">
        <v>1522</v>
      </c>
      <c r="C155" s="197"/>
      <c r="D155" s="273" t="s">
        <v>1523</v>
      </c>
      <c r="E155" s="197"/>
      <c r="F155" s="21"/>
      <c r="G155" s="3" t="str">
        <f t="array" ref="G155:J160">_xll.U.VAPPEND(C152,B155:E157,B160:E162,B165:E167)</f>
        <v>January</v>
      </c>
      <c r="H155" s="3" t="str">
        <v>January</v>
      </c>
      <c r="I155" s="3" t="str">
        <v>April</v>
      </c>
      <c r="J155" s="3" t="str">
        <v>April</v>
      </c>
      <c r="K155" s="21"/>
      <c r="L155" s="21"/>
      <c r="M155" s="21"/>
      <c r="N155" s="21"/>
      <c r="O155" s="20"/>
    </row>
    <row r="156" spans="1:15" x14ac:dyDescent="0.3">
      <c r="A156" s="18"/>
      <c r="B156" s="197" t="s">
        <v>1516</v>
      </c>
      <c r="C156" s="197" t="s">
        <v>1517</v>
      </c>
      <c r="D156" s="197" t="s">
        <v>1516</v>
      </c>
      <c r="E156" s="197" t="s">
        <v>1517</v>
      </c>
      <c r="F156" s="21"/>
      <c r="G156" s="3" t="str">
        <v>Target</v>
      </c>
      <c r="H156" s="3" t="str">
        <v>Actual</v>
      </c>
      <c r="I156" s="3" t="str">
        <v>Target</v>
      </c>
      <c r="J156" s="3" t="str">
        <v>Actual</v>
      </c>
      <c r="K156" s="21"/>
      <c r="L156" s="21"/>
      <c r="M156" s="21"/>
      <c r="N156" s="21"/>
      <c r="O156" s="20"/>
    </row>
    <row r="157" spans="1:15" x14ac:dyDescent="0.3">
      <c r="A157" s="18"/>
      <c r="B157" s="44">
        <v>50000</v>
      </c>
      <c r="C157" s="44">
        <v>57000</v>
      </c>
      <c r="D157" s="44">
        <v>48000</v>
      </c>
      <c r="E157" s="44">
        <v>49000</v>
      </c>
      <c r="F157" s="21"/>
      <c r="G157" s="36">
        <v>50000</v>
      </c>
      <c r="H157" s="36">
        <v>57000</v>
      </c>
      <c r="I157" s="36">
        <v>48000</v>
      </c>
      <c r="J157" s="36">
        <v>49000</v>
      </c>
      <c r="K157" s="21"/>
      <c r="L157" s="21"/>
      <c r="M157" s="21"/>
      <c r="N157" s="21"/>
      <c r="O157" s="20"/>
    </row>
    <row r="158" spans="1:15" x14ac:dyDescent="0.3">
      <c r="A158" s="18"/>
      <c r="B158" s="21"/>
      <c r="C158" s="21"/>
      <c r="D158" s="21"/>
      <c r="E158" s="21"/>
      <c r="F158" s="21"/>
      <c r="G158" s="36">
        <v>25000</v>
      </c>
      <c r="H158" s="36">
        <v>23500</v>
      </c>
      <c r="I158" s="36">
        <v>25000</v>
      </c>
      <c r="J158" s="36">
        <v>24000</v>
      </c>
      <c r="K158" s="21"/>
      <c r="L158" s="21"/>
      <c r="M158" s="21"/>
      <c r="N158" s="21"/>
      <c r="O158" s="20"/>
    </row>
    <row r="159" spans="1:15" x14ac:dyDescent="0.3">
      <c r="A159" s="18"/>
      <c r="B159" s="475" t="s">
        <v>1519</v>
      </c>
      <c r="C159" s="475"/>
      <c r="D159" s="475"/>
      <c r="E159" s="475"/>
      <c r="F159" s="21"/>
      <c r="G159" s="36">
        <v>8000</v>
      </c>
      <c r="H159" s="36">
        <v>5000</v>
      </c>
      <c r="I159" s="36">
        <v>10000</v>
      </c>
      <c r="J159" s="36">
        <v>6000</v>
      </c>
      <c r="K159" s="21"/>
      <c r="L159" s="21"/>
      <c r="M159" s="21"/>
      <c r="N159" s="21"/>
      <c r="O159" s="20"/>
    </row>
    <row r="160" spans="1:15" x14ac:dyDescent="0.3">
      <c r="A160" s="18"/>
      <c r="B160" s="272" t="s">
        <v>1524</v>
      </c>
      <c r="C160" s="197"/>
      <c r="D160" s="273" t="s">
        <v>1525</v>
      </c>
      <c r="E160" s="197"/>
      <c r="F160" s="21"/>
      <c r="G160" s="36" t="e">
        <v>#N/A</v>
      </c>
      <c r="H160" s="36" t="e">
        <v>#N/A</v>
      </c>
      <c r="I160" s="36" t="e">
        <v>#N/A</v>
      </c>
      <c r="J160" s="36" t="e">
        <v>#N/A</v>
      </c>
      <c r="K160" s="21"/>
      <c r="L160" s="21"/>
      <c r="M160" s="21"/>
      <c r="N160" s="21"/>
      <c r="O160" s="20"/>
    </row>
    <row r="161" spans="1:15" x14ac:dyDescent="0.3">
      <c r="A161" s="18"/>
      <c r="B161" s="197" t="s">
        <v>1520</v>
      </c>
      <c r="C161" s="197" t="s">
        <v>1521</v>
      </c>
      <c r="D161" s="197" t="s">
        <v>1520</v>
      </c>
      <c r="E161" s="197" t="s">
        <v>1521</v>
      </c>
      <c r="F161" s="21"/>
      <c r="G161" s="21"/>
      <c r="H161" s="21"/>
      <c r="I161" s="21"/>
      <c r="J161" s="21"/>
      <c r="K161" s="21"/>
      <c r="L161" s="21"/>
      <c r="M161" s="21"/>
      <c r="N161" s="21"/>
      <c r="O161" s="20"/>
    </row>
    <row r="162" spans="1:15" x14ac:dyDescent="0.3">
      <c r="A162" s="18"/>
      <c r="B162" s="44">
        <v>25000</v>
      </c>
      <c r="C162" s="44">
        <v>23500</v>
      </c>
      <c r="D162" s="44">
        <v>25000</v>
      </c>
      <c r="E162" s="44">
        <v>24000</v>
      </c>
      <c r="F162" s="21"/>
      <c r="G162" s="475" t="s">
        <v>3394</v>
      </c>
      <c r="H162" s="475"/>
      <c r="I162" s="475"/>
      <c r="J162" s="475"/>
      <c r="K162" s="21"/>
      <c r="L162" s="21"/>
      <c r="M162" s="21"/>
      <c r="N162" s="21"/>
      <c r="O162" s="20"/>
    </row>
    <row r="163" spans="1:15" x14ac:dyDescent="0.3">
      <c r="A163" s="18"/>
      <c r="B163" s="21"/>
      <c r="C163" s="21"/>
      <c r="D163" s="21"/>
      <c r="E163" s="21"/>
      <c r="F163" s="21"/>
      <c r="G163" s="3" t="str">
        <f t="array" ref="G163:J168">_xll.U.FILL_LABELS(_xll.U.VAPPEND(C152,B155:E157,B160:E162,B165:E167),,,,2,,,TRUE)</f>
        <v>January</v>
      </c>
      <c r="H163" s="3" t="str">
        <v/>
      </c>
      <c r="I163" s="3" t="str">
        <v>April</v>
      </c>
      <c r="J163" s="3" t="str">
        <v/>
      </c>
      <c r="K163" s="21"/>
      <c r="L163" s="21"/>
      <c r="M163" s="21"/>
      <c r="N163" s="21"/>
      <c r="O163" s="20"/>
    </row>
    <row r="164" spans="1:15" x14ac:dyDescent="0.3">
      <c r="A164" s="18"/>
      <c r="B164" s="475" t="s">
        <v>1526</v>
      </c>
      <c r="C164" s="475"/>
      <c r="D164" s="475"/>
      <c r="E164" s="475"/>
      <c r="F164" s="21"/>
      <c r="G164" s="3" t="str">
        <v>Target</v>
      </c>
      <c r="H164" s="3" t="str">
        <v>Actual</v>
      </c>
      <c r="I164" s="3" t="str">
        <v>Target</v>
      </c>
      <c r="J164" s="3" t="str">
        <v>Actual</v>
      </c>
      <c r="K164" s="21"/>
      <c r="L164" s="21"/>
      <c r="M164" s="21"/>
      <c r="N164" s="21"/>
      <c r="O164" s="20"/>
    </row>
    <row r="165" spans="1:15" x14ac:dyDescent="0.3">
      <c r="A165" s="18"/>
      <c r="B165" s="273" t="s">
        <v>1525</v>
      </c>
      <c r="C165" s="197" t="s">
        <v>1528</v>
      </c>
      <c r="D165" s="273" t="s">
        <v>1522</v>
      </c>
      <c r="E165" s="197"/>
      <c r="F165" s="21"/>
      <c r="G165" s="36">
        <v>50000</v>
      </c>
      <c r="H165" s="36">
        <v>57000</v>
      </c>
      <c r="I165" s="36">
        <v>48000</v>
      </c>
      <c r="J165" s="36">
        <v>49000</v>
      </c>
      <c r="K165" s="21"/>
      <c r="L165" s="21"/>
      <c r="M165" s="21"/>
      <c r="N165" s="21"/>
      <c r="O165" s="20"/>
    </row>
    <row r="166" spans="1:15" x14ac:dyDescent="0.3">
      <c r="A166" s="18"/>
      <c r="B166" s="197" t="s">
        <v>1521</v>
      </c>
      <c r="C166" s="197" t="s">
        <v>1516</v>
      </c>
      <c r="D166" s="197" t="s">
        <v>1520</v>
      </c>
      <c r="E166" s="197" t="s">
        <v>1517</v>
      </c>
      <c r="F166" s="21"/>
      <c r="G166" s="36">
        <v>25000</v>
      </c>
      <c r="H166" s="36">
        <v>23500</v>
      </c>
      <c r="I166" s="36">
        <v>25000</v>
      </c>
      <c r="J166" s="36">
        <v>24000</v>
      </c>
      <c r="K166" s="21"/>
      <c r="L166" s="21"/>
      <c r="M166" s="21"/>
      <c r="N166" s="21"/>
      <c r="O166" s="20"/>
    </row>
    <row r="167" spans="1:15" x14ac:dyDescent="0.3">
      <c r="A167" s="18"/>
      <c r="B167" s="44">
        <v>6000</v>
      </c>
      <c r="C167" s="44">
        <v>10000</v>
      </c>
      <c r="D167" s="44">
        <v>8000</v>
      </c>
      <c r="E167" s="44">
        <v>5000</v>
      </c>
      <c r="F167" s="21"/>
      <c r="G167" s="36">
        <v>8000</v>
      </c>
      <c r="H167" s="36">
        <v>5000</v>
      </c>
      <c r="I167" s="36">
        <v>10000</v>
      </c>
      <c r="J167" s="36">
        <v>6000</v>
      </c>
      <c r="K167" s="21"/>
      <c r="L167" s="21"/>
      <c r="M167" s="21"/>
      <c r="N167" s="21"/>
      <c r="O167" s="20"/>
    </row>
    <row r="168" spans="1:15" x14ac:dyDescent="0.3">
      <c r="A168" s="18"/>
      <c r="B168" s="21"/>
      <c r="C168" s="21"/>
      <c r="D168" s="21"/>
      <c r="E168" s="21"/>
      <c r="F168" s="21"/>
      <c r="G168" s="36" t="e">
        <v>#N/A</v>
      </c>
      <c r="H168" s="36" t="e">
        <v>#N/A</v>
      </c>
      <c r="I168" s="36" t="e">
        <v>#N/A</v>
      </c>
      <c r="J168" s="36" t="e">
        <v>#N/A</v>
      </c>
      <c r="K168" s="21"/>
      <c r="L168" s="21"/>
      <c r="M168" s="21"/>
      <c r="N168" s="21"/>
      <c r="O168" s="20"/>
    </row>
    <row r="169" spans="1:15" x14ac:dyDescent="0.3">
      <c r="A169" s="18"/>
      <c r="B169" s="21"/>
      <c r="C169" s="21"/>
      <c r="D169" s="21"/>
      <c r="E169" s="21"/>
      <c r="F169" s="21"/>
      <c r="G169" s="21"/>
      <c r="H169" s="21"/>
      <c r="I169" s="21"/>
      <c r="J169" s="21"/>
      <c r="K169" s="21"/>
      <c r="L169" s="21"/>
      <c r="M169" s="21"/>
      <c r="N169" s="21"/>
      <c r="O169" s="20"/>
    </row>
    <row r="170" spans="1:15" x14ac:dyDescent="0.3">
      <c r="A170" s="18"/>
      <c r="B170" s="21"/>
      <c r="C170" s="21"/>
      <c r="D170" s="21"/>
      <c r="E170" s="21"/>
      <c r="F170" s="21"/>
      <c r="G170" s="21"/>
      <c r="H170" s="21"/>
      <c r="I170" s="21"/>
      <c r="J170" s="21"/>
      <c r="K170" s="21"/>
      <c r="L170" s="21"/>
      <c r="M170" s="21"/>
      <c r="N170" s="21"/>
      <c r="O170" s="20"/>
    </row>
    <row r="171" spans="1:15" x14ac:dyDescent="0.3">
      <c r="A171" s="18"/>
      <c r="B171" s="21"/>
      <c r="C171" s="21"/>
      <c r="D171" s="21"/>
      <c r="E171" s="21"/>
      <c r="F171" s="21"/>
      <c r="G171" s="21"/>
      <c r="H171" s="21"/>
      <c r="I171" s="21"/>
      <c r="J171" s="21"/>
      <c r="K171" s="21"/>
      <c r="L171" s="21"/>
      <c r="M171" s="21"/>
      <c r="N171" s="21"/>
      <c r="O171" s="20"/>
    </row>
    <row r="172" spans="1:15" x14ac:dyDescent="0.3">
      <c r="A172" s="18"/>
      <c r="B172" s="21"/>
      <c r="C172" s="21"/>
      <c r="D172" s="21"/>
      <c r="E172" s="21"/>
      <c r="F172" s="21"/>
      <c r="G172" s="21"/>
      <c r="H172" s="21"/>
      <c r="I172" s="21"/>
      <c r="J172" s="21"/>
      <c r="K172" s="21"/>
      <c r="L172" s="21"/>
      <c r="M172" s="21"/>
      <c r="N172" s="21"/>
      <c r="O172" s="20"/>
    </row>
    <row r="173" spans="1:15" x14ac:dyDescent="0.3">
      <c r="A173" s="18"/>
      <c r="B173" s="21"/>
      <c r="C173" s="21"/>
      <c r="D173" s="21"/>
      <c r="E173" s="21"/>
      <c r="F173" s="21"/>
      <c r="G173" s="21"/>
      <c r="H173" s="21"/>
      <c r="I173" s="21"/>
      <c r="J173" s="21"/>
      <c r="K173" s="21"/>
      <c r="L173" s="21"/>
      <c r="M173" s="21"/>
      <c r="N173" s="21"/>
      <c r="O173" s="20"/>
    </row>
    <row r="174" spans="1:15" x14ac:dyDescent="0.3">
      <c r="A174" s="18"/>
      <c r="B174" s="2" t="s">
        <v>1505</v>
      </c>
      <c r="C174" s="181" t="s">
        <v>1646</v>
      </c>
      <c r="D174" s="21"/>
      <c r="E174" s="21"/>
      <c r="F174" s="21"/>
      <c r="G174" s="475" t="s">
        <v>3394</v>
      </c>
      <c r="H174" s="475"/>
      <c r="I174" s="475"/>
      <c r="J174" s="475"/>
      <c r="K174" s="21"/>
      <c r="L174" s="21"/>
      <c r="M174" s="21"/>
      <c r="N174" s="21"/>
      <c r="O174" s="20"/>
    </row>
    <row r="175" spans="1:15" x14ac:dyDescent="0.3">
      <c r="A175" s="18"/>
      <c r="B175" s="21"/>
      <c r="C175" s="21"/>
      <c r="D175" s="21"/>
      <c r="E175" s="21"/>
      <c r="F175" s="21"/>
      <c r="G175" s="489" t="str" cm="1">
        <f t="array" ref="G175">_xll.U.VAPPEND(C174,B155:E157,B160:E162,B165:E167)</f>
        <v>appended | 2026-02-19 10:52:23.522</v>
      </c>
      <c r="H175" s="489"/>
      <c r="I175" s="489"/>
      <c r="J175" s="489"/>
      <c r="K175" s="21"/>
      <c r="L175" s="21"/>
      <c r="M175" s="21"/>
      <c r="N175" s="21"/>
      <c r="O175" s="20"/>
    </row>
    <row r="176" spans="1:15" x14ac:dyDescent="0.3">
      <c r="A176" s="18"/>
      <c r="B176" s="21"/>
      <c r="C176" s="21"/>
      <c r="D176" s="21"/>
      <c r="E176" s="21"/>
      <c r="F176" s="21"/>
      <c r="G176" s="21"/>
      <c r="H176" s="21"/>
      <c r="I176" s="21"/>
      <c r="J176" s="21"/>
      <c r="K176" s="21"/>
      <c r="L176" s="21"/>
      <c r="M176" s="21"/>
      <c r="N176" s="21"/>
      <c r="O176" s="20"/>
    </row>
    <row r="177" spans="1:15" x14ac:dyDescent="0.3">
      <c r="A177" s="18"/>
      <c r="B177" s="21"/>
      <c r="C177" s="21"/>
      <c r="D177" s="21"/>
      <c r="E177" s="21"/>
      <c r="F177" s="21"/>
      <c r="G177" s="3" t="str">
        <f t="array" ref="G177:J182">_xll.U.GET(G175)</f>
        <v>January</v>
      </c>
      <c r="H177" s="3" t="str">
        <v>January</v>
      </c>
      <c r="I177" s="3" t="str">
        <v>April</v>
      </c>
      <c r="J177" s="3" t="str">
        <v>April</v>
      </c>
      <c r="K177" s="21"/>
      <c r="L177" s="21"/>
      <c r="M177" s="21"/>
      <c r="N177" s="21"/>
      <c r="O177" s="20"/>
    </row>
    <row r="178" spans="1:15" x14ac:dyDescent="0.3">
      <c r="A178" s="18"/>
      <c r="B178" s="21"/>
      <c r="C178" s="21"/>
      <c r="D178" s="21"/>
      <c r="E178" s="21"/>
      <c r="F178" s="21"/>
      <c r="G178" s="3" t="str">
        <v>Target</v>
      </c>
      <c r="H178" s="3" t="str">
        <v>Actual</v>
      </c>
      <c r="I178" s="3" t="str">
        <v>Target</v>
      </c>
      <c r="J178" s="3" t="str">
        <v>Actual</v>
      </c>
      <c r="K178" s="21"/>
      <c r="L178" s="21"/>
      <c r="M178" s="21"/>
      <c r="N178" s="21"/>
      <c r="O178" s="20"/>
    </row>
    <row r="179" spans="1:15" x14ac:dyDescent="0.3">
      <c r="A179" s="18"/>
      <c r="B179" s="21"/>
      <c r="C179" s="21"/>
      <c r="D179" s="21"/>
      <c r="E179" s="21"/>
      <c r="F179" s="21"/>
      <c r="G179" s="30">
        <v>50000</v>
      </c>
      <c r="H179" s="30">
        <v>57000</v>
      </c>
      <c r="I179" s="30">
        <v>48000</v>
      </c>
      <c r="J179" s="30">
        <v>49000</v>
      </c>
      <c r="K179" s="21"/>
      <c r="L179" s="21"/>
      <c r="M179" s="21"/>
      <c r="N179" s="21"/>
      <c r="O179" s="20"/>
    </row>
    <row r="180" spans="1:15" x14ac:dyDescent="0.3">
      <c r="A180" s="18"/>
      <c r="B180" s="21"/>
      <c r="C180" s="21"/>
      <c r="D180" s="21"/>
      <c r="E180" s="21"/>
      <c r="F180" s="21"/>
      <c r="G180" s="30">
        <v>25000</v>
      </c>
      <c r="H180" s="30">
        <v>23500</v>
      </c>
      <c r="I180" s="30">
        <v>25000</v>
      </c>
      <c r="J180" s="30">
        <v>24000</v>
      </c>
      <c r="K180" s="21"/>
      <c r="L180" s="21"/>
      <c r="M180" s="21"/>
      <c r="N180" s="21"/>
      <c r="O180" s="20"/>
    </row>
    <row r="181" spans="1:15" x14ac:dyDescent="0.3">
      <c r="A181" s="18"/>
      <c r="B181" s="21"/>
      <c r="C181" s="21"/>
      <c r="D181" s="21"/>
      <c r="E181" s="21"/>
      <c r="F181" s="21"/>
      <c r="G181" s="30">
        <v>8000</v>
      </c>
      <c r="H181" s="30">
        <v>5000</v>
      </c>
      <c r="I181" s="30">
        <v>10000</v>
      </c>
      <c r="J181" s="30">
        <v>6000</v>
      </c>
      <c r="K181" s="21"/>
      <c r="L181" s="21"/>
      <c r="M181" s="21"/>
      <c r="N181" s="21"/>
      <c r="O181" s="20"/>
    </row>
    <row r="182" spans="1:15" x14ac:dyDescent="0.3">
      <c r="A182" s="18"/>
      <c r="B182" s="21"/>
      <c r="C182" s="21"/>
      <c r="D182" s="21"/>
      <c r="E182" s="21"/>
      <c r="F182" s="21"/>
      <c r="G182" s="30" t="e">
        <v>#N/A</v>
      </c>
      <c r="H182" s="30" t="e">
        <v>#N/A</v>
      </c>
      <c r="I182" s="30" t="e">
        <v>#N/A</v>
      </c>
      <c r="J182" s="30" t="e">
        <v>#N/A</v>
      </c>
      <c r="K182" s="21"/>
      <c r="L182" s="21"/>
      <c r="M182" s="21"/>
      <c r="N182" s="21"/>
      <c r="O182" s="20"/>
    </row>
    <row r="183" spans="1:15" x14ac:dyDescent="0.3">
      <c r="A183" s="18"/>
      <c r="B183" s="21"/>
      <c r="C183" s="21"/>
      <c r="D183" s="21"/>
      <c r="E183" s="21"/>
      <c r="F183" s="21"/>
      <c r="G183" s="21"/>
      <c r="H183" s="21"/>
      <c r="I183" s="21"/>
      <c r="J183" s="21"/>
      <c r="K183" s="21"/>
      <c r="L183" s="21"/>
      <c r="M183" s="21"/>
      <c r="N183" s="21"/>
      <c r="O183" s="20"/>
    </row>
    <row r="184" spans="1:15" x14ac:dyDescent="0.3">
      <c r="A184" s="18"/>
      <c r="B184" s="21"/>
      <c r="C184" s="21"/>
      <c r="D184" s="21"/>
      <c r="E184" s="21"/>
      <c r="F184" s="21"/>
      <c r="G184" s="21"/>
      <c r="H184" s="21"/>
      <c r="I184" s="21"/>
      <c r="J184" s="21"/>
      <c r="K184" s="21"/>
      <c r="L184" s="21"/>
      <c r="M184" s="21"/>
      <c r="N184" s="21"/>
      <c r="O184" s="20"/>
    </row>
    <row r="185" spans="1:15" x14ac:dyDescent="0.3">
      <c r="A185" s="18"/>
      <c r="B185" s="2" t="s">
        <v>1505</v>
      </c>
      <c r="C185" s="181" t="s">
        <v>2772</v>
      </c>
      <c r="D185" s="21"/>
      <c r="E185" s="21"/>
      <c r="F185" s="21"/>
      <c r="G185" s="2" t="s">
        <v>1505</v>
      </c>
      <c r="H185" s="251" t="str" cm="1">
        <f t="array" ref="H185">_xll.U.DO(_xll.U.VAPPEND(C185,B121:C123,_xll.U.REPLACE(B134:D136,$B$145:$C$146)),_xll.U.NOW())</f>
        <v>2matrices | 2026-05-03 21:26:15.860</v>
      </c>
      <c r="I185" s="21"/>
      <c r="J185" s="21"/>
      <c r="K185" s="21"/>
      <c r="L185" s="21"/>
      <c r="M185" s="21"/>
      <c r="N185" s="21"/>
      <c r="O185" s="20"/>
    </row>
    <row r="186" spans="1:15" x14ac:dyDescent="0.3">
      <c r="A186" s="18"/>
      <c r="B186" s="21"/>
      <c r="C186" s="21"/>
      <c r="D186" s="21"/>
      <c r="E186" s="21"/>
      <c r="F186" s="21"/>
      <c r="G186" s="58" t="s">
        <v>2773</v>
      </c>
      <c r="H186" s="3" t="str">
        <f t="array" ref="H186:J188">_xll.U.GET(H185,,2)</f>
        <v>Value</v>
      </c>
      <c r="I186" s="3" t="str">
        <v>Age</v>
      </c>
      <c r="J186" s="3" t="str">
        <v>Symbol</v>
      </c>
      <c r="K186" s="21"/>
      <c r="L186" s="21"/>
      <c r="M186" s="21"/>
      <c r="N186" s="21"/>
      <c r="O186" s="20"/>
    </row>
    <row r="187" spans="1:15" x14ac:dyDescent="0.3">
      <c r="A187" s="18"/>
      <c r="B187" s="21"/>
      <c r="C187" s="21"/>
      <c r="D187" s="21"/>
      <c r="E187" s="21"/>
      <c r="F187" s="21"/>
      <c r="G187" s="21"/>
      <c r="H187" s="30">
        <v>3</v>
      </c>
      <c r="I187" s="30">
        <v>14</v>
      </c>
      <c r="J187" s="30" t="str">
        <v>c</v>
      </c>
      <c r="K187" s="21"/>
      <c r="L187" s="21"/>
      <c r="M187" s="21"/>
      <c r="N187" s="21"/>
      <c r="O187" s="20"/>
    </row>
    <row r="188" spans="1:15" x14ac:dyDescent="0.3">
      <c r="A188" s="18"/>
      <c r="B188" s="21"/>
      <c r="C188" s="21"/>
      <c r="D188" s="21"/>
      <c r="E188" s="21"/>
      <c r="F188" s="21"/>
      <c r="G188" s="21"/>
      <c r="H188" s="30">
        <v>4</v>
      </c>
      <c r="I188" s="30">
        <v>5</v>
      </c>
      <c r="J188" s="30" t="str">
        <v>d</v>
      </c>
      <c r="K188" s="21"/>
      <c r="L188" s="21"/>
      <c r="M188" s="21"/>
      <c r="N188" s="21"/>
      <c r="O188" s="20"/>
    </row>
    <row r="189" spans="1:15" x14ac:dyDescent="0.3">
      <c r="A189" s="18"/>
      <c r="B189" s="21"/>
      <c r="C189" s="21"/>
      <c r="D189" s="21"/>
      <c r="E189" s="21"/>
      <c r="F189" s="21"/>
      <c r="G189" s="21"/>
      <c r="H189" s="21"/>
      <c r="I189" s="21"/>
      <c r="J189" s="21"/>
      <c r="K189" s="21"/>
      <c r="L189" s="21"/>
      <c r="M189" s="21"/>
      <c r="N189" s="21"/>
      <c r="O189" s="20"/>
    </row>
    <row r="190" spans="1:15" x14ac:dyDescent="0.3">
      <c r="A190" s="18"/>
      <c r="B190" s="21"/>
      <c r="C190" s="21"/>
      <c r="D190" s="21"/>
      <c r="E190" s="21"/>
      <c r="F190" s="21"/>
      <c r="G190" s="21"/>
      <c r="H190" s="21"/>
      <c r="I190" s="21"/>
      <c r="J190" s="21"/>
      <c r="K190" s="21"/>
      <c r="L190" s="21"/>
      <c r="M190" s="21"/>
      <c r="N190" s="21"/>
      <c r="O190" s="20"/>
    </row>
    <row r="191" spans="1:15" x14ac:dyDescent="0.3">
      <c r="A191" s="18"/>
      <c r="B191" s="21"/>
      <c r="C191" s="21"/>
      <c r="D191" s="21"/>
      <c r="E191" s="21"/>
      <c r="F191" s="21"/>
      <c r="G191" s="21"/>
      <c r="H191" s="21"/>
      <c r="I191" s="21"/>
      <c r="J191" s="21"/>
      <c r="K191" s="21"/>
      <c r="L191" s="21"/>
      <c r="M191" s="21"/>
      <c r="N191" s="21"/>
      <c r="O191" s="20"/>
    </row>
    <row r="192" spans="1:15" x14ac:dyDescent="0.3">
      <c r="A192" s="18"/>
      <c r="B192" s="21"/>
      <c r="C192" s="21"/>
      <c r="D192" s="21"/>
      <c r="E192" s="21"/>
      <c r="F192" s="21"/>
      <c r="G192" s="21"/>
      <c r="H192" s="21"/>
      <c r="I192" s="21"/>
      <c r="J192" s="21"/>
      <c r="K192" s="21"/>
      <c r="L192" s="21"/>
      <c r="M192" s="21"/>
      <c r="N192" s="21"/>
      <c r="O192" s="20"/>
    </row>
    <row r="193" spans="1:15" x14ac:dyDescent="0.3">
      <c r="A193" s="18"/>
      <c r="B193" s="21"/>
      <c r="C193" s="21"/>
      <c r="D193" s="21"/>
      <c r="E193" s="21"/>
      <c r="F193" s="21"/>
      <c r="G193" s="21"/>
      <c r="H193" s="21"/>
      <c r="I193" s="21"/>
      <c r="J193" s="21"/>
      <c r="K193" s="21"/>
      <c r="L193" s="21"/>
      <c r="M193" s="21"/>
      <c r="N193" s="21"/>
      <c r="O193" s="20"/>
    </row>
    <row r="194" spans="1:15" x14ac:dyDescent="0.3">
      <c r="A194" s="18"/>
      <c r="B194" s="21"/>
      <c r="C194" s="21"/>
      <c r="D194" s="21"/>
      <c r="E194" s="21"/>
      <c r="F194" s="21"/>
      <c r="G194" s="21"/>
      <c r="H194" s="21"/>
      <c r="I194" s="21"/>
      <c r="J194" s="21"/>
      <c r="K194" s="21"/>
      <c r="L194" s="21"/>
      <c r="M194" s="21"/>
      <c r="N194" s="21"/>
      <c r="O194" s="20"/>
    </row>
    <row r="195" spans="1:15" x14ac:dyDescent="0.3">
      <c r="A195" s="18"/>
      <c r="B195" s="21"/>
      <c r="C195" s="21"/>
      <c r="D195" s="21"/>
      <c r="E195" s="21"/>
      <c r="F195" s="21"/>
      <c r="G195" s="21"/>
      <c r="H195" s="21"/>
      <c r="I195" s="21"/>
      <c r="J195" s="21"/>
      <c r="K195" s="21"/>
      <c r="L195" s="21"/>
      <c r="M195" s="21"/>
      <c r="N195" s="21"/>
      <c r="O195" s="20"/>
    </row>
    <row r="196" spans="1:15" x14ac:dyDescent="0.3">
      <c r="A196" s="18"/>
      <c r="B196" s="21"/>
      <c r="C196" s="21"/>
      <c r="D196" s="21"/>
      <c r="E196" s="21"/>
      <c r="F196" s="21"/>
      <c r="G196" s="21"/>
      <c r="H196" s="21"/>
      <c r="I196" s="21"/>
      <c r="J196" s="21"/>
      <c r="K196" s="21"/>
      <c r="L196" s="21"/>
      <c r="M196" s="21"/>
      <c r="N196" s="21"/>
      <c r="O196" s="20"/>
    </row>
    <row r="197" spans="1:15" x14ac:dyDescent="0.3">
      <c r="A197" s="18"/>
      <c r="B197" s="21"/>
      <c r="C197" s="21"/>
      <c r="D197" s="21"/>
      <c r="E197" s="21"/>
      <c r="F197" s="21"/>
      <c r="G197" s="21"/>
      <c r="H197" s="21"/>
      <c r="I197" s="21"/>
      <c r="J197" s="21"/>
      <c r="K197" s="21"/>
      <c r="L197" s="21"/>
      <c r="M197" s="21"/>
      <c r="N197" s="21"/>
      <c r="O197" s="20"/>
    </row>
    <row r="198" spans="1:15" x14ac:dyDescent="0.3">
      <c r="A198" s="18"/>
      <c r="B198" s="2" t="s">
        <v>1505</v>
      </c>
      <c r="C198" s="181" t="s">
        <v>3779</v>
      </c>
      <c r="D198" s="21"/>
      <c r="E198" s="21"/>
      <c r="F198" s="21"/>
      <c r="G198" s="475" t="s">
        <v>3394</v>
      </c>
      <c r="H198" s="475"/>
      <c r="I198" s="21"/>
      <c r="J198" s="21"/>
      <c r="K198" s="21"/>
      <c r="L198" s="21"/>
      <c r="M198" s="21"/>
      <c r="N198" s="21"/>
      <c r="O198" s="20"/>
    </row>
    <row r="199" spans="1:15" x14ac:dyDescent="0.3">
      <c r="A199" s="18"/>
      <c r="B199" s="21"/>
      <c r="C199" s="21"/>
      <c r="D199" s="21"/>
      <c r="E199" s="21"/>
      <c r="F199" s="21"/>
      <c r="G199" s="3" t="str" cm="1">
        <f t="array" ref="G199:H203">_xll.U.VAPPEND(C198,B200:C202,B204:C206,B208:C210)</f>
        <v>Key</v>
      </c>
      <c r="H199" s="3" t="str">
        <v>Val</v>
      </c>
      <c r="I199" s="21"/>
      <c r="J199" s="21"/>
      <c r="K199" s="21"/>
      <c r="L199" s="21"/>
      <c r="M199" s="21"/>
      <c r="N199" s="21"/>
      <c r="O199" s="20"/>
    </row>
    <row r="200" spans="1:15" x14ac:dyDescent="0.3">
      <c r="A200" s="18"/>
      <c r="B200" s="85" t="s">
        <v>16</v>
      </c>
      <c r="C200" s="85" t="s">
        <v>1094</v>
      </c>
      <c r="D200" s="21"/>
      <c r="E200" s="21"/>
      <c r="F200" s="21"/>
      <c r="G200" s="30" t="str">
        <v>A</v>
      </c>
      <c r="H200" s="30">
        <v>1</v>
      </c>
      <c r="I200" s="21"/>
      <c r="J200" s="21"/>
      <c r="K200" s="21"/>
      <c r="L200" s="21"/>
      <c r="M200" s="21"/>
      <c r="N200" s="21"/>
      <c r="O200" s="20"/>
    </row>
    <row r="201" spans="1:15" x14ac:dyDescent="0.3">
      <c r="A201" s="18"/>
      <c r="B201" s="181" t="s">
        <v>280</v>
      </c>
      <c r="C201" s="181">
        <v>1</v>
      </c>
      <c r="D201" s="21"/>
      <c r="E201" s="21"/>
      <c r="F201" s="21"/>
      <c r="G201" s="30" t="str">
        <v>B</v>
      </c>
      <c r="H201" s="30">
        <v>2</v>
      </c>
      <c r="I201" s="21"/>
      <c r="J201" s="21"/>
      <c r="K201" s="21"/>
      <c r="L201" s="21"/>
      <c r="M201" s="21"/>
      <c r="N201" s="21"/>
      <c r="O201" s="20"/>
    </row>
    <row r="202" spans="1:15" x14ac:dyDescent="0.3">
      <c r="A202" s="18"/>
      <c r="B202" s="464"/>
      <c r="C202" s="464"/>
      <c r="D202" s="21"/>
      <c r="E202" s="21"/>
      <c r="F202" s="21"/>
      <c r="G202" s="30" t="str">
        <v>C</v>
      </c>
      <c r="H202" s="30">
        <v>3</v>
      </c>
      <c r="I202" s="21"/>
      <c r="J202" s="21"/>
      <c r="K202" s="21"/>
      <c r="L202" s="21"/>
      <c r="M202" s="21"/>
      <c r="N202" s="21"/>
      <c r="O202" s="20"/>
    </row>
    <row r="203" spans="1:15" x14ac:dyDescent="0.3">
      <c r="A203" s="18"/>
      <c r="B203" s="21"/>
      <c r="C203" s="21"/>
      <c r="D203" s="21"/>
      <c r="E203" s="21"/>
      <c r="F203" s="21"/>
      <c r="G203" s="30" t="str">
        <v>D</v>
      </c>
      <c r="H203" s="30">
        <v>4</v>
      </c>
      <c r="I203" s="21"/>
      <c r="J203" s="21"/>
      <c r="K203" s="21"/>
      <c r="L203" s="21"/>
      <c r="M203" s="21"/>
      <c r="N203" s="21"/>
      <c r="O203" s="20"/>
    </row>
    <row r="204" spans="1:15" x14ac:dyDescent="0.3">
      <c r="A204" s="18"/>
      <c r="B204" s="85" t="s">
        <v>16</v>
      </c>
      <c r="C204" s="85" t="s">
        <v>1094</v>
      </c>
      <c r="D204" s="21"/>
      <c r="E204" s="21"/>
      <c r="F204" s="21"/>
      <c r="G204" s="21"/>
      <c r="H204" s="21"/>
      <c r="I204" s="21"/>
      <c r="J204" s="21"/>
      <c r="K204" s="21"/>
      <c r="L204" s="21"/>
      <c r="M204" s="21"/>
      <c r="N204" s="21"/>
      <c r="O204" s="20"/>
    </row>
    <row r="205" spans="1:15" x14ac:dyDescent="0.3">
      <c r="A205" s="18"/>
      <c r="B205" s="181" t="s">
        <v>207</v>
      </c>
      <c r="C205" s="181">
        <v>2</v>
      </c>
      <c r="D205" s="21"/>
      <c r="E205" s="21"/>
      <c r="F205" s="21"/>
      <c r="G205" s="21"/>
      <c r="H205" s="21"/>
      <c r="I205" s="21"/>
      <c r="J205" s="21"/>
      <c r="K205" s="21"/>
      <c r="L205" s="21"/>
      <c r="M205" s="21"/>
      <c r="N205" s="21"/>
      <c r="O205" s="20"/>
    </row>
    <row r="206" spans="1:15" x14ac:dyDescent="0.3">
      <c r="A206" s="18"/>
      <c r="B206" s="464" t="e">
        <f>NA()</f>
        <v>#N/A</v>
      </c>
      <c r="C206" s="464"/>
      <c r="D206" s="21"/>
      <c r="E206" s="21"/>
      <c r="F206" s="21"/>
      <c r="G206" s="21"/>
      <c r="H206" s="21"/>
      <c r="I206" s="21"/>
      <c r="J206" s="21"/>
      <c r="K206" s="21"/>
      <c r="L206" s="21"/>
      <c r="M206" s="21"/>
      <c r="N206" s="21"/>
      <c r="O206" s="20"/>
    </row>
    <row r="207" spans="1:15" x14ac:dyDescent="0.3">
      <c r="A207" s="18"/>
      <c r="B207" s="21"/>
      <c r="C207" s="21"/>
      <c r="D207" s="21"/>
      <c r="E207" s="21"/>
      <c r="F207" s="21"/>
      <c r="G207" s="21"/>
      <c r="H207" s="21"/>
      <c r="I207" s="21"/>
      <c r="J207" s="21"/>
      <c r="K207" s="21"/>
      <c r="L207" s="21"/>
      <c r="M207" s="21"/>
      <c r="N207" s="21"/>
      <c r="O207" s="20"/>
    </row>
    <row r="208" spans="1:15" x14ac:dyDescent="0.3">
      <c r="A208" s="18"/>
      <c r="B208" s="85" t="s">
        <v>16</v>
      </c>
      <c r="C208" s="85" t="s">
        <v>1094</v>
      </c>
      <c r="D208" s="21"/>
      <c r="E208" s="21"/>
      <c r="F208" s="21"/>
      <c r="G208" s="21"/>
      <c r="H208" s="21"/>
      <c r="I208" s="21"/>
      <c r="J208" s="21"/>
      <c r="K208" s="21"/>
      <c r="L208" s="21"/>
      <c r="M208" s="21"/>
      <c r="N208" s="21"/>
      <c r="O208" s="20"/>
    </row>
    <row r="209" spans="1:15" x14ac:dyDescent="0.3">
      <c r="A209" s="18"/>
      <c r="B209" s="181" t="s">
        <v>281</v>
      </c>
      <c r="C209" s="181">
        <v>3</v>
      </c>
      <c r="D209" s="21"/>
      <c r="E209" s="21"/>
      <c r="F209" s="21"/>
      <c r="G209" s="21"/>
      <c r="H209" s="21"/>
      <c r="I209" s="21"/>
      <c r="J209" s="21"/>
      <c r="K209" s="21"/>
      <c r="L209" s="21"/>
      <c r="M209" s="21"/>
      <c r="N209" s="21"/>
      <c r="O209" s="20"/>
    </row>
    <row r="210" spans="1:15" x14ac:dyDescent="0.3">
      <c r="A210" s="18"/>
      <c r="B210" s="181" t="s">
        <v>3128</v>
      </c>
      <c r="C210" s="181">
        <v>4</v>
      </c>
      <c r="D210" s="21"/>
      <c r="E210" s="21"/>
      <c r="F210" s="21"/>
      <c r="G210" s="21"/>
      <c r="H210" s="21"/>
      <c r="I210" s="21"/>
      <c r="J210" s="21"/>
      <c r="K210" s="21"/>
      <c r="L210" s="21"/>
      <c r="M210" s="21"/>
      <c r="N210" s="21"/>
      <c r="O210" s="20"/>
    </row>
    <row r="211" spans="1:15" x14ac:dyDescent="0.3">
      <c r="A211" s="18"/>
      <c r="B211" s="21"/>
      <c r="C211" s="21"/>
      <c r="D211" s="21"/>
      <c r="E211" s="21"/>
      <c r="F211" s="21"/>
      <c r="G211" s="21"/>
      <c r="H211" s="21"/>
      <c r="I211" s="21"/>
      <c r="J211" s="21"/>
      <c r="K211" s="21"/>
      <c r="L211" s="21"/>
      <c r="M211" s="21"/>
      <c r="N211" s="21"/>
      <c r="O211" s="20"/>
    </row>
    <row r="212" spans="1:15" x14ac:dyDescent="0.3">
      <c r="A212" s="18"/>
      <c r="B212" s="21"/>
      <c r="C212" s="21"/>
      <c r="D212" s="21"/>
      <c r="E212" s="21"/>
      <c r="F212" s="21"/>
      <c r="G212" s="21"/>
      <c r="H212" s="21"/>
      <c r="I212" s="21"/>
      <c r="J212" s="21"/>
      <c r="K212" s="21"/>
      <c r="L212" s="21"/>
      <c r="M212" s="21"/>
      <c r="N212" s="21"/>
      <c r="O212" s="20"/>
    </row>
    <row r="213" spans="1:15" x14ac:dyDescent="0.3">
      <c r="A213" s="490" t="s">
        <v>171</v>
      </c>
      <c r="B213" s="491"/>
      <c r="C213" s="491"/>
      <c r="D213" s="491"/>
      <c r="E213" s="491"/>
      <c r="F213" s="491"/>
      <c r="G213" s="491"/>
      <c r="H213" s="491"/>
      <c r="I213" s="491"/>
      <c r="J213" s="491"/>
      <c r="K213" s="491"/>
      <c r="L213" s="491"/>
      <c r="M213" s="491"/>
      <c r="N213" s="21"/>
      <c r="O213" s="20"/>
    </row>
    <row r="214" spans="1:15" x14ac:dyDescent="0.3">
      <c r="A214" s="18"/>
      <c r="B214" s="21"/>
      <c r="C214" s="21"/>
      <c r="D214" s="21"/>
      <c r="E214" s="21"/>
      <c r="F214" s="21"/>
      <c r="G214" s="21"/>
      <c r="H214" s="21"/>
      <c r="I214" s="21"/>
      <c r="J214" s="21"/>
      <c r="K214" s="21"/>
      <c r="L214" s="21"/>
      <c r="M214" s="21"/>
      <c r="N214" s="21"/>
      <c r="O214" s="20"/>
    </row>
    <row r="215" spans="1:15" x14ac:dyDescent="0.3">
      <c r="A215" s="18"/>
      <c r="B215" s="492" t="s">
        <v>166</v>
      </c>
      <c r="C215" s="493"/>
      <c r="D215" s="21"/>
      <c r="E215" s="21"/>
      <c r="F215" s="475" t="s">
        <v>3395</v>
      </c>
      <c r="G215" s="475"/>
      <c r="H215" s="475"/>
      <c r="I215" s="475"/>
      <c r="J215" s="21"/>
      <c r="K215" s="21"/>
      <c r="L215" s="21"/>
      <c r="M215" s="21"/>
      <c r="N215" s="21"/>
      <c r="O215" s="20"/>
    </row>
    <row r="216" spans="1:15" x14ac:dyDescent="0.3">
      <c r="A216" s="18"/>
      <c r="B216" s="42" t="s">
        <v>77</v>
      </c>
      <c r="C216" s="42"/>
      <c r="D216" s="21"/>
      <c r="E216" s="21"/>
      <c r="F216" s="30" t="str">
        <f t="array" ref="F216:I218">_xll.U.HFILTER(_xll.U.HAPPEND(B216:C218,(B221:C223,B226:C229)))</f>
        <v>a</v>
      </c>
      <c r="G216" s="30" t="str">
        <v>x</v>
      </c>
      <c r="H216" s="30">
        <v>9</v>
      </c>
      <c r="I216" s="30" t="str">
        <v>Tom</v>
      </c>
      <c r="J216" s="21"/>
      <c r="K216" s="21"/>
      <c r="L216" s="21"/>
      <c r="M216" s="21"/>
      <c r="N216" s="21"/>
      <c r="O216" s="20"/>
    </row>
    <row r="217" spans="1:15" x14ac:dyDescent="0.3">
      <c r="A217" s="18"/>
      <c r="B217" s="42" t="s">
        <v>78</v>
      </c>
      <c r="C217" s="42" t="e">
        <f>1/0</f>
        <v>#DIV/0!</v>
      </c>
      <c r="D217" s="21"/>
      <c r="E217" s="21"/>
      <c r="F217" s="30" t="str">
        <v>b</v>
      </c>
      <c r="G217" s="30" t="str">
        <v>y</v>
      </c>
      <c r="H217" s="30">
        <v>8</v>
      </c>
      <c r="I217" s="30" t="str">
        <v>Dick</v>
      </c>
      <c r="J217" s="21"/>
      <c r="K217" s="21"/>
      <c r="L217" s="21"/>
      <c r="M217" s="21"/>
      <c r="N217" s="21"/>
      <c r="O217" s="20"/>
    </row>
    <row r="218" spans="1:15" x14ac:dyDescent="0.3">
      <c r="A218" s="18"/>
      <c r="B218" s="42" t="s">
        <v>79</v>
      </c>
      <c r="C218" s="42" t="e" cm="1">
        <f t="array" ref="C218">blah</f>
        <v>#NAME?</v>
      </c>
      <c r="D218" s="21"/>
      <c r="E218" s="21"/>
      <c r="F218" s="30" t="str">
        <v>c</v>
      </c>
      <c r="G218" s="30" t="str">
        <v>z</v>
      </c>
      <c r="H218" s="30">
        <v>7</v>
      </c>
      <c r="I218" s="30" t="e">
        <v>#NAME?</v>
      </c>
      <c r="J218" s="21"/>
      <c r="K218" s="21"/>
      <c r="L218" s="21"/>
      <c r="M218" s="21"/>
      <c r="N218" s="21"/>
      <c r="O218" s="20"/>
    </row>
    <row r="219" spans="1:15" x14ac:dyDescent="0.3">
      <c r="A219" s="18"/>
      <c r="B219" s="21"/>
      <c r="C219" s="21"/>
      <c r="D219" s="21"/>
      <c r="E219" s="21"/>
      <c r="F219" s="21"/>
      <c r="G219" s="21"/>
      <c r="H219" s="21"/>
      <c r="I219" s="21"/>
      <c r="J219" s="21"/>
      <c r="K219" s="21"/>
      <c r="L219" s="21"/>
      <c r="M219" s="21"/>
      <c r="N219" s="21"/>
      <c r="O219" s="20"/>
    </row>
    <row r="220" spans="1:15" x14ac:dyDescent="0.3">
      <c r="A220" s="18"/>
      <c r="B220" s="492" t="s">
        <v>167</v>
      </c>
      <c r="C220" s="493"/>
      <c r="D220" s="21"/>
      <c r="E220" s="21"/>
      <c r="F220" s="21"/>
      <c r="G220" s="21"/>
      <c r="H220" s="21"/>
      <c r="I220" s="21"/>
      <c r="J220" s="21"/>
      <c r="K220" s="21"/>
      <c r="L220" s="21"/>
      <c r="M220" s="21"/>
      <c r="N220" s="21"/>
      <c r="O220" s="20"/>
    </row>
    <row r="221" spans="1:15" x14ac:dyDescent="0.3">
      <c r="A221" s="18"/>
      <c r="B221" s="42" t="s">
        <v>80</v>
      </c>
      <c r="C221" s="42">
        <v>9</v>
      </c>
      <c r="D221" s="21"/>
      <c r="E221" s="21"/>
      <c r="F221" s="21"/>
      <c r="G221" s="21"/>
      <c r="H221" s="21"/>
      <c r="I221" s="21"/>
      <c r="J221" s="21"/>
      <c r="K221" s="21"/>
      <c r="L221" s="21"/>
      <c r="M221" s="21"/>
      <c r="N221" s="21"/>
      <c r="O221" s="20"/>
    </row>
    <row r="222" spans="1:15" x14ac:dyDescent="0.3">
      <c r="A222" s="18"/>
      <c r="B222" s="42" t="s">
        <v>81</v>
      </c>
      <c r="C222" s="42">
        <v>8</v>
      </c>
      <c r="D222" s="21"/>
      <c r="E222" s="21"/>
      <c r="F222" s="21"/>
      <c r="G222" s="21"/>
      <c r="H222" s="21"/>
      <c r="I222" s="21"/>
      <c r="J222" s="21"/>
      <c r="K222" s="21"/>
      <c r="L222" s="21"/>
      <c r="M222" s="21"/>
      <c r="N222" s="21"/>
      <c r="O222" s="20"/>
    </row>
    <row r="223" spans="1:15" x14ac:dyDescent="0.3">
      <c r="A223" s="18"/>
      <c r="B223" s="42" t="s">
        <v>82</v>
      </c>
      <c r="C223" s="42">
        <v>7</v>
      </c>
      <c r="D223" s="21"/>
      <c r="E223" s="21"/>
      <c r="F223" s="21"/>
      <c r="G223" s="21"/>
      <c r="H223" s="21"/>
      <c r="I223" s="21"/>
      <c r="J223" s="21"/>
      <c r="K223" s="21"/>
      <c r="L223" s="21"/>
      <c r="M223" s="21"/>
      <c r="N223" s="21"/>
      <c r="O223" s="20"/>
    </row>
    <row r="224" spans="1:15" x14ac:dyDescent="0.3">
      <c r="A224" s="18"/>
      <c r="B224" s="21"/>
      <c r="C224" s="21"/>
      <c r="D224" s="21"/>
      <c r="E224" s="21"/>
      <c r="F224" s="21"/>
      <c r="G224" s="21"/>
      <c r="H224" s="21"/>
      <c r="I224" s="21"/>
      <c r="J224" s="21"/>
      <c r="K224" s="21"/>
      <c r="L224" s="21"/>
      <c r="M224" s="21"/>
      <c r="N224" s="21"/>
      <c r="O224" s="20"/>
    </row>
    <row r="225" spans="1:15" x14ac:dyDescent="0.3">
      <c r="A225" s="18"/>
      <c r="B225" s="492" t="s">
        <v>168</v>
      </c>
      <c r="C225" s="493"/>
      <c r="D225" s="21"/>
      <c r="E225" s="21"/>
      <c r="F225" s="21"/>
      <c r="G225" s="21"/>
      <c r="H225" s="21"/>
      <c r="I225" s="21"/>
      <c r="J225" s="21"/>
      <c r="K225" s="21"/>
      <c r="L225" s="21"/>
      <c r="M225" s="21"/>
      <c r="N225" s="21"/>
      <c r="O225" s="20"/>
    </row>
    <row r="226" spans="1:15" x14ac:dyDescent="0.3">
      <c r="A226" s="18"/>
      <c r="B226" s="42" t="s">
        <v>161</v>
      </c>
      <c r="C226" s="42"/>
      <c r="D226" s="21"/>
      <c r="E226" s="21"/>
      <c r="F226" s="21"/>
      <c r="G226" s="21"/>
      <c r="H226" s="21"/>
      <c r="I226" s="21"/>
      <c r="J226" s="21"/>
      <c r="K226" s="21"/>
      <c r="L226" s="21"/>
      <c r="M226" s="21"/>
      <c r="N226" s="21"/>
      <c r="O226" s="20"/>
    </row>
    <row r="227" spans="1:15" x14ac:dyDescent="0.3">
      <c r="A227" s="18"/>
      <c r="B227" s="42" t="s">
        <v>162</v>
      </c>
      <c r="C227" s="42"/>
      <c r="D227" s="21"/>
      <c r="E227" s="21"/>
      <c r="F227" s="21"/>
      <c r="G227" s="21"/>
      <c r="H227" s="21"/>
      <c r="I227" s="21"/>
      <c r="J227" s="21"/>
      <c r="K227" s="21"/>
      <c r="L227" s="21"/>
      <c r="M227" s="21"/>
      <c r="N227" s="21"/>
      <c r="O227" s="20"/>
    </row>
    <row r="228" spans="1:15" x14ac:dyDescent="0.3">
      <c r="A228" s="18"/>
      <c r="B228" s="42" t="e" cm="1">
        <f t="array" ref="B228">unknown</f>
        <v>#NAME?</v>
      </c>
      <c r="C228" s="42"/>
      <c r="D228" s="21"/>
      <c r="E228" s="21"/>
      <c r="F228" s="21"/>
      <c r="G228" s="21"/>
      <c r="H228" s="21"/>
      <c r="I228" s="21"/>
      <c r="J228" s="21"/>
      <c r="K228" s="21"/>
      <c r="L228" s="21"/>
      <c r="M228" s="21"/>
      <c r="N228" s="21"/>
      <c r="O228" s="20"/>
    </row>
    <row r="229" spans="1:15" x14ac:dyDescent="0.3">
      <c r="A229" s="18"/>
      <c r="B229" s="42"/>
      <c r="C229" s="42"/>
      <c r="D229" s="21"/>
      <c r="E229" s="21"/>
      <c r="F229" s="21"/>
      <c r="G229" s="21"/>
      <c r="H229" s="21"/>
      <c r="I229" s="21"/>
      <c r="J229" s="21"/>
      <c r="K229" s="21"/>
      <c r="L229" s="21"/>
      <c r="M229" s="21"/>
      <c r="N229" s="21"/>
      <c r="O229" s="20"/>
    </row>
    <row r="230" spans="1:15" x14ac:dyDescent="0.3">
      <c r="A230" s="18"/>
      <c r="B230" s="21"/>
      <c r="C230" s="21"/>
      <c r="D230" s="21"/>
      <c r="E230" s="21"/>
      <c r="F230" s="21"/>
      <c r="G230" s="21"/>
      <c r="H230" s="21"/>
      <c r="I230" s="21"/>
      <c r="J230" s="21"/>
      <c r="K230" s="21"/>
      <c r="L230" s="21"/>
      <c r="M230" s="21"/>
      <c r="N230" s="21"/>
      <c r="O230" s="20"/>
    </row>
    <row r="231" spans="1:15" x14ac:dyDescent="0.3">
      <c r="A231" s="18"/>
      <c r="B231" s="21"/>
      <c r="C231" s="21"/>
      <c r="D231" s="21"/>
      <c r="E231" s="21"/>
      <c r="F231" s="21"/>
      <c r="G231" s="21"/>
      <c r="H231" s="21"/>
      <c r="I231" s="21"/>
      <c r="J231" s="21"/>
      <c r="K231" s="21"/>
      <c r="L231" s="21"/>
      <c r="M231" s="21"/>
      <c r="N231" s="21"/>
      <c r="O231" s="20"/>
    </row>
    <row r="232" spans="1:15" x14ac:dyDescent="0.3">
      <c r="A232" s="18"/>
      <c r="B232" s="21"/>
      <c r="C232" s="21"/>
      <c r="D232" s="21"/>
      <c r="E232" s="21"/>
      <c r="F232" s="21"/>
      <c r="G232" s="21"/>
      <c r="H232" s="21"/>
      <c r="I232" s="21"/>
      <c r="J232" s="21"/>
      <c r="K232" s="21"/>
      <c r="L232" s="21"/>
      <c r="M232" s="21"/>
      <c r="N232" s="21"/>
      <c r="O232" s="20"/>
    </row>
    <row r="233" spans="1:15" ht="15" thickBot="1" x14ac:dyDescent="0.35">
      <c r="A233" s="22"/>
      <c r="B233" s="23"/>
      <c r="C233" s="23"/>
      <c r="D233" s="23"/>
      <c r="E233" s="23"/>
      <c r="F233" s="23"/>
      <c r="G233" s="23"/>
      <c r="H233" s="23"/>
      <c r="I233" s="23"/>
      <c r="J233" s="23"/>
      <c r="K233" s="23"/>
      <c r="L233" s="23"/>
      <c r="M233" s="23"/>
      <c r="N233" s="23"/>
      <c r="O233" s="24"/>
    </row>
  </sheetData>
  <mergeCells count="73">
    <mergeCell ref="G154:J154"/>
    <mergeCell ref="B220:C220"/>
    <mergeCell ref="B225:C225"/>
    <mergeCell ref="F215:I215"/>
    <mergeCell ref="G162:J162"/>
    <mergeCell ref="G174:J174"/>
    <mergeCell ref="G175:J175"/>
    <mergeCell ref="G198:H198"/>
    <mergeCell ref="B11:C11"/>
    <mergeCell ref="B16:C16"/>
    <mergeCell ref="B215:C215"/>
    <mergeCell ref="B46:C46"/>
    <mergeCell ref="B51:C51"/>
    <mergeCell ref="B125:D125"/>
    <mergeCell ref="B154:E154"/>
    <mergeCell ref="B159:E159"/>
    <mergeCell ref="B164:E164"/>
    <mergeCell ref="G118:I118"/>
    <mergeCell ref="B133:D133"/>
    <mergeCell ref="G131:K131"/>
    <mergeCell ref="B143:C143"/>
    <mergeCell ref="G141:I141"/>
    <mergeCell ref="A3:M3"/>
    <mergeCell ref="B6:C6"/>
    <mergeCell ref="G6:H6"/>
    <mergeCell ref="A213:M213"/>
    <mergeCell ref="G14:H14"/>
    <mergeCell ref="G26:I26"/>
    <mergeCell ref="B30:D30"/>
    <mergeCell ref="B56:C56"/>
    <mergeCell ref="B61:C61"/>
    <mergeCell ref="G43:H43"/>
    <mergeCell ref="G59:H59"/>
    <mergeCell ref="G71:H71"/>
    <mergeCell ref="G83:H83"/>
    <mergeCell ref="G91:H91"/>
    <mergeCell ref="G105:H105"/>
    <mergeCell ref="B120:C120"/>
    <mergeCell ref="Q3:Z3"/>
    <mergeCell ref="Q4:R6"/>
    <mergeCell ref="S4:Z6"/>
    <mergeCell ref="Q7:R7"/>
    <mergeCell ref="S7:Y7"/>
    <mergeCell ref="Q8:R10"/>
    <mergeCell ref="S8:Y10"/>
    <mergeCell ref="Z8:Z10"/>
    <mergeCell ref="Q11:R13"/>
    <mergeCell ref="S11:Y13"/>
    <mergeCell ref="Z11:Z13"/>
    <mergeCell ref="Q14:R16"/>
    <mergeCell ref="S14:Y16"/>
    <mergeCell ref="Z14:Z16"/>
    <mergeCell ref="Q17:R19"/>
    <mergeCell ref="S17:Y19"/>
    <mergeCell ref="Z17:Z19"/>
    <mergeCell ref="Q20:R22"/>
    <mergeCell ref="S20:Y22"/>
    <mergeCell ref="Z20:Z22"/>
    <mergeCell ref="Q23:R25"/>
    <mergeCell ref="S23:Y25"/>
    <mergeCell ref="Z23:Z25"/>
    <mergeCell ref="Q26:R28"/>
    <mergeCell ref="S26:Y28"/>
    <mergeCell ref="Z26:Z28"/>
    <mergeCell ref="Q29:R31"/>
    <mergeCell ref="S29:Y31"/>
    <mergeCell ref="Z29:Z31"/>
    <mergeCell ref="Q32:R34"/>
    <mergeCell ref="S32:Y34"/>
    <mergeCell ref="Z32:Z34"/>
    <mergeCell ref="Q35:R37"/>
    <mergeCell ref="S35:Y37"/>
    <mergeCell ref="Z35:Z37"/>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N466"/>
  <sheetViews>
    <sheetView zoomScaleNormal="100"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19.5546875" customWidth="1"/>
    <col min="4" max="4" width="11.21875" customWidth="1"/>
    <col min="5" max="5" width="9.5546875" customWidth="1"/>
    <col min="6" max="6" width="11.21875" customWidth="1"/>
    <col min="7" max="7" width="12.77734375" customWidth="1"/>
    <col min="8" max="8" width="9.77734375" customWidth="1"/>
    <col min="9" max="9" width="13.21875" customWidth="1"/>
    <col min="10" max="10" width="11.44140625" customWidth="1"/>
    <col min="11" max="11" width="9.44140625" customWidth="1"/>
    <col min="12" max="13" width="17.77734375" customWidth="1"/>
    <col min="14" max="14" width="10.5546875" customWidth="1"/>
    <col min="15" max="15" width="10.77734375" customWidth="1"/>
    <col min="16" max="16" width="11.21875" customWidth="1"/>
    <col min="17" max="17" width="12.77734375" customWidth="1"/>
    <col min="18" max="18" width="8.77734375" customWidth="1"/>
    <col min="19" max="19" width="13" customWidth="1"/>
    <col min="20" max="20" width="16.5546875" customWidth="1"/>
    <col min="22" max="22" width="17.5546875" customWidth="1"/>
    <col min="23" max="23" width="17.77734375" bestFit="1" customWidth="1"/>
    <col min="24" max="24" width="14" customWidth="1"/>
    <col min="25" max="25" width="12.77734375" customWidth="1"/>
    <col min="26" max="26" width="10.5546875" customWidth="1"/>
    <col min="28" max="28" width="11.44140625" customWidth="1"/>
    <col min="29" max="29" width="9.21875" customWidth="1"/>
    <col min="31" max="31" width="10.21875" customWidth="1"/>
    <col min="32" max="39" width="10.5546875" customWidth="1"/>
  </cols>
  <sheetData>
    <row r="1" spans="1:40" ht="34.5" customHeight="1" thickBot="1" x14ac:dyDescent="0.35">
      <c r="A1" s="292" t="s">
        <v>1580</v>
      </c>
      <c r="B1" s="473" t="e" vm="1">
        <v>#VALUE!</v>
      </c>
      <c r="C1" s="8" t="s">
        <v>176</v>
      </c>
      <c r="D1" s="27"/>
      <c r="E1" s="26"/>
      <c r="F1" s="26"/>
      <c r="G1" s="26"/>
      <c r="H1" s="26"/>
      <c r="I1" s="26"/>
      <c r="J1" s="26"/>
      <c r="K1" s="26"/>
      <c r="L1" s="16"/>
      <c r="M1" s="16"/>
      <c r="N1" s="16"/>
      <c r="O1" s="16"/>
      <c r="P1" s="16"/>
      <c r="Q1" s="16"/>
      <c r="R1" s="16"/>
      <c r="S1" s="16"/>
      <c r="T1" s="16"/>
      <c r="U1" s="16"/>
      <c r="V1" s="16"/>
      <c r="W1" s="16"/>
      <c r="X1" s="16"/>
      <c r="Y1" s="16"/>
      <c r="Z1" s="16"/>
      <c r="AA1" s="16"/>
      <c r="AB1" s="16"/>
      <c r="AC1" s="19"/>
    </row>
    <row r="2" spans="1:40" ht="15" customHeight="1" x14ac:dyDescent="0.3">
      <c r="A2" s="18"/>
      <c r="B2" s="25"/>
      <c r="C2" s="25"/>
      <c r="D2" s="21"/>
      <c r="E2" s="21"/>
      <c r="F2" s="21"/>
      <c r="G2" s="21"/>
      <c r="H2" s="21"/>
      <c r="I2" s="21"/>
      <c r="J2" s="21"/>
      <c r="K2" s="21"/>
      <c r="L2" s="21"/>
      <c r="M2" s="21"/>
      <c r="N2" s="21"/>
      <c r="O2" s="21"/>
      <c r="P2" s="21"/>
      <c r="Q2" s="21"/>
      <c r="R2" s="21"/>
      <c r="S2" s="21"/>
      <c r="T2" s="21"/>
      <c r="U2" s="21"/>
      <c r="V2" s="21"/>
      <c r="W2" s="21"/>
      <c r="X2" s="21"/>
      <c r="Y2" s="21"/>
      <c r="Z2" s="21"/>
      <c r="AA2" s="21"/>
      <c r="AB2" s="21"/>
      <c r="AC2" s="20"/>
    </row>
    <row r="3" spans="1:40" ht="15" customHeight="1" x14ac:dyDescent="0.3">
      <c r="A3" s="490" t="s">
        <v>100</v>
      </c>
      <c r="B3" s="491"/>
      <c r="C3" s="491"/>
      <c r="D3" s="491"/>
      <c r="E3" s="491"/>
      <c r="F3" s="491"/>
      <c r="G3" s="491"/>
      <c r="H3" s="491"/>
      <c r="I3" s="491"/>
      <c r="J3" s="491"/>
      <c r="K3" s="491"/>
      <c r="L3" s="491"/>
      <c r="M3" s="491"/>
      <c r="N3" s="491"/>
      <c r="O3" s="491"/>
      <c r="P3" s="491"/>
      <c r="Q3" s="491"/>
      <c r="R3" s="491"/>
      <c r="S3" s="491"/>
      <c r="T3" s="491"/>
      <c r="U3" s="491"/>
      <c r="V3" s="491"/>
      <c r="W3" s="491"/>
      <c r="X3" s="491"/>
      <c r="Y3" s="491"/>
      <c r="Z3" s="491"/>
      <c r="AA3" s="491"/>
      <c r="AB3" s="21"/>
      <c r="AC3" s="20"/>
      <c r="AE3" s="486" t="s">
        <v>3396</v>
      </c>
      <c r="AF3" s="486"/>
      <c r="AG3" s="486"/>
      <c r="AH3" s="486"/>
      <c r="AI3" s="486"/>
      <c r="AJ3" s="486"/>
      <c r="AK3" s="486"/>
      <c r="AL3" s="486"/>
      <c r="AM3" s="486"/>
      <c r="AN3" s="486"/>
    </row>
    <row r="4" spans="1:40" ht="15" customHeight="1" x14ac:dyDescent="0.3">
      <c r="A4" s="18"/>
      <c r="B4" s="21"/>
      <c r="C4" s="21"/>
      <c r="D4" s="26"/>
      <c r="E4" s="26"/>
      <c r="F4" s="26"/>
      <c r="G4" s="26"/>
      <c r="H4" s="26"/>
      <c r="I4" s="26"/>
      <c r="J4" s="26"/>
      <c r="K4" s="26"/>
      <c r="L4" s="21"/>
      <c r="M4" s="21"/>
      <c r="N4" s="21"/>
      <c r="O4" s="21"/>
      <c r="P4" s="21"/>
      <c r="Q4" s="21"/>
      <c r="R4" s="21"/>
      <c r="S4" s="21"/>
      <c r="T4" s="21"/>
      <c r="U4" s="21"/>
      <c r="V4" s="21"/>
      <c r="W4" s="21"/>
      <c r="X4" s="21"/>
      <c r="Y4" s="21"/>
      <c r="Z4" s="21"/>
      <c r="AA4" s="21"/>
      <c r="AB4" s="21"/>
      <c r="AC4" s="20"/>
      <c r="AE4" s="487" t="s">
        <v>333</v>
      </c>
      <c r="AF4" s="487"/>
      <c r="AG4" s="487" t="s">
        <v>453</v>
      </c>
      <c r="AH4" s="487"/>
      <c r="AI4" s="487"/>
      <c r="AJ4" s="487"/>
      <c r="AK4" s="487"/>
      <c r="AL4" s="487"/>
      <c r="AM4" s="487"/>
      <c r="AN4" s="487"/>
    </row>
    <row r="5" spans="1:40" ht="15" customHeight="1" x14ac:dyDescent="0.3">
      <c r="A5" s="18"/>
      <c r="B5" s="21"/>
      <c r="C5" s="21"/>
      <c r="D5" s="26"/>
      <c r="E5" s="26"/>
      <c r="F5" s="26"/>
      <c r="G5" s="26"/>
      <c r="H5" s="26"/>
      <c r="I5" s="26"/>
      <c r="J5" s="26"/>
      <c r="K5" s="26"/>
      <c r="L5" s="21"/>
      <c r="M5" s="21"/>
      <c r="N5" s="21"/>
      <c r="O5" s="21"/>
      <c r="P5" s="21"/>
      <c r="Q5" s="21"/>
      <c r="R5" s="21"/>
      <c r="S5" s="21"/>
      <c r="T5" s="21"/>
      <c r="U5" s="21"/>
      <c r="V5" s="21"/>
      <c r="W5" s="21"/>
      <c r="X5" s="21"/>
      <c r="Y5" s="21"/>
      <c r="Z5" s="21"/>
      <c r="AA5" s="21"/>
      <c r="AB5" s="21"/>
      <c r="AC5" s="20"/>
      <c r="AE5" s="487"/>
      <c r="AF5" s="487"/>
      <c r="AG5" s="487"/>
      <c r="AH5" s="487"/>
      <c r="AI5" s="487"/>
      <c r="AJ5" s="487"/>
      <c r="AK5" s="487"/>
      <c r="AL5" s="487"/>
      <c r="AM5" s="487"/>
      <c r="AN5" s="487"/>
    </row>
    <row r="6" spans="1:40" ht="15" customHeight="1" x14ac:dyDescent="0.3">
      <c r="A6" s="18"/>
      <c r="B6" s="492" t="s">
        <v>65</v>
      </c>
      <c r="C6" s="529"/>
      <c r="D6" s="529"/>
      <c r="E6" s="529"/>
      <c r="F6" s="529"/>
      <c r="G6" s="529"/>
      <c r="H6" s="529"/>
      <c r="I6" s="493"/>
      <c r="J6" s="26"/>
      <c r="K6" s="26"/>
      <c r="L6" s="492" t="s">
        <v>3397</v>
      </c>
      <c r="M6" s="529"/>
      <c r="N6" s="529"/>
      <c r="O6" s="529"/>
      <c r="P6" s="529"/>
      <c r="Q6" s="529"/>
      <c r="R6" s="529"/>
      <c r="S6" s="493"/>
      <c r="T6" s="21"/>
      <c r="U6" s="21"/>
      <c r="V6" s="475" t="s">
        <v>125</v>
      </c>
      <c r="W6" s="475"/>
      <c r="X6" s="21"/>
      <c r="Y6" s="21"/>
      <c r="AA6" s="21"/>
      <c r="AB6" s="21"/>
      <c r="AC6" s="20"/>
      <c r="AE6" s="487"/>
      <c r="AF6" s="487"/>
      <c r="AG6" s="487"/>
      <c r="AH6" s="487"/>
      <c r="AI6" s="487"/>
      <c r="AJ6" s="487"/>
      <c r="AK6" s="487"/>
      <c r="AL6" s="487"/>
      <c r="AM6" s="487"/>
      <c r="AN6" s="487"/>
    </row>
    <row r="7" spans="1:40" x14ac:dyDescent="0.3">
      <c r="A7" s="18"/>
      <c r="B7" s="59" t="s">
        <v>2</v>
      </c>
      <c r="C7" s="60" t="s">
        <v>101</v>
      </c>
      <c r="D7" s="60" t="s">
        <v>111</v>
      </c>
      <c r="E7" s="60" t="s">
        <v>62</v>
      </c>
      <c r="F7" s="60" t="s">
        <v>103</v>
      </c>
      <c r="G7" s="60" t="s">
        <v>104</v>
      </c>
      <c r="H7" s="60" t="s">
        <v>105</v>
      </c>
      <c r="I7" s="60" t="s">
        <v>102</v>
      </c>
      <c r="J7" s="21"/>
      <c r="K7" s="21"/>
      <c r="L7" s="3" t="str">
        <f t="array" ref="L7:S12">_xll.U.VFILTER(B7:I20,V8:W12)</f>
        <v>Symbol</v>
      </c>
      <c r="M7" s="3" t="str">
        <v>Broker</v>
      </c>
      <c r="N7" s="3" t="str">
        <v>Side</v>
      </c>
      <c r="O7" s="3" t="str">
        <v>Quantity</v>
      </c>
      <c r="P7" s="3" t="str">
        <v>Trade Price</v>
      </c>
      <c r="Q7" s="3" t="str">
        <v>Current Price</v>
      </c>
      <c r="R7" s="3" t="str">
        <v>P&amp;L</v>
      </c>
      <c r="S7" s="3" t="str">
        <v>Current Delta</v>
      </c>
      <c r="T7" s="21"/>
      <c r="U7" s="21"/>
      <c r="V7" s="9" t="s">
        <v>126</v>
      </c>
      <c r="W7" s="9" t="s">
        <v>17</v>
      </c>
      <c r="X7" s="21"/>
      <c r="Y7" s="21"/>
      <c r="Z7" s="21"/>
      <c r="AA7" s="21"/>
      <c r="AB7" s="21"/>
      <c r="AC7" s="20"/>
      <c r="AE7" s="483" t="s">
        <v>323</v>
      </c>
      <c r="AF7" s="483"/>
      <c r="AG7" s="483" t="s">
        <v>1</v>
      </c>
      <c r="AH7" s="483"/>
      <c r="AI7" s="483"/>
      <c r="AJ7" s="483"/>
      <c r="AK7" s="483"/>
      <c r="AL7" s="483"/>
      <c r="AM7" s="483"/>
      <c r="AN7" s="85" t="s">
        <v>324</v>
      </c>
    </row>
    <row r="8" spans="1:40" x14ac:dyDescent="0.3">
      <c r="A8" s="18"/>
      <c r="B8" s="42" t="s">
        <v>112</v>
      </c>
      <c r="C8" s="42" t="s">
        <v>113</v>
      </c>
      <c r="D8" s="42" t="str">
        <f t="shared" ref="D8:D20" si="0">IF(E8&gt;0,"B","S")</f>
        <v>B</v>
      </c>
      <c r="E8" s="44">
        <v>100</v>
      </c>
      <c r="F8" s="61">
        <v>4.3</v>
      </c>
      <c r="G8" s="61">
        <v>4.3099999999999996</v>
      </c>
      <c r="H8" s="65">
        <f>ROUND((G8-F8)*E8*IF(ISERROR(FIND(" ",B8)),1,100),0)</f>
        <v>100</v>
      </c>
      <c r="I8" s="44">
        <v>-3215</v>
      </c>
      <c r="J8" s="21"/>
      <c r="K8" s="21"/>
      <c r="L8" s="30" t="str">
        <v>IBM</v>
      </c>
      <c r="M8" s="30" t="str">
        <v>BROKER_A</v>
      </c>
      <c r="N8" s="30" t="str">
        <v>S</v>
      </c>
      <c r="O8" s="36">
        <v>-3000</v>
      </c>
      <c r="P8" s="35">
        <v>159.49</v>
      </c>
      <c r="Q8" s="35">
        <v>159.37</v>
      </c>
      <c r="R8" s="66">
        <v>360</v>
      </c>
      <c r="S8" s="36">
        <v>-3000</v>
      </c>
      <c r="T8" s="21"/>
      <c r="U8" s="21"/>
      <c r="V8" s="79" t="s">
        <v>2</v>
      </c>
      <c r="W8" s="79" t="s">
        <v>107</v>
      </c>
      <c r="X8" s="21"/>
      <c r="Y8" s="21"/>
      <c r="Z8" s="21"/>
      <c r="AA8" s="21"/>
      <c r="AB8" s="21"/>
      <c r="AC8" s="20"/>
      <c r="AE8" s="487" t="s">
        <v>443</v>
      </c>
      <c r="AF8" s="487"/>
      <c r="AG8" s="487" t="s">
        <v>2963</v>
      </c>
      <c r="AH8" s="487"/>
      <c r="AI8" s="487"/>
      <c r="AJ8" s="487"/>
      <c r="AK8" s="487"/>
      <c r="AL8" s="487"/>
      <c r="AM8" s="487"/>
      <c r="AN8" s="509" t="s">
        <v>325</v>
      </c>
    </row>
    <row r="9" spans="1:40" x14ac:dyDescent="0.3">
      <c r="A9" s="18"/>
      <c r="B9" s="42" t="s">
        <v>108</v>
      </c>
      <c r="C9" s="42" t="s">
        <v>110</v>
      </c>
      <c r="D9" s="42" t="str">
        <f t="shared" si="0"/>
        <v>B</v>
      </c>
      <c r="E9" s="44">
        <v>50</v>
      </c>
      <c r="F9" s="61">
        <v>2.65</v>
      </c>
      <c r="G9" s="61">
        <v>2.6</v>
      </c>
      <c r="H9" s="65">
        <f t="shared" ref="H9:H20" si="1">ROUND((G9-F9)*E9*IF(ISERROR(FIND(" ",B9)),1,100),0)</f>
        <v>-250</v>
      </c>
      <c r="I9" s="44">
        <v>2879</v>
      </c>
      <c r="J9" s="21"/>
      <c r="K9" s="21"/>
      <c r="L9" s="30" t="str">
        <v>IBM</v>
      </c>
      <c r="M9" s="30" t="str">
        <v>BROKER_A</v>
      </c>
      <c r="N9" s="30" t="str">
        <v>S</v>
      </c>
      <c r="O9" s="36">
        <v>-100</v>
      </c>
      <c r="P9" s="35">
        <v>159.5</v>
      </c>
      <c r="Q9" s="35">
        <v>159.37</v>
      </c>
      <c r="R9" s="66">
        <v>13</v>
      </c>
      <c r="S9" s="36">
        <v>-3000</v>
      </c>
      <c r="T9" s="21"/>
      <c r="U9" s="21"/>
      <c r="V9" s="79" t="s">
        <v>111</v>
      </c>
      <c r="W9" s="79" t="s">
        <v>127</v>
      </c>
      <c r="X9" s="21"/>
      <c r="Y9" s="21"/>
      <c r="Z9" s="21"/>
      <c r="AA9" s="21"/>
      <c r="AB9" s="21"/>
      <c r="AC9" s="20"/>
      <c r="AE9" s="487"/>
      <c r="AF9" s="487"/>
      <c r="AG9" s="487"/>
      <c r="AH9" s="487"/>
      <c r="AI9" s="487"/>
      <c r="AJ9" s="487"/>
      <c r="AK9" s="487"/>
      <c r="AL9" s="487"/>
      <c r="AM9" s="487"/>
      <c r="AN9" s="509"/>
    </row>
    <row r="10" spans="1:40" x14ac:dyDescent="0.3">
      <c r="A10" s="18"/>
      <c r="B10" s="42" t="s">
        <v>107</v>
      </c>
      <c r="C10" s="42" t="s">
        <v>109</v>
      </c>
      <c r="D10" s="42" t="str">
        <f t="shared" si="0"/>
        <v>S</v>
      </c>
      <c r="E10" s="44">
        <v>-3000</v>
      </c>
      <c r="F10" s="61">
        <v>159.49</v>
      </c>
      <c r="G10" s="61">
        <v>159.37</v>
      </c>
      <c r="H10" s="65">
        <f t="shared" si="1"/>
        <v>360</v>
      </c>
      <c r="I10" s="44">
        <v>-3000</v>
      </c>
      <c r="J10" s="21"/>
      <c r="K10" s="21"/>
      <c r="L10" s="30" t="e">
        <v>#N/A</v>
      </c>
      <c r="M10" s="30" t="e">
        <v>#N/A</v>
      </c>
      <c r="N10" s="30" t="e">
        <v>#N/A</v>
      </c>
      <c r="O10" s="36" t="e">
        <v>#N/A</v>
      </c>
      <c r="P10" s="35" t="e">
        <v>#N/A</v>
      </c>
      <c r="Q10" s="35" t="e">
        <v>#N/A</v>
      </c>
      <c r="R10" s="66" t="e">
        <v>#N/A</v>
      </c>
      <c r="S10" s="36" t="e">
        <v>#N/A</v>
      </c>
      <c r="T10" s="21"/>
      <c r="U10" s="21"/>
      <c r="V10" s="79"/>
      <c r="W10" s="79"/>
      <c r="X10" s="21"/>
      <c r="Y10" s="21"/>
      <c r="Z10" s="21"/>
      <c r="AA10" s="21"/>
      <c r="AB10" s="21"/>
      <c r="AC10" s="20"/>
      <c r="AE10" s="487"/>
      <c r="AF10" s="487"/>
      <c r="AG10" s="487"/>
      <c r="AH10" s="487"/>
      <c r="AI10" s="487"/>
      <c r="AJ10" s="487"/>
      <c r="AK10" s="487"/>
      <c r="AL10" s="487"/>
      <c r="AM10" s="487"/>
      <c r="AN10" s="509"/>
    </row>
    <row r="11" spans="1:40" x14ac:dyDescent="0.3">
      <c r="A11" s="18"/>
      <c r="B11" s="42" t="s">
        <v>107</v>
      </c>
      <c r="C11" s="42" t="s">
        <v>109</v>
      </c>
      <c r="D11" s="42" t="str">
        <f t="shared" si="0"/>
        <v>S</v>
      </c>
      <c r="E11" s="44">
        <v>-100</v>
      </c>
      <c r="F11" s="61">
        <v>159.5</v>
      </c>
      <c r="G11" s="61">
        <v>159.37</v>
      </c>
      <c r="H11" s="65">
        <f t="shared" si="1"/>
        <v>13</v>
      </c>
      <c r="I11" s="44">
        <v>-3000</v>
      </c>
      <c r="J11" s="21"/>
      <c r="K11" s="21"/>
      <c r="L11" s="30" t="e">
        <v>#N/A</v>
      </c>
      <c r="M11" s="30" t="e">
        <v>#N/A</v>
      </c>
      <c r="N11" s="30" t="e">
        <v>#N/A</v>
      </c>
      <c r="O11" s="36" t="e">
        <v>#N/A</v>
      </c>
      <c r="P11" s="35" t="e">
        <v>#N/A</v>
      </c>
      <c r="Q11" s="35" t="e">
        <v>#N/A</v>
      </c>
      <c r="R11" s="66" t="e">
        <v>#N/A</v>
      </c>
      <c r="S11" s="36" t="e">
        <v>#N/A</v>
      </c>
      <c r="T11" s="21"/>
      <c r="U11" s="21"/>
      <c r="V11" s="79"/>
      <c r="W11" s="79"/>
      <c r="X11" s="21"/>
      <c r="Y11" s="21"/>
      <c r="Z11" s="21"/>
      <c r="AA11" s="21"/>
      <c r="AB11" s="21"/>
      <c r="AC11" s="20"/>
      <c r="AE11" s="484" t="s">
        <v>454</v>
      </c>
      <c r="AF11" s="484"/>
      <c r="AG11" s="484" t="s">
        <v>475</v>
      </c>
      <c r="AH11" s="484"/>
      <c r="AI11" s="484"/>
      <c r="AJ11" s="484"/>
      <c r="AK11" s="484"/>
      <c r="AL11" s="484"/>
      <c r="AM11" s="484"/>
      <c r="AN11" s="485" t="s">
        <v>326</v>
      </c>
    </row>
    <row r="12" spans="1:40" x14ac:dyDescent="0.3">
      <c r="A12" s="18"/>
      <c r="B12" s="42" t="s">
        <v>106</v>
      </c>
      <c r="C12" s="42" t="s">
        <v>113</v>
      </c>
      <c r="D12" s="42" t="str">
        <f t="shared" si="0"/>
        <v>B</v>
      </c>
      <c r="E12" s="44">
        <v>1500</v>
      </c>
      <c r="F12" s="61">
        <v>142.02000000000001</v>
      </c>
      <c r="G12" s="61">
        <v>141.97</v>
      </c>
      <c r="H12" s="65">
        <f t="shared" si="1"/>
        <v>-75</v>
      </c>
      <c r="I12" s="44">
        <v>1500</v>
      </c>
      <c r="J12" s="21"/>
      <c r="K12" s="21"/>
      <c r="L12" s="30" t="e">
        <v>#N/A</v>
      </c>
      <c r="M12" s="30" t="e">
        <v>#N/A</v>
      </c>
      <c r="N12" s="30" t="e">
        <v>#N/A</v>
      </c>
      <c r="O12" s="36" t="e">
        <v>#N/A</v>
      </c>
      <c r="P12" s="35" t="e">
        <v>#N/A</v>
      </c>
      <c r="Q12" s="35" t="e">
        <v>#N/A</v>
      </c>
      <c r="R12" s="66" t="e">
        <v>#N/A</v>
      </c>
      <c r="S12" s="36" t="e">
        <v>#N/A</v>
      </c>
      <c r="T12" s="21"/>
      <c r="U12" s="21"/>
      <c r="V12" s="79"/>
      <c r="W12" s="79"/>
      <c r="X12" s="21"/>
      <c r="Y12" s="21"/>
      <c r="Z12" s="21"/>
      <c r="AA12" s="21"/>
      <c r="AB12" s="21"/>
      <c r="AC12" s="20"/>
      <c r="AE12" s="484"/>
      <c r="AF12" s="484"/>
      <c r="AG12" s="484"/>
      <c r="AH12" s="484"/>
      <c r="AI12" s="484"/>
      <c r="AJ12" s="484"/>
      <c r="AK12" s="484"/>
      <c r="AL12" s="484"/>
      <c r="AM12" s="484"/>
      <c r="AN12" s="485"/>
    </row>
    <row r="13" spans="1:40" x14ac:dyDescent="0.3">
      <c r="A13" s="18"/>
      <c r="B13" s="42" t="s">
        <v>106</v>
      </c>
      <c r="C13" s="42" t="s">
        <v>113</v>
      </c>
      <c r="D13" s="42" t="str">
        <f t="shared" si="0"/>
        <v>B</v>
      </c>
      <c r="E13" s="44">
        <v>100</v>
      </c>
      <c r="F13" s="61">
        <v>142.02000000000001</v>
      </c>
      <c r="G13" s="61">
        <v>141.97</v>
      </c>
      <c r="H13" s="65">
        <f t="shared" si="1"/>
        <v>-5</v>
      </c>
      <c r="I13" s="44">
        <v>100</v>
      </c>
      <c r="J13" s="21"/>
      <c r="K13" s="21"/>
      <c r="L13" s="21"/>
      <c r="M13" s="21"/>
      <c r="N13" s="21"/>
      <c r="O13" s="21"/>
      <c r="P13" s="21"/>
      <c r="Q13" s="21"/>
      <c r="R13" s="21"/>
      <c r="S13" s="21"/>
      <c r="T13" s="21"/>
      <c r="U13" s="21"/>
      <c r="V13" s="21"/>
      <c r="W13" s="21"/>
      <c r="X13" s="21"/>
      <c r="Y13" s="21"/>
      <c r="Z13" s="21"/>
      <c r="AA13" s="21"/>
      <c r="AB13" s="21"/>
      <c r="AC13" s="20"/>
      <c r="AE13" s="484"/>
      <c r="AF13" s="484"/>
      <c r="AG13" s="484"/>
      <c r="AH13" s="484"/>
      <c r="AI13" s="484"/>
      <c r="AJ13" s="484"/>
      <c r="AK13" s="484"/>
      <c r="AL13" s="484"/>
      <c r="AM13" s="484"/>
      <c r="AN13" s="485"/>
    </row>
    <row r="14" spans="1:40" x14ac:dyDescent="0.3">
      <c r="A14" s="18"/>
      <c r="B14" s="42" t="s">
        <v>106</v>
      </c>
      <c r="C14" s="42" t="s">
        <v>113</v>
      </c>
      <c r="D14" s="42" t="str">
        <f t="shared" si="0"/>
        <v>B</v>
      </c>
      <c r="E14" s="44">
        <v>300</v>
      </c>
      <c r="F14" s="61">
        <v>142.02000000000001</v>
      </c>
      <c r="G14" s="61">
        <v>141.97</v>
      </c>
      <c r="H14" s="65">
        <f t="shared" si="1"/>
        <v>-15</v>
      </c>
      <c r="I14" s="44">
        <v>300</v>
      </c>
      <c r="J14" s="21"/>
      <c r="K14" s="21"/>
      <c r="L14" s="67"/>
      <c r="M14" s="67"/>
      <c r="N14" s="67"/>
      <c r="O14" s="67"/>
      <c r="P14" s="67"/>
      <c r="Q14" s="67"/>
      <c r="R14" s="67"/>
      <c r="S14" s="67"/>
      <c r="T14" s="67"/>
      <c r="U14" s="67"/>
      <c r="V14" s="67"/>
      <c r="W14" s="67"/>
      <c r="X14" s="67"/>
      <c r="Y14" s="67"/>
      <c r="Z14" s="67"/>
      <c r="AA14" s="67"/>
      <c r="AB14" s="21"/>
      <c r="AC14" s="20"/>
      <c r="AE14" s="484" t="s">
        <v>455</v>
      </c>
      <c r="AF14" s="484"/>
      <c r="AG14" s="484" t="s">
        <v>635</v>
      </c>
      <c r="AH14" s="484"/>
      <c r="AI14" s="484"/>
      <c r="AJ14" s="484"/>
      <c r="AK14" s="484"/>
      <c r="AL14" s="484"/>
      <c r="AM14" s="484"/>
      <c r="AN14" s="485" t="s">
        <v>326</v>
      </c>
    </row>
    <row r="15" spans="1:40" x14ac:dyDescent="0.3">
      <c r="A15" s="18"/>
      <c r="B15" s="42" t="s">
        <v>107</v>
      </c>
      <c r="C15" s="42" t="s">
        <v>109</v>
      </c>
      <c r="D15" s="42" t="str">
        <f t="shared" si="0"/>
        <v>B</v>
      </c>
      <c r="E15" s="44">
        <v>100</v>
      </c>
      <c r="F15" s="61">
        <v>159.4</v>
      </c>
      <c r="G15" s="61">
        <v>159.37</v>
      </c>
      <c r="H15" s="65">
        <f t="shared" si="1"/>
        <v>-3</v>
      </c>
      <c r="I15" s="44">
        <v>100</v>
      </c>
      <c r="J15" s="21"/>
      <c r="K15" s="21"/>
      <c r="L15" s="21"/>
      <c r="M15" s="21"/>
      <c r="N15" s="21"/>
      <c r="O15" s="21"/>
      <c r="P15" s="21"/>
      <c r="Q15" s="21"/>
      <c r="R15" s="21"/>
      <c r="S15" s="21"/>
      <c r="T15" s="21"/>
      <c r="U15" s="21"/>
      <c r="V15" s="21"/>
      <c r="W15" s="21"/>
      <c r="X15" s="21"/>
      <c r="Y15" s="21"/>
      <c r="Z15" s="21"/>
      <c r="AA15" s="21"/>
      <c r="AB15" s="21"/>
      <c r="AC15" s="20"/>
      <c r="AE15" s="484"/>
      <c r="AF15" s="484"/>
      <c r="AG15" s="484"/>
      <c r="AH15" s="484"/>
      <c r="AI15" s="484"/>
      <c r="AJ15" s="484"/>
      <c r="AK15" s="484"/>
      <c r="AL15" s="484"/>
      <c r="AM15" s="484"/>
      <c r="AN15" s="485"/>
    </row>
    <row r="16" spans="1:40" x14ac:dyDescent="0.3">
      <c r="A16" s="18"/>
      <c r="B16" s="42" t="s">
        <v>106</v>
      </c>
      <c r="C16" s="42" t="s">
        <v>113</v>
      </c>
      <c r="D16" s="42" t="str">
        <f t="shared" si="0"/>
        <v>B</v>
      </c>
      <c r="E16" s="44">
        <v>600</v>
      </c>
      <c r="F16" s="61">
        <v>142.02000000000001</v>
      </c>
      <c r="G16" s="61">
        <v>141.97</v>
      </c>
      <c r="H16" s="65">
        <f t="shared" si="1"/>
        <v>-30</v>
      </c>
      <c r="I16" s="44">
        <v>600</v>
      </c>
      <c r="J16" s="21"/>
      <c r="K16" s="21"/>
      <c r="L16" s="492" t="s">
        <v>3397</v>
      </c>
      <c r="M16" s="529"/>
      <c r="N16" s="529"/>
      <c r="O16" s="529"/>
      <c r="P16" s="529"/>
      <c r="Q16" s="529"/>
      <c r="R16" s="529"/>
      <c r="S16" s="493"/>
      <c r="T16" s="21"/>
      <c r="U16" s="21"/>
      <c r="V16" s="475" t="s">
        <v>125</v>
      </c>
      <c r="W16" s="475"/>
      <c r="X16" s="21"/>
      <c r="Y16" s="21"/>
      <c r="Z16" s="21"/>
      <c r="AA16" s="21"/>
      <c r="AB16" s="21"/>
      <c r="AC16" s="20"/>
      <c r="AE16" s="484"/>
      <c r="AF16" s="484"/>
      <c r="AG16" s="484"/>
      <c r="AH16" s="484"/>
      <c r="AI16" s="484"/>
      <c r="AJ16" s="484"/>
      <c r="AK16" s="484"/>
      <c r="AL16" s="484"/>
      <c r="AM16" s="484"/>
      <c r="AN16" s="485"/>
    </row>
    <row r="17" spans="1:40" x14ac:dyDescent="0.3">
      <c r="A17" s="18"/>
      <c r="B17" s="42" t="s">
        <v>107</v>
      </c>
      <c r="C17" s="42" t="s">
        <v>109</v>
      </c>
      <c r="D17" s="42" t="str">
        <f t="shared" si="0"/>
        <v>B</v>
      </c>
      <c r="E17" s="44">
        <v>100</v>
      </c>
      <c r="F17" s="61">
        <v>159.4</v>
      </c>
      <c r="G17" s="61">
        <v>159.37</v>
      </c>
      <c r="H17" s="65">
        <f t="shared" si="1"/>
        <v>-3</v>
      </c>
      <c r="I17" s="44">
        <v>100</v>
      </c>
      <c r="J17" s="21"/>
      <c r="K17" s="21"/>
      <c r="L17" s="3" t="str">
        <f t="array" ref="L17:S22">_xll.U.VFILTER(B7:I20,V18:W22)</f>
        <v>Symbol</v>
      </c>
      <c r="M17" s="3" t="str">
        <v>Broker</v>
      </c>
      <c r="N17" s="3" t="str">
        <v>Side</v>
      </c>
      <c r="O17" s="3" t="str">
        <v>Quantity</v>
      </c>
      <c r="P17" s="3" t="str">
        <v>Trade Price</v>
      </c>
      <c r="Q17" s="3" t="str">
        <v>Current Price</v>
      </c>
      <c r="R17" s="3" t="str">
        <v>P&amp;L</v>
      </c>
      <c r="S17" s="3" t="str">
        <v>Current Delta</v>
      </c>
      <c r="T17" s="21"/>
      <c r="U17" s="21"/>
      <c r="V17" s="9" t="s">
        <v>126</v>
      </c>
      <c r="W17" s="9" t="s">
        <v>17</v>
      </c>
      <c r="X17" s="21"/>
      <c r="Y17" s="21"/>
      <c r="Z17" s="21"/>
      <c r="AA17" s="21"/>
      <c r="AB17" s="21"/>
      <c r="AC17" s="20"/>
      <c r="AE17" s="484" t="s">
        <v>456</v>
      </c>
      <c r="AF17" s="484"/>
      <c r="AG17" s="484" t="s">
        <v>459</v>
      </c>
      <c r="AH17" s="484"/>
      <c r="AI17" s="484"/>
      <c r="AJ17" s="484"/>
      <c r="AK17" s="484"/>
      <c r="AL17" s="484"/>
      <c r="AM17" s="484"/>
      <c r="AN17" s="485" t="s">
        <v>326</v>
      </c>
    </row>
    <row r="18" spans="1:40" x14ac:dyDescent="0.3">
      <c r="A18" s="18"/>
      <c r="B18" s="42" t="s">
        <v>108</v>
      </c>
      <c r="C18" s="42" t="s">
        <v>110</v>
      </c>
      <c r="D18" s="42" t="str">
        <f t="shared" si="0"/>
        <v>S</v>
      </c>
      <c r="E18" s="44">
        <v>-10</v>
      </c>
      <c r="F18" s="61">
        <v>2.62</v>
      </c>
      <c r="G18" s="61">
        <v>2.6</v>
      </c>
      <c r="H18" s="65">
        <f t="shared" si="1"/>
        <v>20</v>
      </c>
      <c r="I18" s="44">
        <v>-576</v>
      </c>
      <c r="J18" s="21"/>
      <c r="K18" s="21"/>
      <c r="L18" s="30" t="str">
        <v>IBM</v>
      </c>
      <c r="M18" s="30" t="str">
        <v>BROKER_A</v>
      </c>
      <c r="N18" s="30" t="str">
        <v>S</v>
      </c>
      <c r="O18" s="36">
        <v>-3000</v>
      </c>
      <c r="P18" s="35">
        <v>159.49</v>
      </c>
      <c r="Q18" s="35">
        <v>159.37</v>
      </c>
      <c r="R18" s="66">
        <v>360</v>
      </c>
      <c r="S18" s="36">
        <v>-3000</v>
      </c>
      <c r="T18" s="21"/>
      <c r="U18" s="21"/>
      <c r="V18" s="79" t="s">
        <v>2</v>
      </c>
      <c r="W18" s="79" t="s">
        <v>107</v>
      </c>
      <c r="X18" s="21"/>
      <c r="Y18" s="21"/>
      <c r="Z18" s="21"/>
      <c r="AA18" s="21"/>
      <c r="AB18" s="21"/>
      <c r="AC18" s="20"/>
      <c r="AE18" s="484"/>
      <c r="AF18" s="484"/>
      <c r="AG18" s="484"/>
      <c r="AH18" s="484"/>
      <c r="AI18" s="484"/>
      <c r="AJ18" s="484"/>
      <c r="AK18" s="484"/>
      <c r="AL18" s="484"/>
      <c r="AM18" s="484"/>
      <c r="AN18" s="485"/>
    </row>
    <row r="19" spans="1:40" x14ac:dyDescent="0.3">
      <c r="A19" s="18"/>
      <c r="B19" s="42" t="s">
        <v>106</v>
      </c>
      <c r="C19" s="42" t="s">
        <v>113</v>
      </c>
      <c r="D19" s="42" t="str">
        <f t="shared" si="0"/>
        <v>B</v>
      </c>
      <c r="E19" s="44">
        <v>700</v>
      </c>
      <c r="F19" s="61">
        <v>141.97999999999999</v>
      </c>
      <c r="G19" s="61">
        <v>141.97</v>
      </c>
      <c r="H19" s="65">
        <f t="shared" si="1"/>
        <v>-7</v>
      </c>
      <c r="I19" s="44">
        <v>600</v>
      </c>
      <c r="J19" s="21"/>
      <c r="K19" s="21"/>
      <c r="L19" s="30" t="str">
        <v>IBM</v>
      </c>
      <c r="M19" s="30" t="str">
        <v>BROKER_A</v>
      </c>
      <c r="N19" s="30" t="str">
        <v>S</v>
      </c>
      <c r="O19" s="36">
        <v>-100</v>
      </c>
      <c r="P19" s="35">
        <v>159.5</v>
      </c>
      <c r="Q19" s="35">
        <v>159.37</v>
      </c>
      <c r="R19" s="66">
        <v>13</v>
      </c>
      <c r="S19" s="36">
        <v>-3000</v>
      </c>
      <c r="T19" s="21"/>
      <c r="U19" s="21"/>
      <c r="V19" s="79">
        <v>3</v>
      </c>
      <c r="W19" s="79" t="s">
        <v>127</v>
      </c>
      <c r="X19" s="21"/>
      <c r="Y19" s="21"/>
      <c r="Z19" s="21"/>
      <c r="AA19" s="21"/>
      <c r="AB19" s="21"/>
      <c r="AC19" s="20"/>
      <c r="AE19" s="484"/>
      <c r="AF19" s="484"/>
      <c r="AG19" s="484"/>
      <c r="AH19" s="484"/>
      <c r="AI19" s="484"/>
      <c r="AJ19" s="484"/>
      <c r="AK19" s="484"/>
      <c r="AL19" s="484"/>
      <c r="AM19" s="484"/>
      <c r="AN19" s="485"/>
    </row>
    <row r="20" spans="1:40" x14ac:dyDescent="0.3">
      <c r="A20" s="18"/>
      <c r="B20" s="42" t="s">
        <v>108</v>
      </c>
      <c r="C20" s="42" t="s">
        <v>110</v>
      </c>
      <c r="D20" s="42" t="str">
        <f t="shared" si="0"/>
        <v>S</v>
      </c>
      <c r="E20" s="44">
        <v>-40</v>
      </c>
      <c r="F20" s="61">
        <v>2.61</v>
      </c>
      <c r="G20" s="61">
        <v>2.6</v>
      </c>
      <c r="H20" s="65">
        <f t="shared" si="1"/>
        <v>40</v>
      </c>
      <c r="I20" s="44">
        <v>-2303</v>
      </c>
      <c r="J20" s="21"/>
      <c r="K20" s="21"/>
      <c r="L20" s="30" t="e">
        <v>#N/A</v>
      </c>
      <c r="M20" s="30" t="e">
        <v>#N/A</v>
      </c>
      <c r="N20" s="30" t="e">
        <v>#N/A</v>
      </c>
      <c r="O20" s="36" t="e">
        <v>#N/A</v>
      </c>
      <c r="P20" s="35" t="e">
        <v>#N/A</v>
      </c>
      <c r="Q20" s="35" t="e">
        <v>#N/A</v>
      </c>
      <c r="R20" s="66" t="e">
        <v>#N/A</v>
      </c>
      <c r="S20" s="36" t="e">
        <v>#N/A</v>
      </c>
      <c r="T20" s="21"/>
      <c r="U20" s="21"/>
      <c r="V20" s="79"/>
      <c r="W20" s="79"/>
      <c r="X20" s="21"/>
      <c r="Y20" s="21"/>
      <c r="Z20" s="21"/>
      <c r="AA20" s="21"/>
      <c r="AB20" s="21"/>
      <c r="AC20" s="20"/>
      <c r="AE20" s="484" t="s">
        <v>457</v>
      </c>
      <c r="AF20" s="484"/>
      <c r="AG20" s="484" t="s">
        <v>460</v>
      </c>
      <c r="AH20" s="484"/>
      <c r="AI20" s="484"/>
      <c r="AJ20" s="484"/>
      <c r="AK20" s="484"/>
      <c r="AL20" s="484"/>
      <c r="AM20" s="484"/>
      <c r="AN20" s="485" t="s">
        <v>326</v>
      </c>
    </row>
    <row r="21" spans="1:40" x14ac:dyDescent="0.3">
      <c r="A21" s="18"/>
      <c r="B21" s="21"/>
      <c r="C21" s="21"/>
      <c r="D21" s="21"/>
      <c r="E21" s="21"/>
      <c r="F21" s="21"/>
      <c r="G21" s="21"/>
      <c r="H21" s="21"/>
      <c r="I21" s="21"/>
      <c r="J21" s="21"/>
      <c r="K21" s="21"/>
      <c r="L21" s="30" t="e">
        <v>#N/A</v>
      </c>
      <c r="M21" s="30" t="e">
        <v>#N/A</v>
      </c>
      <c r="N21" s="30" t="e">
        <v>#N/A</v>
      </c>
      <c r="O21" s="36" t="e">
        <v>#N/A</v>
      </c>
      <c r="P21" s="35" t="e">
        <v>#N/A</v>
      </c>
      <c r="Q21" s="35" t="e">
        <v>#N/A</v>
      </c>
      <c r="R21" s="66" t="e">
        <v>#N/A</v>
      </c>
      <c r="S21" s="36" t="e">
        <v>#N/A</v>
      </c>
      <c r="T21" s="21"/>
      <c r="U21" s="21"/>
      <c r="V21" s="79"/>
      <c r="W21" s="79"/>
      <c r="X21" s="21"/>
      <c r="Y21" s="21"/>
      <c r="Z21" s="21"/>
      <c r="AA21" s="21"/>
      <c r="AB21" s="21"/>
      <c r="AC21" s="20"/>
      <c r="AE21" s="484"/>
      <c r="AF21" s="484"/>
      <c r="AG21" s="484"/>
      <c r="AH21" s="484"/>
      <c r="AI21" s="484"/>
      <c r="AJ21" s="484"/>
      <c r="AK21" s="484"/>
      <c r="AL21" s="484"/>
      <c r="AM21" s="484"/>
      <c r="AN21" s="485"/>
    </row>
    <row r="22" spans="1:40" x14ac:dyDescent="0.3">
      <c r="A22" s="18"/>
      <c r="B22" s="21"/>
      <c r="C22" s="21"/>
      <c r="D22" s="21"/>
      <c r="E22" s="21"/>
      <c r="F22" s="21"/>
      <c r="G22" s="21"/>
      <c r="H22" s="21"/>
      <c r="I22" s="21"/>
      <c r="J22" s="21"/>
      <c r="K22" s="21"/>
      <c r="L22" s="30" t="e">
        <v>#N/A</v>
      </c>
      <c r="M22" s="30" t="e">
        <v>#N/A</v>
      </c>
      <c r="N22" s="30" t="e">
        <v>#N/A</v>
      </c>
      <c r="O22" s="36" t="e">
        <v>#N/A</v>
      </c>
      <c r="P22" s="35" t="e">
        <v>#N/A</v>
      </c>
      <c r="Q22" s="35" t="e">
        <v>#N/A</v>
      </c>
      <c r="R22" s="66" t="e">
        <v>#N/A</v>
      </c>
      <c r="S22" s="36" t="e">
        <v>#N/A</v>
      </c>
      <c r="T22" s="21"/>
      <c r="U22" s="21"/>
      <c r="V22" s="79"/>
      <c r="W22" s="79"/>
      <c r="X22" s="21"/>
      <c r="Y22" s="21"/>
      <c r="Z22" s="21"/>
      <c r="AA22" s="21"/>
      <c r="AB22" s="21"/>
      <c r="AC22" s="20"/>
      <c r="AE22" s="484"/>
      <c r="AF22" s="484"/>
      <c r="AG22" s="484"/>
      <c r="AH22" s="484"/>
      <c r="AI22" s="484"/>
      <c r="AJ22" s="484"/>
      <c r="AK22" s="484"/>
      <c r="AL22" s="484"/>
      <c r="AM22" s="484"/>
      <c r="AN22" s="485"/>
    </row>
    <row r="23" spans="1:40" ht="15" customHeight="1" x14ac:dyDescent="0.3">
      <c r="A23" s="18"/>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0"/>
      <c r="AE23" s="484" t="s">
        <v>457</v>
      </c>
      <c r="AF23" s="484"/>
      <c r="AG23" s="484" t="s">
        <v>460</v>
      </c>
      <c r="AH23" s="484"/>
      <c r="AI23" s="484"/>
      <c r="AJ23" s="484"/>
      <c r="AK23" s="484"/>
      <c r="AL23" s="484"/>
      <c r="AM23" s="484"/>
      <c r="AN23" s="485" t="s">
        <v>326</v>
      </c>
    </row>
    <row r="24" spans="1:40" x14ac:dyDescent="0.3">
      <c r="A24" s="18"/>
      <c r="B24" s="21"/>
      <c r="C24" s="21"/>
      <c r="D24" s="21"/>
      <c r="E24" s="21"/>
      <c r="F24" s="21"/>
      <c r="G24" s="21"/>
      <c r="H24" s="21"/>
      <c r="I24" s="21"/>
      <c r="J24" s="21"/>
      <c r="K24" s="21"/>
      <c r="L24" s="67"/>
      <c r="M24" s="67"/>
      <c r="N24" s="67"/>
      <c r="O24" s="67"/>
      <c r="P24" s="67"/>
      <c r="Q24" s="67"/>
      <c r="R24" s="67"/>
      <c r="S24" s="67"/>
      <c r="T24" s="67"/>
      <c r="U24" s="67"/>
      <c r="V24" s="67"/>
      <c r="W24" s="67"/>
      <c r="X24" s="67"/>
      <c r="Y24" s="67"/>
      <c r="Z24" s="67"/>
      <c r="AA24" s="67"/>
      <c r="AB24" s="21"/>
      <c r="AC24" s="20"/>
      <c r="AE24" s="484"/>
      <c r="AF24" s="484"/>
      <c r="AG24" s="484"/>
      <c r="AH24" s="484"/>
      <c r="AI24" s="484"/>
      <c r="AJ24" s="484"/>
      <c r="AK24" s="484"/>
      <c r="AL24" s="484"/>
      <c r="AM24" s="484"/>
      <c r="AN24" s="485"/>
    </row>
    <row r="25" spans="1:40" x14ac:dyDescent="0.3">
      <c r="A25" s="18"/>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0"/>
      <c r="AE25" s="484"/>
      <c r="AF25" s="484"/>
      <c r="AG25" s="484"/>
      <c r="AH25" s="484"/>
      <c r="AI25" s="484"/>
      <c r="AJ25" s="484"/>
      <c r="AK25" s="484"/>
      <c r="AL25" s="484"/>
      <c r="AM25" s="484"/>
      <c r="AN25" s="485"/>
    </row>
    <row r="26" spans="1:40" ht="15" customHeight="1" x14ac:dyDescent="0.3">
      <c r="A26" s="18"/>
      <c r="B26" s="21"/>
      <c r="C26" s="21"/>
      <c r="D26" s="21"/>
      <c r="E26" s="21"/>
      <c r="F26" s="21"/>
      <c r="G26" s="21"/>
      <c r="H26" s="21"/>
      <c r="I26" s="21"/>
      <c r="J26" s="21"/>
      <c r="K26" s="21"/>
      <c r="L26" s="492" t="s">
        <v>3397</v>
      </c>
      <c r="M26" s="529"/>
      <c r="N26" s="529"/>
      <c r="O26" s="529"/>
      <c r="P26" s="529"/>
      <c r="Q26" s="529"/>
      <c r="R26" s="529"/>
      <c r="S26" s="493"/>
      <c r="T26" s="21"/>
      <c r="U26" s="21"/>
      <c r="V26" s="475" t="s">
        <v>125</v>
      </c>
      <c r="W26" s="475"/>
      <c r="X26" s="21"/>
      <c r="Y26" s="21"/>
      <c r="Z26" s="21"/>
      <c r="AA26" s="21"/>
      <c r="AB26" s="21"/>
      <c r="AC26" s="20"/>
      <c r="AE26" s="484" t="s">
        <v>457</v>
      </c>
      <c r="AF26" s="484"/>
      <c r="AG26" s="484" t="s">
        <v>460</v>
      </c>
      <c r="AH26" s="484"/>
      <c r="AI26" s="484"/>
      <c r="AJ26" s="484"/>
      <c r="AK26" s="484"/>
      <c r="AL26" s="484"/>
      <c r="AM26" s="484"/>
      <c r="AN26" s="485" t="s">
        <v>326</v>
      </c>
    </row>
    <row r="27" spans="1:40" x14ac:dyDescent="0.3">
      <c r="A27" s="18"/>
      <c r="B27" s="21"/>
      <c r="C27" s="21"/>
      <c r="D27" s="21"/>
      <c r="E27" s="21"/>
      <c r="F27" s="21"/>
      <c r="G27" s="21"/>
      <c r="H27" s="21"/>
      <c r="I27" s="21"/>
      <c r="J27" s="21"/>
      <c r="K27" s="21"/>
      <c r="L27" s="3" t="str">
        <f t="array" ref="L27:S32">_xll.U.VFILTER(B7:I20,V28:W32)</f>
        <v>Symbol</v>
      </c>
      <c r="M27" s="3" t="str">
        <v>Broker</v>
      </c>
      <c r="N27" s="3" t="str">
        <v>Side</v>
      </c>
      <c r="O27" s="3" t="str">
        <v>Quantity</v>
      </c>
      <c r="P27" s="3" t="str">
        <v>Trade Price</v>
      </c>
      <c r="Q27" s="3" t="str">
        <v>Current Price</v>
      </c>
      <c r="R27" s="3" t="str">
        <v>P&amp;L</v>
      </c>
      <c r="S27" s="3" t="str">
        <v>Current Delta</v>
      </c>
      <c r="T27" s="21"/>
      <c r="U27" s="21"/>
      <c r="V27" s="9" t="s">
        <v>126</v>
      </c>
      <c r="W27" s="9" t="s">
        <v>17</v>
      </c>
      <c r="X27" s="21"/>
      <c r="Y27" s="21"/>
      <c r="Z27" s="21"/>
      <c r="AA27" s="21"/>
      <c r="AB27" s="21"/>
      <c r="AC27" s="20"/>
      <c r="AE27" s="484"/>
      <c r="AF27" s="484"/>
      <c r="AG27" s="484"/>
      <c r="AH27" s="484"/>
      <c r="AI27" s="484"/>
      <c r="AJ27" s="484"/>
      <c r="AK27" s="484"/>
      <c r="AL27" s="484"/>
      <c r="AM27" s="484"/>
      <c r="AN27" s="485"/>
    </row>
    <row r="28" spans="1:40" x14ac:dyDescent="0.3">
      <c r="A28" s="18"/>
      <c r="B28" s="21"/>
      <c r="C28" s="21"/>
      <c r="D28" s="21"/>
      <c r="E28" s="21"/>
      <c r="F28" s="21"/>
      <c r="G28" s="21"/>
      <c r="H28" s="21"/>
      <c r="I28" s="21"/>
      <c r="J28" s="21"/>
      <c r="K28" s="21"/>
      <c r="L28" s="30" t="str">
        <v>IBM</v>
      </c>
      <c r="M28" s="30" t="str">
        <v>BROKER_A</v>
      </c>
      <c r="N28" s="30" t="str">
        <v>S</v>
      </c>
      <c r="O28" s="36">
        <v>-3000</v>
      </c>
      <c r="P28" s="35">
        <v>159.49</v>
      </c>
      <c r="Q28" s="35">
        <v>159.37</v>
      </c>
      <c r="R28" s="66">
        <v>360</v>
      </c>
      <c r="S28" s="36">
        <v>-3000</v>
      </c>
      <c r="T28" s="21"/>
      <c r="U28" s="21"/>
      <c r="V28" s="79">
        <v>1</v>
      </c>
      <c r="W28" s="79" t="s">
        <v>107</v>
      </c>
      <c r="X28" s="21"/>
      <c r="Y28" s="21"/>
      <c r="Z28" s="21"/>
      <c r="AA28" s="21"/>
      <c r="AB28" s="21"/>
      <c r="AC28" s="20"/>
      <c r="AE28" s="484"/>
      <c r="AF28" s="484"/>
      <c r="AG28" s="484"/>
      <c r="AH28" s="484"/>
      <c r="AI28" s="484"/>
      <c r="AJ28" s="484"/>
      <c r="AK28" s="484"/>
      <c r="AL28" s="484"/>
      <c r="AM28" s="484"/>
      <c r="AN28" s="485"/>
    </row>
    <row r="29" spans="1:40" x14ac:dyDescent="0.3">
      <c r="A29" s="18"/>
      <c r="B29" s="21"/>
      <c r="C29" s="21"/>
      <c r="D29" s="21"/>
      <c r="E29" s="21"/>
      <c r="F29" s="21"/>
      <c r="G29" s="21"/>
      <c r="H29" s="21"/>
      <c r="I29" s="21"/>
      <c r="J29" s="21"/>
      <c r="K29" s="21"/>
      <c r="L29" s="30" t="str">
        <v>IBM</v>
      </c>
      <c r="M29" s="30" t="str">
        <v>BROKER_A</v>
      </c>
      <c r="N29" s="30" t="str">
        <v>S</v>
      </c>
      <c r="O29" s="36">
        <v>-100</v>
      </c>
      <c r="P29" s="35">
        <v>159.5</v>
      </c>
      <c r="Q29" s="35">
        <v>159.37</v>
      </c>
      <c r="R29" s="66">
        <v>13</v>
      </c>
      <c r="S29" s="36">
        <v>-3000</v>
      </c>
      <c r="T29" s="21"/>
      <c r="U29" s="21"/>
      <c r="V29" s="79" t="s">
        <v>2</v>
      </c>
      <c r="W29" s="42" t="s">
        <v>108</v>
      </c>
      <c r="X29" s="21"/>
      <c r="Y29" s="21"/>
      <c r="Z29" s="21"/>
      <c r="AA29" s="21"/>
      <c r="AB29" s="21"/>
      <c r="AC29" s="20"/>
      <c r="AE29" s="126" t="s">
        <v>328</v>
      </c>
    </row>
    <row r="30" spans="1:40" x14ac:dyDescent="0.3">
      <c r="A30" s="18"/>
      <c r="B30" s="21"/>
      <c r="C30" s="21"/>
      <c r="D30" s="21"/>
      <c r="E30" s="21"/>
      <c r="F30" s="21"/>
      <c r="G30" s="21"/>
      <c r="H30" s="21"/>
      <c r="I30" s="21"/>
      <c r="J30" s="21"/>
      <c r="K30" s="21"/>
      <c r="L30" s="30" t="str">
        <v>IBM Jun17 160C</v>
      </c>
      <c r="M30" s="30" t="str">
        <v>BOB_THE_BROKER</v>
      </c>
      <c r="N30" s="30" t="str">
        <v>S</v>
      </c>
      <c r="O30" s="36">
        <v>-10</v>
      </c>
      <c r="P30" s="35">
        <v>2.62</v>
      </c>
      <c r="Q30" s="35">
        <v>2.6</v>
      </c>
      <c r="R30" s="66">
        <v>20</v>
      </c>
      <c r="S30" s="36">
        <v>-576</v>
      </c>
      <c r="T30" s="21"/>
      <c r="U30" s="21"/>
      <c r="V30" s="79">
        <v>3</v>
      </c>
      <c r="W30" s="79" t="s">
        <v>127</v>
      </c>
      <c r="X30" s="21"/>
      <c r="Y30" s="21"/>
      <c r="Z30" s="21"/>
      <c r="AA30" s="21"/>
      <c r="AB30" s="21"/>
      <c r="AC30" s="20"/>
    </row>
    <row r="31" spans="1:40" x14ac:dyDescent="0.3">
      <c r="A31" s="18"/>
      <c r="B31" s="21"/>
      <c r="C31" s="21"/>
      <c r="D31" s="21"/>
      <c r="E31" s="21"/>
      <c r="F31" s="21"/>
      <c r="G31" s="21"/>
      <c r="H31" s="21"/>
      <c r="I31" s="21"/>
      <c r="J31" s="21"/>
      <c r="K31" s="21"/>
      <c r="L31" s="30" t="str">
        <v>IBM Jun17 160C</v>
      </c>
      <c r="M31" s="30" t="str">
        <v>BOB_THE_BROKER</v>
      </c>
      <c r="N31" s="30" t="str">
        <v>S</v>
      </c>
      <c r="O31" s="36">
        <v>-40</v>
      </c>
      <c r="P31" s="35">
        <v>2.61</v>
      </c>
      <c r="Q31" s="35">
        <v>2.6</v>
      </c>
      <c r="R31" s="66">
        <v>40</v>
      </c>
      <c r="S31" s="36">
        <v>-2303</v>
      </c>
      <c r="T31" s="21"/>
      <c r="U31" s="21"/>
      <c r="V31" s="79"/>
      <c r="W31" s="79"/>
      <c r="X31" s="21"/>
      <c r="Y31" s="21"/>
      <c r="Z31" s="21"/>
      <c r="AA31" s="21"/>
      <c r="AB31" s="21"/>
      <c r="AC31" s="20"/>
    </row>
    <row r="32" spans="1:40" x14ac:dyDescent="0.3">
      <c r="A32" s="18"/>
      <c r="B32" s="21"/>
      <c r="C32" s="21"/>
      <c r="D32" s="21"/>
      <c r="E32" s="21"/>
      <c r="F32" s="21"/>
      <c r="G32" s="21"/>
      <c r="H32" s="21"/>
      <c r="I32" s="21"/>
      <c r="J32" s="21"/>
      <c r="K32" s="21"/>
      <c r="L32" s="30" t="e">
        <v>#N/A</v>
      </c>
      <c r="M32" s="30" t="e">
        <v>#N/A</v>
      </c>
      <c r="N32" s="30" t="e">
        <v>#N/A</v>
      </c>
      <c r="O32" s="36" t="e">
        <v>#N/A</v>
      </c>
      <c r="P32" s="35" t="e">
        <v>#N/A</v>
      </c>
      <c r="Q32" s="35" t="e">
        <v>#N/A</v>
      </c>
      <c r="R32" s="66" t="e">
        <v>#N/A</v>
      </c>
      <c r="S32" s="36" t="e">
        <v>#N/A</v>
      </c>
      <c r="T32" s="21"/>
      <c r="U32" s="21"/>
      <c r="V32" s="79"/>
      <c r="W32" s="79"/>
      <c r="X32" s="21"/>
      <c r="Y32" s="21"/>
      <c r="Z32" s="21"/>
      <c r="AA32" s="21"/>
      <c r="AB32" s="21"/>
      <c r="AC32" s="20"/>
      <c r="AE32" s="486" t="s">
        <v>3398</v>
      </c>
      <c r="AF32" s="486"/>
      <c r="AG32" s="486"/>
      <c r="AH32" s="486"/>
      <c r="AI32" s="486"/>
      <c r="AJ32" s="486"/>
      <c r="AK32" s="486"/>
      <c r="AL32" s="486"/>
      <c r="AM32" s="486"/>
      <c r="AN32" s="486"/>
    </row>
    <row r="33" spans="1:40" x14ac:dyDescent="0.3">
      <c r="A33" s="18"/>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0"/>
      <c r="AE33" s="487" t="s">
        <v>333</v>
      </c>
      <c r="AF33" s="487"/>
      <c r="AG33" s="487" t="s">
        <v>898</v>
      </c>
      <c r="AH33" s="487"/>
      <c r="AI33" s="487"/>
      <c r="AJ33" s="487"/>
      <c r="AK33" s="487"/>
      <c r="AL33" s="487"/>
      <c r="AM33" s="487"/>
      <c r="AN33" s="487"/>
    </row>
    <row r="34" spans="1:40" x14ac:dyDescent="0.3">
      <c r="A34" s="18"/>
      <c r="B34" s="21"/>
      <c r="C34" s="21"/>
      <c r="D34" s="21"/>
      <c r="E34" s="21"/>
      <c r="F34" s="21"/>
      <c r="G34" s="21"/>
      <c r="H34" s="21"/>
      <c r="I34" s="21"/>
      <c r="J34" s="21"/>
      <c r="K34" s="21"/>
      <c r="L34" s="67"/>
      <c r="M34" s="67"/>
      <c r="N34" s="67"/>
      <c r="O34" s="67"/>
      <c r="P34" s="67"/>
      <c r="Q34" s="67"/>
      <c r="R34" s="67"/>
      <c r="S34" s="67"/>
      <c r="T34" s="67"/>
      <c r="U34" s="67"/>
      <c r="V34" s="67"/>
      <c r="W34" s="67"/>
      <c r="X34" s="67"/>
      <c r="Y34" s="67"/>
      <c r="Z34" s="67"/>
      <c r="AA34" s="67"/>
      <c r="AB34" s="21"/>
      <c r="AC34" s="20"/>
      <c r="AE34" s="487"/>
      <c r="AF34" s="487"/>
      <c r="AG34" s="487"/>
      <c r="AH34" s="487"/>
      <c r="AI34" s="487"/>
      <c r="AJ34" s="487"/>
      <c r="AK34" s="487"/>
      <c r="AL34" s="487"/>
      <c r="AM34" s="487"/>
      <c r="AN34" s="487"/>
    </row>
    <row r="35" spans="1:40" x14ac:dyDescent="0.3">
      <c r="A35" s="18"/>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0"/>
      <c r="AE35" s="487"/>
      <c r="AF35" s="487"/>
      <c r="AG35" s="487"/>
      <c r="AH35" s="487"/>
      <c r="AI35" s="487"/>
      <c r="AJ35" s="487"/>
      <c r="AK35" s="487"/>
      <c r="AL35" s="487"/>
      <c r="AM35" s="487"/>
      <c r="AN35" s="487"/>
    </row>
    <row r="36" spans="1:40" x14ac:dyDescent="0.3">
      <c r="A36" s="18"/>
      <c r="B36" s="21"/>
      <c r="C36" s="21"/>
      <c r="D36" s="21"/>
      <c r="E36" s="21"/>
      <c r="F36" s="21"/>
      <c r="G36" s="21"/>
      <c r="H36" s="21"/>
      <c r="I36" s="21"/>
      <c r="J36" s="21"/>
      <c r="K36" s="21"/>
      <c r="L36" s="492" t="s">
        <v>3397</v>
      </c>
      <c r="M36" s="529"/>
      <c r="N36" s="529"/>
      <c r="O36" s="529"/>
      <c r="P36" s="529"/>
      <c r="Q36" s="529"/>
      <c r="R36" s="529"/>
      <c r="S36" s="493"/>
      <c r="T36" s="21"/>
      <c r="U36" s="21"/>
      <c r="V36" s="475" t="s">
        <v>125</v>
      </c>
      <c r="W36" s="475"/>
      <c r="X36" s="21"/>
      <c r="Y36" s="21"/>
      <c r="Z36" s="21"/>
      <c r="AA36" s="21"/>
      <c r="AB36" s="21"/>
      <c r="AC36" s="20"/>
      <c r="AE36" s="483" t="s">
        <v>323</v>
      </c>
      <c r="AF36" s="483"/>
      <c r="AG36" s="483" t="s">
        <v>1</v>
      </c>
      <c r="AH36" s="483"/>
      <c r="AI36" s="483"/>
      <c r="AJ36" s="483"/>
      <c r="AK36" s="483"/>
      <c r="AL36" s="483"/>
      <c r="AM36" s="483"/>
      <c r="AN36" s="85" t="s">
        <v>324</v>
      </c>
    </row>
    <row r="37" spans="1:40" x14ac:dyDescent="0.3">
      <c r="A37" s="18"/>
      <c r="B37" s="21"/>
      <c r="C37" s="21"/>
      <c r="D37" s="21"/>
      <c r="E37" s="21"/>
      <c r="F37" s="21"/>
      <c r="G37" s="21"/>
      <c r="H37" s="21"/>
      <c r="I37" s="21"/>
      <c r="J37" s="21"/>
      <c r="K37" s="21"/>
      <c r="L37" s="3" t="str">
        <f t="array" ref="L37:S42">_xll.U.VFILTER(B7:I20,V38:W42)</f>
        <v>Symbol</v>
      </c>
      <c r="M37" s="3" t="str">
        <v>Broker</v>
      </c>
      <c r="N37" s="3" t="str">
        <v>Side</v>
      </c>
      <c r="O37" s="3" t="str">
        <v>Quantity</v>
      </c>
      <c r="P37" s="3" t="str">
        <v>Trade Price</v>
      </c>
      <c r="Q37" s="3" t="str">
        <v>Current Price</v>
      </c>
      <c r="R37" s="3" t="str">
        <v>P&amp;L</v>
      </c>
      <c r="S37" s="3" t="str">
        <v>Current Delta</v>
      </c>
      <c r="T37" s="21"/>
      <c r="U37" s="21"/>
      <c r="V37" s="9" t="s">
        <v>126</v>
      </c>
      <c r="W37" s="9" t="s">
        <v>17</v>
      </c>
      <c r="X37" s="21"/>
      <c r="Y37" s="21"/>
      <c r="Z37" s="21"/>
      <c r="AA37" s="21"/>
      <c r="AB37" s="21"/>
      <c r="AC37" s="20"/>
      <c r="AE37" s="487" t="s">
        <v>443</v>
      </c>
      <c r="AF37" s="487"/>
      <c r="AG37" s="487" t="s">
        <v>642</v>
      </c>
      <c r="AH37" s="487"/>
      <c r="AI37" s="487"/>
      <c r="AJ37" s="487"/>
      <c r="AK37" s="487"/>
      <c r="AL37" s="487"/>
      <c r="AM37" s="487"/>
      <c r="AN37" s="509" t="s">
        <v>325</v>
      </c>
    </row>
    <row r="38" spans="1:40" x14ac:dyDescent="0.3">
      <c r="A38" s="18"/>
      <c r="B38" s="21"/>
      <c r="C38" s="21"/>
      <c r="D38" s="21"/>
      <c r="E38" s="21"/>
      <c r="F38" s="21"/>
      <c r="G38" s="21"/>
      <c r="H38" s="21"/>
      <c r="I38" s="21"/>
      <c r="J38" s="21"/>
      <c r="K38" s="21"/>
      <c r="L38" s="30" t="str">
        <v>AAPL Jun17 140P</v>
      </c>
      <c r="M38" s="30" t="str">
        <v>BROKER_B</v>
      </c>
      <c r="N38" s="30" t="str">
        <v>B</v>
      </c>
      <c r="O38" s="36">
        <v>100</v>
      </c>
      <c r="P38" s="35">
        <v>4.3</v>
      </c>
      <c r="Q38" s="35">
        <v>4.3099999999999996</v>
      </c>
      <c r="R38" s="66">
        <v>100</v>
      </c>
      <c r="S38" s="36">
        <v>-3215</v>
      </c>
      <c r="T38" s="21"/>
      <c r="U38" s="21"/>
      <c r="V38" s="79" t="s">
        <v>2</v>
      </c>
      <c r="W38" s="79" t="s">
        <v>128</v>
      </c>
      <c r="X38" s="21"/>
      <c r="Y38" s="21"/>
      <c r="Z38" s="21"/>
      <c r="AA38" s="21"/>
      <c r="AB38" s="21"/>
      <c r="AC38" s="20"/>
      <c r="AE38" s="487"/>
      <c r="AF38" s="487"/>
      <c r="AG38" s="487"/>
      <c r="AH38" s="487"/>
      <c r="AI38" s="487"/>
      <c r="AJ38" s="487"/>
      <c r="AK38" s="487"/>
      <c r="AL38" s="487"/>
      <c r="AM38" s="487"/>
      <c r="AN38" s="509"/>
    </row>
    <row r="39" spans="1:40" x14ac:dyDescent="0.3">
      <c r="A39" s="18"/>
      <c r="B39" s="21"/>
      <c r="C39" s="21"/>
      <c r="D39" s="21"/>
      <c r="E39" s="21"/>
      <c r="F39" s="21"/>
      <c r="G39" s="21"/>
      <c r="H39" s="21"/>
      <c r="I39" s="21"/>
      <c r="J39" s="21"/>
      <c r="K39" s="21"/>
      <c r="L39" s="30" t="str">
        <v>IBM Jun17 160C</v>
      </c>
      <c r="M39" s="30" t="str">
        <v>BOB_THE_BROKER</v>
      </c>
      <c r="N39" s="30" t="str">
        <v>B</v>
      </c>
      <c r="O39" s="36">
        <v>50</v>
      </c>
      <c r="P39" s="35">
        <v>2.65</v>
      </c>
      <c r="Q39" s="35">
        <v>2.6</v>
      </c>
      <c r="R39" s="66">
        <v>-250</v>
      </c>
      <c r="S39" s="36">
        <v>2879</v>
      </c>
      <c r="T39" s="21"/>
      <c r="U39" s="21"/>
      <c r="V39" s="79"/>
      <c r="W39" s="42"/>
      <c r="X39" s="21"/>
      <c r="Y39" s="21"/>
      <c r="Z39" s="21"/>
      <c r="AA39" s="21"/>
      <c r="AB39" s="21"/>
      <c r="AC39" s="20"/>
      <c r="AE39" s="487"/>
      <c r="AF39" s="487"/>
      <c r="AG39" s="487"/>
      <c r="AH39" s="487"/>
      <c r="AI39" s="487"/>
      <c r="AJ39" s="487"/>
      <c r="AK39" s="487"/>
      <c r="AL39" s="487"/>
      <c r="AM39" s="487"/>
      <c r="AN39" s="509"/>
    </row>
    <row r="40" spans="1:40" x14ac:dyDescent="0.3">
      <c r="A40" s="18"/>
      <c r="B40" s="21"/>
      <c r="C40" s="21"/>
      <c r="D40" s="21"/>
      <c r="E40" s="21"/>
      <c r="F40" s="21"/>
      <c r="G40" s="21"/>
      <c r="H40" s="21"/>
      <c r="I40" s="21"/>
      <c r="J40" s="21"/>
      <c r="K40" s="21"/>
      <c r="L40" s="30" t="str">
        <v>IBM Jun17 160C</v>
      </c>
      <c r="M40" s="30" t="str">
        <v>BOB_THE_BROKER</v>
      </c>
      <c r="N40" s="30" t="str">
        <v>S</v>
      </c>
      <c r="O40" s="36">
        <v>-10</v>
      </c>
      <c r="P40" s="35">
        <v>2.62</v>
      </c>
      <c r="Q40" s="35">
        <v>2.6</v>
      </c>
      <c r="R40" s="66">
        <v>20</v>
      </c>
      <c r="S40" s="36">
        <v>-576</v>
      </c>
      <c r="T40" s="21"/>
      <c r="U40" s="21"/>
      <c r="V40" s="79"/>
      <c r="W40" s="79"/>
      <c r="X40" s="21"/>
      <c r="Y40" s="21"/>
      <c r="Z40" s="21"/>
      <c r="AA40" s="21"/>
      <c r="AB40" s="21"/>
      <c r="AC40" s="20"/>
      <c r="AE40" s="484" t="s">
        <v>633</v>
      </c>
      <c r="AF40" s="484"/>
      <c r="AG40" s="484" t="s">
        <v>899</v>
      </c>
      <c r="AH40" s="484"/>
      <c r="AI40" s="484"/>
      <c r="AJ40" s="484"/>
      <c r="AK40" s="484"/>
      <c r="AL40" s="484"/>
      <c r="AM40" s="484"/>
      <c r="AN40" s="485" t="s">
        <v>326</v>
      </c>
    </row>
    <row r="41" spans="1:40" x14ac:dyDescent="0.3">
      <c r="A41" s="18"/>
      <c r="B41" s="21"/>
      <c r="C41" s="21"/>
      <c r="D41" s="21"/>
      <c r="E41" s="21"/>
      <c r="F41" s="21"/>
      <c r="G41" s="21"/>
      <c r="H41" s="21"/>
      <c r="I41" s="21"/>
      <c r="J41" s="21"/>
      <c r="K41" s="21"/>
      <c r="L41" s="30" t="str">
        <v>IBM Jun17 160C</v>
      </c>
      <c r="M41" s="30" t="str">
        <v>BOB_THE_BROKER</v>
      </c>
      <c r="N41" s="30" t="str">
        <v>S</v>
      </c>
      <c r="O41" s="36">
        <v>-40</v>
      </c>
      <c r="P41" s="35">
        <v>2.61</v>
      </c>
      <c r="Q41" s="35">
        <v>2.6</v>
      </c>
      <c r="R41" s="66">
        <v>40</v>
      </c>
      <c r="S41" s="36">
        <v>-2303</v>
      </c>
      <c r="T41" s="21"/>
      <c r="U41" s="21"/>
      <c r="V41" s="79"/>
      <c r="W41" s="79"/>
      <c r="X41" s="21"/>
      <c r="Y41" s="21"/>
      <c r="Z41" s="21"/>
      <c r="AA41" s="21"/>
      <c r="AB41" s="21"/>
      <c r="AC41" s="20"/>
      <c r="AE41" s="484"/>
      <c r="AF41" s="484"/>
      <c r="AG41" s="484"/>
      <c r="AH41" s="484"/>
      <c r="AI41" s="484"/>
      <c r="AJ41" s="484"/>
      <c r="AK41" s="484"/>
      <c r="AL41" s="484"/>
      <c r="AM41" s="484"/>
      <c r="AN41" s="485"/>
    </row>
    <row r="42" spans="1:40" x14ac:dyDescent="0.3">
      <c r="A42" s="18"/>
      <c r="B42" s="21"/>
      <c r="C42" s="21"/>
      <c r="D42" s="21"/>
      <c r="E42" s="21"/>
      <c r="F42" s="21"/>
      <c r="G42" s="21"/>
      <c r="H42" s="21"/>
      <c r="I42" s="21"/>
      <c r="J42" s="21"/>
      <c r="K42" s="21"/>
      <c r="L42" s="30" t="e">
        <v>#N/A</v>
      </c>
      <c r="M42" s="30" t="e">
        <v>#N/A</v>
      </c>
      <c r="N42" s="30" t="e">
        <v>#N/A</v>
      </c>
      <c r="O42" s="36" t="e">
        <v>#N/A</v>
      </c>
      <c r="P42" s="35" t="e">
        <v>#N/A</v>
      </c>
      <c r="Q42" s="35" t="e">
        <v>#N/A</v>
      </c>
      <c r="R42" s="66" t="e">
        <v>#N/A</v>
      </c>
      <c r="S42" s="36" t="e">
        <v>#N/A</v>
      </c>
      <c r="T42" s="21"/>
      <c r="U42" s="21"/>
      <c r="V42" s="79"/>
      <c r="W42" s="79"/>
      <c r="X42" s="21"/>
      <c r="Y42" s="21"/>
      <c r="Z42" s="21"/>
      <c r="AA42" s="21"/>
      <c r="AB42" s="21"/>
      <c r="AC42" s="20"/>
      <c r="AE42" s="484"/>
      <c r="AF42" s="484"/>
      <c r="AG42" s="484"/>
      <c r="AH42" s="484"/>
      <c r="AI42" s="484"/>
      <c r="AJ42" s="484"/>
      <c r="AK42" s="484"/>
      <c r="AL42" s="484"/>
      <c r="AM42" s="484"/>
      <c r="AN42" s="485"/>
    </row>
    <row r="43" spans="1:40" ht="15" customHeight="1" x14ac:dyDescent="0.3">
      <c r="A43" s="18"/>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0"/>
      <c r="AE43" s="484" t="s">
        <v>634</v>
      </c>
      <c r="AF43" s="484"/>
      <c r="AG43" s="484" t="s">
        <v>973</v>
      </c>
      <c r="AH43" s="484"/>
      <c r="AI43" s="484"/>
      <c r="AJ43" s="484"/>
      <c r="AK43" s="484"/>
      <c r="AL43" s="484"/>
      <c r="AM43" s="484"/>
      <c r="AN43" s="485" t="s">
        <v>326</v>
      </c>
    </row>
    <row r="44" spans="1:40" x14ac:dyDescent="0.3">
      <c r="A44" s="18"/>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0"/>
      <c r="AE44" s="484"/>
      <c r="AF44" s="484"/>
      <c r="AG44" s="484"/>
      <c r="AH44" s="484"/>
      <c r="AI44" s="484"/>
      <c r="AJ44" s="484"/>
      <c r="AK44" s="484"/>
      <c r="AL44" s="484"/>
      <c r="AM44" s="484"/>
      <c r="AN44" s="485"/>
    </row>
    <row r="45" spans="1:40" x14ac:dyDescent="0.3">
      <c r="A45" s="18"/>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0"/>
      <c r="AE45" s="484"/>
      <c r="AF45" s="484"/>
      <c r="AG45" s="484"/>
      <c r="AH45" s="484"/>
      <c r="AI45" s="484"/>
      <c r="AJ45" s="484"/>
      <c r="AK45" s="484"/>
      <c r="AL45" s="484"/>
      <c r="AM45" s="484"/>
      <c r="AN45" s="485"/>
    </row>
    <row r="46" spans="1:40" ht="15" customHeight="1" x14ac:dyDescent="0.3">
      <c r="A46" s="18"/>
      <c r="B46" s="21"/>
      <c r="C46" s="21"/>
      <c r="D46" s="21"/>
      <c r="E46" s="21"/>
      <c r="F46" s="21"/>
      <c r="G46" s="21"/>
      <c r="H46" s="21"/>
      <c r="I46" s="21"/>
      <c r="J46" s="21"/>
      <c r="K46" s="21"/>
      <c r="L46" s="492" t="s">
        <v>3397</v>
      </c>
      <c r="M46" s="529"/>
      <c r="N46" s="529"/>
      <c r="O46" s="529"/>
      <c r="P46" s="529"/>
      <c r="Q46" s="529"/>
      <c r="R46" s="529"/>
      <c r="S46" s="493"/>
      <c r="T46" s="21"/>
      <c r="U46" s="21"/>
      <c r="V46" s="475" t="s">
        <v>125</v>
      </c>
      <c r="W46" s="475"/>
      <c r="X46" s="21"/>
      <c r="Y46" s="21"/>
      <c r="Z46" s="21"/>
      <c r="AA46" s="21"/>
      <c r="AB46" s="21"/>
      <c r="AC46" s="20"/>
      <c r="AE46" s="484" t="s">
        <v>455</v>
      </c>
      <c r="AF46" s="484"/>
      <c r="AG46" s="484" t="s">
        <v>900</v>
      </c>
      <c r="AH46" s="484"/>
      <c r="AI46" s="484"/>
      <c r="AJ46" s="484"/>
      <c r="AK46" s="484"/>
      <c r="AL46" s="484"/>
      <c r="AM46" s="484"/>
      <c r="AN46" s="485" t="s">
        <v>326</v>
      </c>
    </row>
    <row r="47" spans="1:40" x14ac:dyDescent="0.3">
      <c r="A47" s="18"/>
      <c r="B47" s="21"/>
      <c r="C47" s="21"/>
      <c r="D47" s="21"/>
      <c r="E47" s="21"/>
      <c r="F47" s="21"/>
      <c r="G47" s="21"/>
      <c r="H47" s="21"/>
      <c r="I47" s="21"/>
      <c r="J47" s="21"/>
      <c r="K47" s="21"/>
      <c r="L47" s="3" t="str">
        <f t="array" ref="L47:S52">_xll.U.VFILTER(B7:I20,V48:W52)</f>
        <v>Symbol</v>
      </c>
      <c r="M47" s="3" t="str">
        <v>Broker</v>
      </c>
      <c r="N47" s="3" t="str">
        <v>Side</v>
      </c>
      <c r="O47" s="3" t="str">
        <v>Quantity</v>
      </c>
      <c r="P47" s="3" t="str">
        <v>Trade Price</v>
      </c>
      <c r="Q47" s="3" t="str">
        <v>Current Price</v>
      </c>
      <c r="R47" s="3" t="str">
        <v>P&amp;L</v>
      </c>
      <c r="S47" s="3" t="str">
        <v>Current Delta</v>
      </c>
      <c r="T47" s="21"/>
      <c r="U47" s="21"/>
      <c r="V47" s="9" t="s">
        <v>126</v>
      </c>
      <c r="W47" s="9" t="s">
        <v>17</v>
      </c>
      <c r="X47" s="21"/>
      <c r="Y47" s="21"/>
      <c r="Z47" s="21"/>
      <c r="AA47" s="21"/>
      <c r="AB47" s="21"/>
      <c r="AC47" s="20"/>
      <c r="AE47" s="484"/>
      <c r="AF47" s="484"/>
      <c r="AG47" s="484"/>
      <c r="AH47" s="484"/>
      <c r="AI47" s="484"/>
      <c r="AJ47" s="484"/>
      <c r="AK47" s="484"/>
      <c r="AL47" s="484"/>
      <c r="AM47" s="484"/>
      <c r="AN47" s="485"/>
    </row>
    <row r="48" spans="1:40" x14ac:dyDescent="0.3">
      <c r="A48" s="18"/>
      <c r="B48" s="21"/>
      <c r="C48" s="21"/>
      <c r="D48" s="21"/>
      <c r="E48" s="21"/>
      <c r="F48" s="21"/>
      <c r="G48" s="21"/>
      <c r="H48" s="21"/>
      <c r="I48" s="21"/>
      <c r="J48" s="21"/>
      <c r="K48" s="21"/>
      <c r="L48" s="30" t="str">
        <v>IBM Jun17 160C</v>
      </c>
      <c r="M48" s="30" t="str">
        <v>BOB_THE_BROKER</v>
      </c>
      <c r="N48" s="30" t="str">
        <v>B</v>
      </c>
      <c r="O48" s="36">
        <v>50</v>
      </c>
      <c r="P48" s="35">
        <v>2.65</v>
      </c>
      <c r="Q48" s="35">
        <v>2.6</v>
      </c>
      <c r="R48" s="66">
        <v>-250</v>
      </c>
      <c r="S48" s="36">
        <v>2879</v>
      </c>
      <c r="T48" s="21"/>
      <c r="U48" s="21"/>
      <c r="V48" s="79" t="s">
        <v>101</v>
      </c>
      <c r="W48" s="79" t="s">
        <v>1819</v>
      </c>
      <c r="X48" s="21"/>
      <c r="Y48" s="21"/>
      <c r="Z48" s="21"/>
      <c r="AA48" s="21"/>
      <c r="AB48" s="21"/>
      <c r="AC48" s="20"/>
      <c r="AE48" s="484"/>
      <c r="AF48" s="484"/>
      <c r="AG48" s="484"/>
      <c r="AH48" s="484"/>
      <c r="AI48" s="484"/>
      <c r="AJ48" s="484"/>
      <c r="AK48" s="484"/>
      <c r="AL48" s="484"/>
      <c r="AM48" s="484"/>
      <c r="AN48" s="485"/>
    </row>
    <row r="49" spans="1:40" x14ac:dyDescent="0.3">
      <c r="A49" s="18"/>
      <c r="B49" s="21"/>
      <c r="C49" s="21"/>
      <c r="D49" s="21"/>
      <c r="E49" s="21"/>
      <c r="F49" s="21"/>
      <c r="G49" s="21"/>
      <c r="H49" s="21"/>
      <c r="I49" s="21"/>
      <c r="J49" s="21"/>
      <c r="K49" s="21"/>
      <c r="L49" s="30" t="str">
        <v>IBM Jun17 160C</v>
      </c>
      <c r="M49" s="30" t="str">
        <v>BOB_THE_BROKER</v>
      </c>
      <c r="N49" s="30" t="str">
        <v>S</v>
      </c>
      <c r="O49" s="36">
        <v>-10</v>
      </c>
      <c r="P49" s="35">
        <v>2.62</v>
      </c>
      <c r="Q49" s="35">
        <v>2.6</v>
      </c>
      <c r="R49" s="66">
        <v>20</v>
      </c>
      <c r="S49" s="36">
        <v>-576</v>
      </c>
      <c r="T49" s="21"/>
      <c r="U49" s="21"/>
      <c r="V49" s="79"/>
      <c r="W49" s="42"/>
      <c r="X49" s="21"/>
      <c r="Y49" s="21"/>
      <c r="Z49" s="21"/>
      <c r="AA49" s="21"/>
      <c r="AB49" s="21"/>
      <c r="AC49" s="20"/>
      <c r="AE49" s="484" t="s">
        <v>636</v>
      </c>
      <c r="AF49" s="484"/>
      <c r="AG49" s="484" t="s">
        <v>638</v>
      </c>
      <c r="AH49" s="484"/>
      <c r="AI49" s="484"/>
      <c r="AJ49" s="484"/>
      <c r="AK49" s="484"/>
      <c r="AL49" s="484"/>
      <c r="AM49" s="484"/>
      <c r="AN49" s="485" t="s">
        <v>326</v>
      </c>
    </row>
    <row r="50" spans="1:40" x14ac:dyDescent="0.3">
      <c r="A50" s="18"/>
      <c r="B50" s="21"/>
      <c r="C50" s="21"/>
      <c r="D50" s="21"/>
      <c r="E50" s="21"/>
      <c r="F50" s="21"/>
      <c r="G50" s="21"/>
      <c r="H50" s="21"/>
      <c r="I50" s="21"/>
      <c r="J50" s="21"/>
      <c r="K50" s="21"/>
      <c r="L50" s="30" t="str">
        <v>IBM Jun17 160C</v>
      </c>
      <c r="M50" s="30" t="str">
        <v>BOB_THE_BROKER</v>
      </c>
      <c r="N50" s="30" t="str">
        <v>S</v>
      </c>
      <c r="O50" s="36">
        <v>-40</v>
      </c>
      <c r="P50" s="35">
        <v>2.61</v>
      </c>
      <c r="Q50" s="35">
        <v>2.6</v>
      </c>
      <c r="R50" s="66">
        <v>40</v>
      </c>
      <c r="S50" s="36">
        <v>-2303</v>
      </c>
      <c r="T50" s="21"/>
      <c r="U50" s="21"/>
      <c r="V50" s="79"/>
      <c r="W50" s="79"/>
      <c r="X50" s="21"/>
      <c r="Y50" s="21"/>
      <c r="Z50" s="21"/>
      <c r="AA50" s="21"/>
      <c r="AB50" s="21"/>
      <c r="AC50" s="20"/>
      <c r="AE50" s="484"/>
      <c r="AF50" s="484"/>
      <c r="AG50" s="484"/>
      <c r="AH50" s="484"/>
      <c r="AI50" s="484"/>
      <c r="AJ50" s="484"/>
      <c r="AK50" s="484"/>
      <c r="AL50" s="484"/>
      <c r="AM50" s="484"/>
      <c r="AN50" s="485"/>
    </row>
    <row r="51" spans="1:40" x14ac:dyDescent="0.3">
      <c r="A51" s="18"/>
      <c r="B51" s="21"/>
      <c r="C51" s="21"/>
      <c r="D51" s="21"/>
      <c r="E51" s="21"/>
      <c r="F51" s="21"/>
      <c r="G51" s="21"/>
      <c r="H51" s="21"/>
      <c r="I51" s="21"/>
      <c r="J51" s="21"/>
      <c r="K51" s="21"/>
      <c r="L51" s="30" t="e">
        <v>#N/A</v>
      </c>
      <c r="M51" s="30" t="e">
        <v>#N/A</v>
      </c>
      <c r="N51" s="30" t="e">
        <v>#N/A</v>
      </c>
      <c r="O51" s="36" t="e">
        <v>#N/A</v>
      </c>
      <c r="P51" s="35" t="e">
        <v>#N/A</v>
      </c>
      <c r="Q51" s="35" t="e">
        <v>#N/A</v>
      </c>
      <c r="R51" s="66" t="e">
        <v>#N/A</v>
      </c>
      <c r="S51" s="36" t="e">
        <v>#N/A</v>
      </c>
      <c r="T51" s="21"/>
      <c r="U51" s="21"/>
      <c r="V51" s="79"/>
      <c r="W51" s="79"/>
      <c r="X51" s="21"/>
      <c r="Y51" s="21"/>
      <c r="Z51" s="21"/>
      <c r="AA51" s="21"/>
      <c r="AB51" s="21"/>
      <c r="AC51" s="20"/>
      <c r="AE51" s="484"/>
      <c r="AF51" s="484"/>
      <c r="AG51" s="484"/>
      <c r="AH51" s="484"/>
      <c r="AI51" s="484"/>
      <c r="AJ51" s="484"/>
      <c r="AK51" s="484"/>
      <c r="AL51" s="484"/>
      <c r="AM51" s="484"/>
      <c r="AN51" s="485"/>
    </row>
    <row r="52" spans="1:40" ht="15" customHeight="1" x14ac:dyDescent="0.3">
      <c r="A52" s="18"/>
      <c r="B52" s="21"/>
      <c r="C52" s="21"/>
      <c r="D52" s="21"/>
      <c r="E52" s="21"/>
      <c r="F52" s="21"/>
      <c r="G52" s="21"/>
      <c r="H52" s="21"/>
      <c r="I52" s="21"/>
      <c r="J52" s="21"/>
      <c r="K52" s="21"/>
      <c r="L52" s="30" t="e">
        <v>#N/A</v>
      </c>
      <c r="M52" s="30" t="e">
        <v>#N/A</v>
      </c>
      <c r="N52" s="30" t="e">
        <v>#N/A</v>
      </c>
      <c r="O52" s="36" t="e">
        <v>#N/A</v>
      </c>
      <c r="P52" s="35" t="e">
        <v>#N/A</v>
      </c>
      <c r="Q52" s="35" t="e">
        <v>#N/A</v>
      </c>
      <c r="R52" s="66" t="e">
        <v>#N/A</v>
      </c>
      <c r="S52" s="36" t="e">
        <v>#N/A</v>
      </c>
      <c r="T52" s="21"/>
      <c r="U52" s="21"/>
      <c r="V52" s="79"/>
      <c r="W52" s="79"/>
      <c r="X52" s="21"/>
      <c r="Y52" s="21"/>
      <c r="Z52" s="21"/>
      <c r="AA52" s="21"/>
      <c r="AB52" s="21"/>
      <c r="AC52" s="20"/>
      <c r="AE52" s="484" t="s">
        <v>637</v>
      </c>
      <c r="AF52" s="484"/>
      <c r="AG52" s="484" t="s">
        <v>639</v>
      </c>
      <c r="AH52" s="484"/>
      <c r="AI52" s="484"/>
      <c r="AJ52" s="484"/>
      <c r="AK52" s="484"/>
      <c r="AL52" s="484"/>
      <c r="AM52" s="484"/>
      <c r="AN52" s="485" t="s">
        <v>326</v>
      </c>
    </row>
    <row r="53" spans="1:40" x14ac:dyDescent="0.3">
      <c r="A53" s="18"/>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0"/>
      <c r="AE53" s="484"/>
      <c r="AF53" s="484"/>
      <c r="AG53" s="484"/>
      <c r="AH53" s="484"/>
      <c r="AI53" s="484"/>
      <c r="AJ53" s="484"/>
      <c r="AK53" s="484"/>
      <c r="AL53" s="484"/>
      <c r="AM53" s="484"/>
      <c r="AN53" s="485"/>
    </row>
    <row r="54" spans="1:40" x14ac:dyDescent="0.3">
      <c r="A54" s="18"/>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0"/>
      <c r="AE54" s="484"/>
      <c r="AF54" s="484"/>
      <c r="AG54" s="484"/>
      <c r="AH54" s="484"/>
      <c r="AI54" s="484"/>
      <c r="AJ54" s="484"/>
      <c r="AK54" s="484"/>
      <c r="AL54" s="484"/>
      <c r="AM54" s="484"/>
      <c r="AN54" s="485"/>
    </row>
    <row r="55" spans="1:40" ht="15" customHeight="1" x14ac:dyDescent="0.3">
      <c r="A55" s="18"/>
      <c r="B55" s="21"/>
      <c r="C55" s="21"/>
      <c r="D55" s="21"/>
      <c r="E55" s="21"/>
      <c r="F55" s="21"/>
      <c r="G55" s="21"/>
      <c r="H55" s="21"/>
      <c r="I55" s="21"/>
      <c r="J55" s="21"/>
      <c r="K55" s="21"/>
      <c r="L55" s="67"/>
      <c r="M55" s="67"/>
      <c r="N55" s="67"/>
      <c r="O55" s="67"/>
      <c r="P55" s="67"/>
      <c r="Q55" s="67"/>
      <c r="R55" s="67"/>
      <c r="S55" s="67"/>
      <c r="T55" s="67"/>
      <c r="U55" s="67"/>
      <c r="V55" s="67"/>
      <c r="W55" s="67"/>
      <c r="X55" s="67"/>
      <c r="Y55" s="67"/>
      <c r="Z55" s="67"/>
      <c r="AA55" s="67"/>
      <c r="AB55" s="21"/>
      <c r="AC55" s="20"/>
      <c r="AE55" s="484" t="s">
        <v>901</v>
      </c>
      <c r="AF55" s="484"/>
      <c r="AG55" s="484" t="s">
        <v>902</v>
      </c>
      <c r="AH55" s="484"/>
      <c r="AI55" s="484"/>
      <c r="AJ55" s="484"/>
      <c r="AK55" s="484"/>
      <c r="AL55" s="484"/>
      <c r="AM55" s="484"/>
      <c r="AN55" s="485" t="s">
        <v>326</v>
      </c>
    </row>
    <row r="56" spans="1:40" x14ac:dyDescent="0.3">
      <c r="A56" s="18"/>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0"/>
      <c r="AE56" s="484"/>
      <c r="AF56" s="484"/>
      <c r="AG56" s="484"/>
      <c r="AH56" s="484"/>
      <c r="AI56" s="484"/>
      <c r="AJ56" s="484"/>
      <c r="AK56" s="484"/>
      <c r="AL56" s="484"/>
      <c r="AM56" s="484"/>
      <c r="AN56" s="485"/>
    </row>
    <row r="57" spans="1:40" x14ac:dyDescent="0.3">
      <c r="A57" s="18"/>
      <c r="B57" s="21"/>
      <c r="C57" s="21"/>
      <c r="D57" s="21"/>
      <c r="E57" s="21"/>
      <c r="F57" s="21"/>
      <c r="G57" s="21"/>
      <c r="H57" s="21"/>
      <c r="I57" s="21"/>
      <c r="J57" s="21"/>
      <c r="K57" s="21"/>
      <c r="L57" s="492" t="s">
        <v>3397</v>
      </c>
      <c r="M57" s="529"/>
      <c r="N57" s="529"/>
      <c r="O57" s="529"/>
      <c r="P57" s="529"/>
      <c r="Q57" s="529"/>
      <c r="R57" s="529"/>
      <c r="S57" s="493"/>
      <c r="T57" s="21"/>
      <c r="U57" s="21"/>
      <c r="V57" s="475" t="s">
        <v>125</v>
      </c>
      <c r="W57" s="475"/>
      <c r="X57" s="21"/>
      <c r="Y57" s="21"/>
      <c r="Z57" s="21"/>
      <c r="AA57" s="21"/>
      <c r="AB57" s="21"/>
      <c r="AC57" s="20"/>
      <c r="AE57" s="484"/>
      <c r="AF57" s="484"/>
      <c r="AG57" s="484"/>
      <c r="AH57" s="484"/>
      <c r="AI57" s="484"/>
      <c r="AJ57" s="484"/>
      <c r="AK57" s="484"/>
      <c r="AL57" s="484"/>
      <c r="AM57" s="484"/>
      <c r="AN57" s="485"/>
    </row>
    <row r="58" spans="1:40" x14ac:dyDescent="0.3">
      <c r="A58" s="18"/>
      <c r="B58" s="21"/>
      <c r="C58" s="21"/>
      <c r="D58" s="21"/>
      <c r="E58" s="21"/>
      <c r="F58" s="21"/>
      <c r="G58" s="21"/>
      <c r="H58" s="21"/>
      <c r="I58" s="21"/>
      <c r="J58" s="21"/>
      <c r="K58" s="21"/>
      <c r="L58" s="3" t="str">
        <f t="array" ref="L58:S63">_xll.U.VFILTER(B7:I20,V59:W63,TRUE)</f>
        <v>Symbol</v>
      </c>
      <c r="M58" s="3" t="str">
        <v>Broker</v>
      </c>
      <c r="N58" s="3" t="str">
        <v>Side</v>
      </c>
      <c r="O58" s="3" t="str">
        <v>Quantity</v>
      </c>
      <c r="P58" s="3" t="str">
        <v>Trade Price</v>
      </c>
      <c r="Q58" s="3" t="str">
        <v>Current Price</v>
      </c>
      <c r="R58" s="3" t="str">
        <v>P&amp;L</v>
      </c>
      <c r="S58" s="3" t="str">
        <v>Current Delta</v>
      </c>
      <c r="T58" s="21"/>
      <c r="U58" s="21"/>
      <c r="V58" s="9" t="s">
        <v>126</v>
      </c>
      <c r="W58" s="9" t="s">
        <v>17</v>
      </c>
      <c r="X58" s="21"/>
      <c r="Y58" s="21"/>
      <c r="Z58" s="21"/>
      <c r="AA58" s="21"/>
      <c r="AB58" s="21"/>
      <c r="AC58" s="20"/>
      <c r="AE58" s="126" t="s">
        <v>328</v>
      </c>
    </row>
    <row r="59" spans="1:40" x14ac:dyDescent="0.3">
      <c r="A59" s="18"/>
      <c r="B59" s="21"/>
      <c r="C59" s="21"/>
      <c r="D59" s="21"/>
      <c r="E59" s="21"/>
      <c r="F59" s="21"/>
      <c r="G59" s="21"/>
      <c r="H59" s="21"/>
      <c r="I59" s="21"/>
      <c r="J59" s="21"/>
      <c r="K59" s="21"/>
      <c r="L59" s="30" t="str">
        <v>IBM Jun17 160C</v>
      </c>
      <c r="M59" s="30" t="str">
        <v>BOB_THE_BROKER</v>
      </c>
      <c r="N59" s="30" t="str">
        <v>B</v>
      </c>
      <c r="O59" s="36">
        <v>50</v>
      </c>
      <c r="P59" s="35">
        <v>2.65</v>
      </c>
      <c r="Q59" s="35">
        <v>2.6</v>
      </c>
      <c r="R59" s="66">
        <v>-250</v>
      </c>
      <c r="S59" s="36">
        <v>2879</v>
      </c>
      <c r="T59" s="21"/>
      <c r="U59" s="21"/>
      <c r="V59" s="79" t="s">
        <v>101</v>
      </c>
      <c r="W59" s="79" t="s">
        <v>218</v>
      </c>
      <c r="X59" s="21"/>
      <c r="Y59" s="21"/>
      <c r="Z59" s="21"/>
      <c r="AA59" s="21"/>
      <c r="AB59" s="21"/>
      <c r="AC59" s="20"/>
    </row>
    <row r="60" spans="1:40" x14ac:dyDescent="0.3">
      <c r="A60" s="18"/>
      <c r="B60" s="21"/>
      <c r="C60" s="21"/>
      <c r="D60" s="21"/>
      <c r="E60" s="21"/>
      <c r="F60" s="21"/>
      <c r="G60" s="21"/>
      <c r="H60" s="21"/>
      <c r="I60" s="21"/>
      <c r="J60" s="21"/>
      <c r="K60" s="21"/>
      <c r="L60" s="30" t="str">
        <v>IBM Jun17 160C</v>
      </c>
      <c r="M60" s="30" t="str">
        <v>BOB_THE_BROKER</v>
      </c>
      <c r="N60" s="30" t="str">
        <v>S</v>
      </c>
      <c r="O60" s="36">
        <v>-10</v>
      </c>
      <c r="P60" s="35">
        <v>2.62</v>
      </c>
      <c r="Q60" s="35">
        <v>2.6</v>
      </c>
      <c r="R60" s="66">
        <v>20</v>
      </c>
      <c r="S60" s="36">
        <v>-576</v>
      </c>
      <c r="T60" s="21"/>
      <c r="U60" s="21"/>
      <c r="V60" s="79"/>
      <c r="W60" s="42"/>
      <c r="X60" s="21"/>
      <c r="Y60" s="21"/>
      <c r="Z60" s="21"/>
      <c r="AA60" s="21"/>
      <c r="AB60" s="21"/>
      <c r="AC60" s="20"/>
    </row>
    <row r="61" spans="1:40" x14ac:dyDescent="0.3">
      <c r="A61" s="18"/>
      <c r="B61" s="21"/>
      <c r="C61" s="21"/>
      <c r="D61" s="21"/>
      <c r="E61" s="21"/>
      <c r="F61" s="21"/>
      <c r="G61" s="21"/>
      <c r="H61" s="21"/>
      <c r="I61" s="21"/>
      <c r="J61" s="21"/>
      <c r="K61" s="21"/>
      <c r="L61" s="30" t="str">
        <v>IBM Jun17 160C</v>
      </c>
      <c r="M61" s="30" t="str">
        <v>BOB_THE_BROKER</v>
      </c>
      <c r="N61" s="30" t="str">
        <v>S</v>
      </c>
      <c r="O61" s="36">
        <v>-40</v>
      </c>
      <c r="P61" s="35">
        <v>2.61</v>
      </c>
      <c r="Q61" s="35">
        <v>2.6</v>
      </c>
      <c r="R61" s="66">
        <v>40</v>
      </c>
      <c r="S61" s="36">
        <v>-2303</v>
      </c>
      <c r="T61" s="21"/>
      <c r="U61" s="21"/>
      <c r="V61" s="79"/>
      <c r="W61" s="79"/>
      <c r="X61" s="21"/>
      <c r="Y61" s="21"/>
      <c r="Z61" s="21"/>
      <c r="AA61" s="21"/>
      <c r="AB61" s="21"/>
      <c r="AC61" s="20"/>
    </row>
    <row r="62" spans="1:40" x14ac:dyDescent="0.3">
      <c r="A62" s="18"/>
      <c r="B62" s="21"/>
      <c r="C62" s="21"/>
      <c r="D62" s="21"/>
      <c r="E62" s="21"/>
      <c r="F62" s="21"/>
      <c r="G62" s="21"/>
      <c r="H62" s="21"/>
      <c r="I62" s="21"/>
      <c r="J62" s="21"/>
      <c r="K62" s="21"/>
      <c r="L62" s="30" t="e">
        <v>#N/A</v>
      </c>
      <c r="M62" s="30" t="e">
        <v>#N/A</v>
      </c>
      <c r="N62" s="30" t="e">
        <v>#N/A</v>
      </c>
      <c r="O62" s="36" t="e">
        <v>#N/A</v>
      </c>
      <c r="P62" s="35" t="e">
        <v>#N/A</v>
      </c>
      <c r="Q62" s="35" t="e">
        <v>#N/A</v>
      </c>
      <c r="R62" s="66" t="e">
        <v>#N/A</v>
      </c>
      <c r="S62" s="36" t="e">
        <v>#N/A</v>
      </c>
      <c r="T62" s="21"/>
      <c r="U62" s="21"/>
      <c r="V62" s="79"/>
      <c r="W62" s="79"/>
      <c r="X62" s="21"/>
      <c r="Y62" s="21"/>
      <c r="Z62" s="21"/>
      <c r="AA62" s="21"/>
      <c r="AB62" s="21"/>
      <c r="AC62" s="20"/>
    </row>
    <row r="63" spans="1:40" x14ac:dyDescent="0.3">
      <c r="A63" s="18"/>
      <c r="B63" s="21"/>
      <c r="C63" s="21"/>
      <c r="D63" s="21"/>
      <c r="E63" s="21"/>
      <c r="F63" s="21"/>
      <c r="G63" s="21"/>
      <c r="H63" s="21"/>
      <c r="I63" s="21"/>
      <c r="J63" s="21"/>
      <c r="K63" s="21"/>
      <c r="L63" s="30" t="e">
        <v>#N/A</v>
      </c>
      <c r="M63" s="30" t="e">
        <v>#N/A</v>
      </c>
      <c r="N63" s="30" t="e">
        <v>#N/A</v>
      </c>
      <c r="O63" s="36" t="e">
        <v>#N/A</v>
      </c>
      <c r="P63" s="35" t="e">
        <v>#N/A</v>
      </c>
      <c r="Q63" s="35" t="e">
        <v>#N/A</v>
      </c>
      <c r="R63" s="66" t="e">
        <v>#N/A</v>
      </c>
      <c r="S63" s="36" t="e">
        <v>#N/A</v>
      </c>
      <c r="T63" s="21"/>
      <c r="U63" s="21"/>
      <c r="V63" s="79"/>
      <c r="W63" s="79"/>
      <c r="X63" s="21"/>
      <c r="Y63" s="21"/>
      <c r="Z63" s="21"/>
      <c r="AA63" s="21"/>
      <c r="AB63" s="21"/>
      <c r="AC63" s="20"/>
    </row>
    <row r="64" spans="1:40" x14ac:dyDescent="0.3">
      <c r="A64" s="18"/>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0"/>
    </row>
    <row r="65" spans="1:29" x14ac:dyDescent="0.3">
      <c r="A65" s="18"/>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0"/>
    </row>
    <row r="66" spans="1:29" x14ac:dyDescent="0.3">
      <c r="A66" s="18"/>
      <c r="B66" s="21"/>
      <c r="C66" s="21"/>
      <c r="D66" s="21"/>
      <c r="E66" s="21"/>
      <c r="F66" s="21"/>
      <c r="G66" s="21"/>
      <c r="H66" s="21"/>
      <c r="I66" s="21"/>
      <c r="J66" s="21"/>
      <c r="K66" s="21"/>
      <c r="L66" s="67"/>
      <c r="M66" s="67"/>
      <c r="N66" s="67"/>
      <c r="O66" s="67"/>
      <c r="P66" s="67"/>
      <c r="Q66" s="67"/>
      <c r="R66" s="67"/>
      <c r="S66" s="67"/>
      <c r="T66" s="67"/>
      <c r="U66" s="67"/>
      <c r="V66" s="67"/>
      <c r="W66" s="67"/>
      <c r="X66" s="67"/>
      <c r="Y66" s="67"/>
      <c r="Z66" s="67"/>
      <c r="AA66" s="67"/>
      <c r="AB66" s="21"/>
      <c r="AC66" s="20"/>
    </row>
    <row r="67" spans="1:29" x14ac:dyDescent="0.3">
      <c r="A67" s="18"/>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0"/>
    </row>
    <row r="68" spans="1:29" x14ac:dyDescent="0.3">
      <c r="A68" s="18"/>
      <c r="B68" s="492" t="s">
        <v>65</v>
      </c>
      <c r="C68" s="529"/>
      <c r="D68" s="529"/>
      <c r="E68" s="529"/>
      <c r="F68" s="529"/>
      <c r="G68" s="529"/>
      <c r="H68" s="529"/>
      <c r="I68" s="493"/>
      <c r="J68" s="21"/>
      <c r="K68" s="21"/>
      <c r="L68" s="492" t="s">
        <v>3397</v>
      </c>
      <c r="M68" s="529"/>
      <c r="N68" s="529"/>
      <c r="O68" s="529"/>
      <c r="P68" s="529"/>
      <c r="Q68" s="529"/>
      <c r="R68" s="529"/>
      <c r="S68" s="493"/>
      <c r="T68" s="21"/>
      <c r="U68" s="21"/>
      <c r="V68" s="475" t="s">
        <v>125</v>
      </c>
      <c r="W68" s="475"/>
      <c r="X68" s="21"/>
      <c r="Y68" s="21"/>
      <c r="Z68" s="21"/>
      <c r="AA68" s="21"/>
      <c r="AB68" s="21"/>
      <c r="AC68" s="20"/>
    </row>
    <row r="69" spans="1:29" x14ac:dyDescent="0.3">
      <c r="A69" s="18"/>
      <c r="B69" s="59" t="s">
        <v>2</v>
      </c>
      <c r="C69" s="60" t="s">
        <v>101</v>
      </c>
      <c r="D69" s="60" t="s">
        <v>111</v>
      </c>
      <c r="E69" s="60" t="s">
        <v>62</v>
      </c>
      <c r="F69" s="60" t="s">
        <v>103</v>
      </c>
      <c r="G69" s="60" t="s">
        <v>104</v>
      </c>
      <c r="H69" s="60" t="s">
        <v>105</v>
      </c>
      <c r="I69" s="60" t="s">
        <v>102</v>
      </c>
      <c r="J69" s="21"/>
      <c r="K69" s="21"/>
      <c r="L69" s="3" t="str">
        <f t="array" ref="L69:S74">_xll.U.VFILTER(B69:I74,V69:W74)</f>
        <v>Symbol</v>
      </c>
      <c r="M69" s="3" t="str">
        <v>Broker</v>
      </c>
      <c r="N69" s="3" t="str">
        <v>Side</v>
      </c>
      <c r="O69" s="3" t="str">
        <v>Quantity</v>
      </c>
      <c r="P69" s="3" t="str">
        <v>Trade Price</v>
      </c>
      <c r="Q69" s="3" t="str">
        <v>Current Price</v>
      </c>
      <c r="R69" s="3" t="str">
        <v>P&amp;L</v>
      </c>
      <c r="S69" s="3" t="str">
        <v>Current Delta</v>
      </c>
      <c r="T69" s="21"/>
      <c r="U69" s="21"/>
      <c r="V69" s="9" t="s">
        <v>126</v>
      </c>
      <c r="W69" s="9" t="s">
        <v>17</v>
      </c>
      <c r="X69" s="21"/>
      <c r="Y69" s="21"/>
      <c r="Z69" s="21"/>
      <c r="AA69" s="21"/>
      <c r="AB69" s="21"/>
      <c r="AC69" s="20"/>
    </row>
    <row r="70" spans="1:29" x14ac:dyDescent="0.3">
      <c r="A70" s="18"/>
      <c r="B70" s="42" t="s">
        <v>106</v>
      </c>
      <c r="C70" s="42" t="s">
        <v>291</v>
      </c>
      <c r="D70" s="42" t="str">
        <f>IF(E70&gt;0,"B","S")</f>
        <v>B</v>
      </c>
      <c r="E70" s="44">
        <v>100</v>
      </c>
      <c r="F70" s="61">
        <v>4.3</v>
      </c>
      <c r="G70" s="61">
        <v>4.3099999999999996</v>
      </c>
      <c r="H70" s="65">
        <f>ROUND((G70-F70)*E70*IF(ISERROR(FIND(" ",B70)),1,100),0)</f>
        <v>1</v>
      </c>
      <c r="I70" s="44">
        <v>-3215</v>
      </c>
      <c r="J70" s="21"/>
      <c r="K70" s="21"/>
      <c r="L70" s="30" t="str">
        <v>AAPL</v>
      </c>
      <c r="M70" s="30" t="str">
        <v>BOB</v>
      </c>
      <c r="N70" s="30" t="str">
        <v>B</v>
      </c>
      <c r="O70" s="36">
        <v>100</v>
      </c>
      <c r="P70" s="35">
        <v>4.3</v>
      </c>
      <c r="Q70" s="35">
        <v>4.3099999999999996</v>
      </c>
      <c r="R70" s="66">
        <v>1</v>
      </c>
      <c r="S70" s="36">
        <v>-3215</v>
      </c>
      <c r="T70" s="21"/>
      <c r="U70" s="21"/>
      <c r="V70" s="79" t="s">
        <v>101</v>
      </c>
      <c r="W70" s="79" t="s">
        <v>293</v>
      </c>
      <c r="X70" s="21"/>
      <c r="Y70" s="21"/>
      <c r="Z70" s="21"/>
      <c r="AA70" s="21"/>
      <c r="AB70" s="21"/>
      <c r="AC70" s="20"/>
    </row>
    <row r="71" spans="1:29" x14ac:dyDescent="0.3">
      <c r="A71" s="18"/>
      <c r="B71" s="42" t="s">
        <v>107</v>
      </c>
      <c r="C71" s="42" t="s">
        <v>291</v>
      </c>
      <c r="D71" s="42" t="str">
        <f>IF(E71&gt;0,"B","S")</f>
        <v>B</v>
      </c>
      <c r="E71" s="44">
        <v>50</v>
      </c>
      <c r="F71" s="61">
        <v>2.65</v>
      </c>
      <c r="G71" s="61">
        <v>2.6</v>
      </c>
      <c r="H71" s="65">
        <f>ROUND((G71-F71)*E71*IF(ISERROR(FIND(" ",B71)),1,100),0)</f>
        <v>-2</v>
      </c>
      <c r="I71" s="44">
        <v>2879</v>
      </c>
      <c r="J71" s="21"/>
      <c r="K71" s="21"/>
      <c r="L71" s="30" t="str">
        <v>IBM</v>
      </c>
      <c r="M71" s="30" t="str">
        <v>BOB</v>
      </c>
      <c r="N71" s="30" t="str">
        <v>B</v>
      </c>
      <c r="O71" s="36">
        <v>50</v>
      </c>
      <c r="P71" s="35">
        <v>2.65</v>
      </c>
      <c r="Q71" s="35">
        <v>2.6</v>
      </c>
      <c r="R71" s="66">
        <v>-2</v>
      </c>
      <c r="S71" s="36">
        <v>2879</v>
      </c>
      <c r="T71" s="21"/>
      <c r="U71" s="21"/>
      <c r="V71" s="79"/>
      <c r="W71" s="42"/>
      <c r="X71" s="21"/>
      <c r="Y71" s="21"/>
      <c r="Z71" s="21"/>
      <c r="AA71" s="21"/>
      <c r="AB71" s="21"/>
      <c r="AC71" s="20"/>
    </row>
    <row r="72" spans="1:29" x14ac:dyDescent="0.3">
      <c r="A72" s="18"/>
      <c r="B72" s="42" t="s">
        <v>107</v>
      </c>
      <c r="C72" s="42" t="s">
        <v>292</v>
      </c>
      <c r="D72" s="42" t="str">
        <f>IF(E72&gt;0,"B","S")</f>
        <v>S</v>
      </c>
      <c r="E72" s="44">
        <v>-3000</v>
      </c>
      <c r="F72" s="61">
        <v>159.49</v>
      </c>
      <c r="G72" s="61">
        <v>159.37</v>
      </c>
      <c r="H72" s="65">
        <f>ROUND((G72-F72)*E72*IF(ISERROR(FIND(" ",B72)),1,100),0)</f>
        <v>360</v>
      </c>
      <c r="I72" s="44">
        <v>-3000</v>
      </c>
      <c r="J72" s="21"/>
      <c r="K72" s="21"/>
      <c r="L72" s="30" t="str">
        <v>IBM</v>
      </c>
      <c r="M72" s="30" t="str">
        <v>TOM</v>
      </c>
      <c r="N72" s="30" t="str">
        <v>S</v>
      </c>
      <c r="O72" s="36">
        <v>-3000</v>
      </c>
      <c r="P72" s="35">
        <v>159.49</v>
      </c>
      <c r="Q72" s="35">
        <v>159.37</v>
      </c>
      <c r="R72" s="66">
        <v>360</v>
      </c>
      <c r="S72" s="36">
        <v>-3000</v>
      </c>
      <c r="T72" s="21"/>
      <c r="U72" s="21"/>
      <c r="V72" s="79"/>
      <c r="W72" s="79"/>
      <c r="X72" s="21"/>
      <c r="Y72" s="21"/>
      <c r="Z72" s="21"/>
      <c r="AA72" s="21"/>
      <c r="AB72" s="21"/>
      <c r="AC72" s="20"/>
    </row>
    <row r="73" spans="1:29" x14ac:dyDescent="0.3">
      <c r="A73" s="18"/>
      <c r="B73" s="42" t="s">
        <v>107</v>
      </c>
      <c r="C73" s="42" t="s">
        <v>292</v>
      </c>
      <c r="D73" s="42" t="str">
        <f>IF(E73&gt;0,"B","S")</f>
        <v>S</v>
      </c>
      <c r="E73" s="44">
        <v>-100</v>
      </c>
      <c r="F73" s="61">
        <v>159.5</v>
      </c>
      <c r="G73" s="61">
        <v>159.37</v>
      </c>
      <c r="H73" s="65">
        <f>ROUND((G73-F73)*E73*IF(ISERROR(FIND(" ",B73)),1,100),0)</f>
        <v>13</v>
      </c>
      <c r="I73" s="44">
        <v>-3000</v>
      </c>
      <c r="J73" s="21"/>
      <c r="K73" s="21"/>
      <c r="L73" s="30" t="str">
        <v>IBM</v>
      </c>
      <c r="M73" s="30" t="str">
        <v>TOM</v>
      </c>
      <c r="N73" s="30" t="str">
        <v>S</v>
      </c>
      <c r="O73" s="36">
        <v>-100</v>
      </c>
      <c r="P73" s="35">
        <v>159.5</v>
      </c>
      <c r="Q73" s="35">
        <v>159.37</v>
      </c>
      <c r="R73" s="66">
        <v>13</v>
      </c>
      <c r="S73" s="36">
        <v>-3000</v>
      </c>
      <c r="T73" s="21"/>
      <c r="U73" s="21"/>
      <c r="V73" s="79"/>
      <c r="W73" s="79"/>
      <c r="X73" s="21"/>
      <c r="Y73" s="21"/>
      <c r="Z73" s="21"/>
      <c r="AA73" s="21"/>
      <c r="AB73" s="21"/>
      <c r="AC73" s="20"/>
    </row>
    <row r="74" spans="1:29" x14ac:dyDescent="0.3">
      <c r="A74" s="18"/>
      <c r="B74" s="42" t="s">
        <v>106</v>
      </c>
      <c r="C74" s="42" t="s">
        <v>291</v>
      </c>
      <c r="D74" s="42" t="str">
        <f>IF(E74&gt;0,"B","S")</f>
        <v>B</v>
      </c>
      <c r="E74" s="44">
        <v>1500</v>
      </c>
      <c r="F74" s="61">
        <v>142.02000000000001</v>
      </c>
      <c r="G74" s="61">
        <v>141.97</v>
      </c>
      <c r="H74" s="65">
        <f>ROUND((G74-F74)*E74*IF(ISERROR(FIND(" ",B74)),1,100),0)</f>
        <v>-75</v>
      </c>
      <c r="I74" s="44">
        <v>1500</v>
      </c>
      <c r="J74" s="21"/>
      <c r="K74" s="21"/>
      <c r="L74" s="30" t="str">
        <v>AAPL</v>
      </c>
      <c r="M74" s="30" t="str">
        <v>BOB</v>
      </c>
      <c r="N74" s="30" t="str">
        <v>B</v>
      </c>
      <c r="O74" s="36">
        <v>1500</v>
      </c>
      <c r="P74" s="35">
        <v>142.02000000000001</v>
      </c>
      <c r="Q74" s="35">
        <v>141.97</v>
      </c>
      <c r="R74" s="66">
        <v>-75</v>
      </c>
      <c r="S74" s="36">
        <v>1500</v>
      </c>
      <c r="T74" s="21"/>
      <c r="U74" s="21"/>
      <c r="V74" s="79"/>
      <c r="W74" s="79"/>
      <c r="X74" s="21"/>
      <c r="Y74" s="21"/>
      <c r="Z74" s="21"/>
      <c r="AA74" s="21"/>
      <c r="AB74" s="21"/>
      <c r="AC74" s="20"/>
    </row>
    <row r="75" spans="1:29" x14ac:dyDescent="0.3">
      <c r="A75" s="18"/>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0"/>
    </row>
    <row r="76" spans="1:29" x14ac:dyDescent="0.3">
      <c r="A76" s="18"/>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0"/>
    </row>
    <row r="77" spans="1:29" x14ac:dyDescent="0.3">
      <c r="A77" s="18"/>
      <c r="B77" s="21"/>
      <c r="C77" s="21"/>
      <c r="D77" s="21"/>
      <c r="E77" s="21"/>
      <c r="F77" s="21"/>
      <c r="G77" s="21"/>
      <c r="H77" s="21"/>
      <c r="I77" s="21"/>
      <c r="J77" s="21"/>
      <c r="K77" s="21"/>
      <c r="L77" s="492" t="s">
        <v>3397</v>
      </c>
      <c r="M77" s="529"/>
      <c r="N77" s="529"/>
      <c r="O77" s="529"/>
      <c r="P77" s="529"/>
      <c r="Q77" s="529"/>
      <c r="R77" s="529"/>
      <c r="S77" s="493"/>
      <c r="T77" s="21"/>
      <c r="U77" s="21"/>
      <c r="V77" s="475" t="s">
        <v>125</v>
      </c>
      <c r="W77" s="475"/>
      <c r="X77" s="475"/>
      <c r="Y77" s="21"/>
      <c r="Z77" s="21"/>
      <c r="AA77" s="21"/>
      <c r="AB77" s="21"/>
      <c r="AC77" s="20"/>
    </row>
    <row r="78" spans="1:29" x14ac:dyDescent="0.3">
      <c r="A78" s="18"/>
      <c r="B78" s="21"/>
      <c r="C78" s="21"/>
      <c r="D78" s="21"/>
      <c r="E78" s="21"/>
      <c r="F78" s="21"/>
      <c r="G78" s="21"/>
      <c r="H78" s="21"/>
      <c r="I78" s="21"/>
      <c r="J78" s="21"/>
      <c r="K78" s="21"/>
      <c r="L78" s="3" t="str">
        <f t="array" ref="L78:S83">_xll.U.VFILTER(B69:I74,V78:X83)</f>
        <v>Symbol</v>
      </c>
      <c r="M78" s="3" t="str">
        <v>Broker</v>
      </c>
      <c r="N78" s="3" t="str">
        <v>Side</v>
      </c>
      <c r="O78" s="3" t="str">
        <v>Quantity</v>
      </c>
      <c r="P78" s="3" t="str">
        <v>Trade Price</v>
      </c>
      <c r="Q78" s="3" t="str">
        <v>Current Price</v>
      </c>
      <c r="R78" s="3" t="str">
        <v>P&amp;L</v>
      </c>
      <c r="S78" s="3" t="str">
        <v>Current Delta</v>
      </c>
      <c r="T78" s="21"/>
      <c r="U78" s="21"/>
      <c r="V78" s="116" t="s">
        <v>126</v>
      </c>
      <c r="W78" s="116" t="s">
        <v>17</v>
      </c>
      <c r="X78" s="116" t="s">
        <v>294</v>
      </c>
      <c r="Y78" s="21"/>
      <c r="Z78" s="21"/>
      <c r="AA78" s="21"/>
      <c r="AB78" s="21"/>
      <c r="AC78" s="20"/>
    </row>
    <row r="79" spans="1:29" x14ac:dyDescent="0.3">
      <c r="A79" s="18"/>
      <c r="B79" s="21"/>
      <c r="C79" s="21"/>
      <c r="D79" s="21"/>
      <c r="E79" s="21"/>
      <c r="F79" s="21"/>
      <c r="G79" s="21"/>
      <c r="H79" s="21"/>
      <c r="I79" s="21"/>
      <c r="J79" s="21"/>
      <c r="K79" s="21"/>
      <c r="L79" s="30" t="str">
        <v>AAPL</v>
      </c>
      <c r="M79" s="30" t="str">
        <v>BOB</v>
      </c>
      <c r="N79" s="30" t="str">
        <v>B</v>
      </c>
      <c r="O79" s="36">
        <v>100</v>
      </c>
      <c r="P79" s="35">
        <v>4.3</v>
      </c>
      <c r="Q79" s="35">
        <v>4.3099999999999996</v>
      </c>
      <c r="R79" s="66">
        <v>1</v>
      </c>
      <c r="S79" s="36">
        <v>-3215</v>
      </c>
      <c r="T79" s="21"/>
      <c r="U79" s="21"/>
      <c r="V79" s="79" t="s">
        <v>101</v>
      </c>
      <c r="W79" s="79" t="s">
        <v>293</v>
      </c>
      <c r="X79" s="79" t="b">
        <v>1</v>
      </c>
      <c r="Y79" s="21"/>
      <c r="Z79" s="21"/>
      <c r="AA79" s="21"/>
      <c r="AB79" s="21"/>
      <c r="AC79" s="20"/>
    </row>
    <row r="80" spans="1:29" x14ac:dyDescent="0.3">
      <c r="A80" s="18"/>
      <c r="B80" s="21"/>
      <c r="C80" s="21"/>
      <c r="D80" s="21"/>
      <c r="E80" s="21"/>
      <c r="F80" s="21"/>
      <c r="G80" s="21"/>
      <c r="H80" s="21"/>
      <c r="I80" s="21"/>
      <c r="J80" s="21"/>
      <c r="K80" s="21"/>
      <c r="L80" s="30" t="str">
        <v>IBM</v>
      </c>
      <c r="M80" s="30" t="str">
        <v>BOB</v>
      </c>
      <c r="N80" s="30" t="str">
        <v>B</v>
      </c>
      <c r="O80" s="36">
        <v>50</v>
      </c>
      <c r="P80" s="35">
        <v>2.65</v>
      </c>
      <c r="Q80" s="35">
        <v>2.6</v>
      </c>
      <c r="R80" s="66">
        <v>-2</v>
      </c>
      <c r="S80" s="36">
        <v>2879</v>
      </c>
      <c r="T80" s="21"/>
      <c r="U80" s="21"/>
      <c r="V80" s="79"/>
      <c r="W80" s="42"/>
      <c r="X80" s="42"/>
      <c r="Y80" s="21"/>
      <c r="Z80" s="21"/>
      <c r="AA80" s="21"/>
      <c r="AB80" s="21"/>
      <c r="AC80" s="20"/>
    </row>
    <row r="81" spans="1:29" x14ac:dyDescent="0.3">
      <c r="A81" s="18"/>
      <c r="B81" s="21"/>
      <c r="C81" s="21"/>
      <c r="D81" s="21"/>
      <c r="E81" s="21"/>
      <c r="F81" s="21"/>
      <c r="G81" s="21"/>
      <c r="H81" s="21"/>
      <c r="I81" s="21"/>
      <c r="J81" s="21"/>
      <c r="K81" s="21"/>
      <c r="L81" s="30" t="str">
        <v>AAPL</v>
      </c>
      <c r="M81" s="30" t="str">
        <v>BOB</v>
      </c>
      <c r="N81" s="30" t="str">
        <v>B</v>
      </c>
      <c r="O81" s="36">
        <v>1500</v>
      </c>
      <c r="P81" s="35">
        <v>142.02000000000001</v>
      </c>
      <c r="Q81" s="35">
        <v>141.97</v>
      </c>
      <c r="R81" s="66">
        <v>-75</v>
      </c>
      <c r="S81" s="36">
        <v>1500</v>
      </c>
      <c r="T81" s="21"/>
      <c r="U81" s="21"/>
      <c r="V81" s="79"/>
      <c r="W81" s="79"/>
      <c r="X81" s="42"/>
      <c r="Y81" s="21"/>
      <c r="Z81" s="21"/>
      <c r="AA81" s="21"/>
      <c r="AB81" s="21"/>
      <c r="AC81" s="20"/>
    </row>
    <row r="82" spans="1:29" x14ac:dyDescent="0.3">
      <c r="A82" s="18"/>
      <c r="B82" s="21"/>
      <c r="C82" s="21"/>
      <c r="D82" s="21"/>
      <c r="E82" s="21"/>
      <c r="F82" s="21"/>
      <c r="G82" s="21"/>
      <c r="H82" s="21"/>
      <c r="I82" s="21"/>
      <c r="J82" s="21"/>
      <c r="K82" s="21"/>
      <c r="L82" s="30" t="e">
        <v>#N/A</v>
      </c>
      <c r="M82" s="30" t="e">
        <v>#N/A</v>
      </c>
      <c r="N82" s="30" t="e">
        <v>#N/A</v>
      </c>
      <c r="O82" s="36" t="e">
        <v>#N/A</v>
      </c>
      <c r="P82" s="35" t="e">
        <v>#N/A</v>
      </c>
      <c r="Q82" s="35" t="e">
        <v>#N/A</v>
      </c>
      <c r="R82" s="66" t="e">
        <v>#N/A</v>
      </c>
      <c r="S82" s="36" t="e">
        <v>#N/A</v>
      </c>
      <c r="T82" s="21"/>
      <c r="U82" s="21"/>
      <c r="V82" s="79"/>
      <c r="W82" s="79"/>
      <c r="X82" s="42"/>
      <c r="Y82" s="21"/>
      <c r="Z82" s="21"/>
      <c r="AA82" s="21"/>
      <c r="AB82" s="21"/>
      <c r="AC82" s="20"/>
    </row>
    <row r="83" spans="1:29" x14ac:dyDescent="0.3">
      <c r="A83" s="18"/>
      <c r="B83" s="21"/>
      <c r="C83" s="21"/>
      <c r="D83" s="21"/>
      <c r="E83" s="21"/>
      <c r="F83" s="21"/>
      <c r="G83" s="21"/>
      <c r="H83" s="21"/>
      <c r="I83" s="21"/>
      <c r="J83" s="21"/>
      <c r="K83" s="21"/>
      <c r="L83" s="30" t="e">
        <v>#N/A</v>
      </c>
      <c r="M83" s="30" t="e">
        <v>#N/A</v>
      </c>
      <c r="N83" s="30" t="e">
        <v>#N/A</v>
      </c>
      <c r="O83" s="36" t="e">
        <v>#N/A</v>
      </c>
      <c r="P83" s="35" t="e">
        <v>#N/A</v>
      </c>
      <c r="Q83" s="35" t="e">
        <v>#N/A</v>
      </c>
      <c r="R83" s="66" t="e">
        <v>#N/A</v>
      </c>
      <c r="S83" s="36" t="e">
        <v>#N/A</v>
      </c>
      <c r="T83" s="21"/>
      <c r="U83" s="21"/>
      <c r="V83" s="79"/>
      <c r="W83" s="79"/>
      <c r="X83" s="42"/>
      <c r="Y83" s="21"/>
      <c r="Z83" s="21"/>
      <c r="AA83" s="21"/>
      <c r="AB83" s="21"/>
      <c r="AC83" s="20"/>
    </row>
    <row r="84" spans="1:29" x14ac:dyDescent="0.3">
      <c r="A84" s="18"/>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0"/>
    </row>
    <row r="85" spans="1:29" x14ac:dyDescent="0.3">
      <c r="A85" s="18"/>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0"/>
    </row>
    <row r="86" spans="1:29" x14ac:dyDescent="0.3">
      <c r="A86" s="18"/>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0"/>
    </row>
    <row r="87" spans="1:29" x14ac:dyDescent="0.3">
      <c r="A87" s="18"/>
      <c r="B87" s="21"/>
      <c r="C87" s="21"/>
      <c r="D87" s="21"/>
      <c r="E87" s="21"/>
      <c r="F87" s="21"/>
      <c r="G87" s="21"/>
      <c r="H87" s="21"/>
      <c r="I87" s="21"/>
      <c r="J87" s="21"/>
      <c r="K87" s="21"/>
      <c r="L87" s="67"/>
      <c r="M87" s="67"/>
      <c r="N87" s="67"/>
      <c r="O87" s="67"/>
      <c r="P87" s="67"/>
      <c r="Q87" s="67"/>
      <c r="R87" s="67"/>
      <c r="S87" s="67"/>
      <c r="T87" s="67"/>
      <c r="U87" s="67"/>
      <c r="V87" s="67"/>
      <c r="W87" s="67"/>
      <c r="X87" s="67"/>
      <c r="Y87" s="67"/>
      <c r="Z87" s="67"/>
      <c r="AA87" s="67"/>
      <c r="AB87" s="21"/>
      <c r="AC87" s="20"/>
    </row>
    <row r="88" spans="1:29" x14ac:dyDescent="0.3">
      <c r="A88" s="18"/>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0"/>
    </row>
    <row r="89" spans="1:29" x14ac:dyDescent="0.3">
      <c r="A89" s="18"/>
      <c r="B89" s="21"/>
      <c r="C89" s="21"/>
      <c r="D89" s="21"/>
      <c r="E89" s="21"/>
      <c r="F89" s="21"/>
      <c r="G89" s="21"/>
      <c r="H89" s="21"/>
      <c r="I89" s="21"/>
      <c r="J89" s="21"/>
      <c r="K89" s="21"/>
      <c r="L89" s="492" t="s">
        <v>3397</v>
      </c>
      <c r="M89" s="529"/>
      <c r="N89" s="529"/>
      <c r="O89" s="529"/>
      <c r="P89" s="529"/>
      <c r="Q89" s="529"/>
      <c r="R89" s="529"/>
      <c r="S89" s="493"/>
      <c r="T89" s="21"/>
      <c r="U89" s="21"/>
      <c r="V89" s="492" t="s">
        <v>125</v>
      </c>
      <c r="W89" s="529"/>
      <c r="X89" s="493"/>
      <c r="Y89" s="21"/>
      <c r="Z89" s="21"/>
      <c r="AA89" s="21"/>
      <c r="AB89" s="21"/>
      <c r="AC89" s="20"/>
    </row>
    <row r="90" spans="1:29" x14ac:dyDescent="0.3">
      <c r="A90" s="18"/>
      <c r="B90" s="21"/>
      <c r="C90" s="21"/>
      <c r="D90" s="21"/>
      <c r="E90" s="21"/>
      <c r="F90" s="21"/>
      <c r="G90" s="21"/>
      <c r="H90" s="21"/>
      <c r="I90" s="21"/>
      <c r="J90" s="21"/>
      <c r="K90" s="21"/>
      <c r="L90" s="3" t="str">
        <f t="array" ref="L90:S97">_xll.U.VFILTER(B7:I20,V91:V95,,,W91:W95,X91:X95)</f>
        <v>Symbol</v>
      </c>
      <c r="M90" s="3" t="str">
        <v>Broker</v>
      </c>
      <c r="N90" s="3" t="str">
        <v>Side</v>
      </c>
      <c r="O90" s="3" t="str">
        <v>Quantity</v>
      </c>
      <c r="P90" s="3" t="str">
        <v>Trade Price</v>
      </c>
      <c r="Q90" s="3" t="str">
        <v>Current Price</v>
      </c>
      <c r="R90" s="3" t="str">
        <v>P&amp;L</v>
      </c>
      <c r="S90" s="3" t="str">
        <v>Current Delta</v>
      </c>
      <c r="T90" s="21"/>
      <c r="U90" s="21"/>
      <c r="V90" s="9" t="s">
        <v>126</v>
      </c>
      <c r="W90" s="9" t="s">
        <v>219</v>
      </c>
      <c r="X90" s="9" t="s">
        <v>220</v>
      </c>
      <c r="Y90" s="21"/>
      <c r="Z90" s="21"/>
      <c r="AA90" s="21"/>
      <c r="AB90" s="21"/>
      <c r="AC90" s="20"/>
    </row>
    <row r="91" spans="1:29" x14ac:dyDescent="0.3">
      <c r="A91" s="18"/>
      <c r="B91" s="21"/>
      <c r="C91" s="21"/>
      <c r="D91" s="21"/>
      <c r="E91" s="21"/>
      <c r="F91" s="21"/>
      <c r="G91" s="21"/>
      <c r="H91" s="21"/>
      <c r="I91" s="21"/>
      <c r="J91" s="21"/>
      <c r="K91" s="21"/>
      <c r="L91" s="30" t="str">
        <v>AAPL Jun17 140P</v>
      </c>
      <c r="M91" s="30" t="str">
        <v>BROKER_B</v>
      </c>
      <c r="N91" s="30" t="str">
        <v>B</v>
      </c>
      <c r="O91" s="36">
        <v>100</v>
      </c>
      <c r="P91" s="35">
        <v>4.3</v>
      </c>
      <c r="Q91" s="35">
        <v>4.3099999999999996</v>
      </c>
      <c r="R91" s="66">
        <v>100</v>
      </c>
      <c r="S91" s="36">
        <v>-3215</v>
      </c>
      <c r="T91" s="21"/>
      <c r="U91" s="21"/>
      <c r="V91" s="79" t="s">
        <v>2</v>
      </c>
      <c r="W91" s="79" t="s">
        <v>106</v>
      </c>
      <c r="X91" s="79" t="s">
        <v>113</v>
      </c>
      <c r="Y91" s="21"/>
      <c r="Z91" s="21"/>
      <c r="AA91" s="21"/>
      <c r="AB91" s="21"/>
      <c r="AC91" s="20"/>
    </row>
    <row r="92" spans="1:29" x14ac:dyDescent="0.3">
      <c r="A92" s="18"/>
      <c r="B92" s="21"/>
      <c r="C92" s="21"/>
      <c r="D92" s="21"/>
      <c r="E92" s="21"/>
      <c r="F92" s="21"/>
      <c r="G92" s="21"/>
      <c r="H92" s="21"/>
      <c r="I92" s="21"/>
      <c r="J92" s="21"/>
      <c r="K92" s="21"/>
      <c r="L92" s="30" t="str">
        <v>AAPL</v>
      </c>
      <c r="M92" s="30" t="str">
        <v>BROKER_B</v>
      </c>
      <c r="N92" s="30" t="str">
        <v>B</v>
      </c>
      <c r="O92" s="36">
        <v>1500</v>
      </c>
      <c r="P92" s="35">
        <v>142.02000000000001</v>
      </c>
      <c r="Q92" s="35">
        <v>141.97</v>
      </c>
      <c r="R92" s="66">
        <v>-75</v>
      </c>
      <c r="S92" s="36">
        <v>1500</v>
      </c>
      <c r="T92" s="21"/>
      <c r="U92" s="21"/>
      <c r="V92" s="79" t="s">
        <v>101</v>
      </c>
      <c r="W92" s="42" t="s">
        <v>112</v>
      </c>
      <c r="X92" s="79"/>
      <c r="Y92" s="21"/>
      <c r="Z92" s="21"/>
      <c r="AA92" s="21"/>
      <c r="AB92" s="21"/>
      <c r="AC92" s="20"/>
    </row>
    <row r="93" spans="1:29" x14ac:dyDescent="0.3">
      <c r="A93" s="18"/>
      <c r="B93" s="21"/>
      <c r="C93" s="21"/>
      <c r="D93" s="21"/>
      <c r="E93" s="21"/>
      <c r="F93" s="21"/>
      <c r="G93" s="21"/>
      <c r="H93" s="21"/>
      <c r="I93" s="21"/>
      <c r="J93" s="21"/>
      <c r="K93" s="21"/>
      <c r="L93" s="30" t="str">
        <v>AAPL</v>
      </c>
      <c r="M93" s="30" t="str">
        <v>BROKER_B</v>
      </c>
      <c r="N93" s="30" t="str">
        <v>B</v>
      </c>
      <c r="O93" s="36">
        <v>100</v>
      </c>
      <c r="P93" s="35">
        <v>142.02000000000001</v>
      </c>
      <c r="Q93" s="35">
        <v>141.97</v>
      </c>
      <c r="R93" s="66">
        <v>-5</v>
      </c>
      <c r="S93" s="36">
        <v>100</v>
      </c>
      <c r="T93" s="21"/>
      <c r="U93" s="21"/>
      <c r="V93" s="79"/>
      <c r="W93" s="79"/>
      <c r="X93" s="79"/>
      <c r="Y93" s="21"/>
      <c r="Z93" s="21"/>
      <c r="AA93" s="21"/>
      <c r="AB93" s="21"/>
      <c r="AC93" s="20"/>
    </row>
    <row r="94" spans="1:29" x14ac:dyDescent="0.3">
      <c r="A94" s="18"/>
      <c r="B94" s="21"/>
      <c r="C94" s="21"/>
      <c r="D94" s="21"/>
      <c r="E94" s="21"/>
      <c r="F94" s="21"/>
      <c r="G94" s="21"/>
      <c r="H94" s="21"/>
      <c r="I94" s="21"/>
      <c r="J94" s="21"/>
      <c r="K94" s="21"/>
      <c r="L94" s="30" t="str">
        <v>AAPL</v>
      </c>
      <c r="M94" s="30" t="str">
        <v>BROKER_B</v>
      </c>
      <c r="N94" s="30" t="str">
        <v>B</v>
      </c>
      <c r="O94" s="36">
        <v>300</v>
      </c>
      <c r="P94" s="35">
        <v>142.02000000000001</v>
      </c>
      <c r="Q94" s="35">
        <v>141.97</v>
      </c>
      <c r="R94" s="66">
        <v>-15</v>
      </c>
      <c r="S94" s="36">
        <v>300</v>
      </c>
      <c r="T94" s="21"/>
      <c r="U94" s="21"/>
      <c r="V94" s="79"/>
      <c r="W94" s="79"/>
      <c r="X94" s="79"/>
      <c r="Y94" s="21"/>
      <c r="Z94" s="21"/>
      <c r="AA94" s="21"/>
      <c r="AB94" s="21"/>
      <c r="AC94" s="20"/>
    </row>
    <row r="95" spans="1:29" x14ac:dyDescent="0.3">
      <c r="A95" s="18"/>
      <c r="B95" s="21"/>
      <c r="C95" s="21"/>
      <c r="D95" s="21"/>
      <c r="E95" s="21"/>
      <c r="F95" s="21"/>
      <c r="G95" s="21"/>
      <c r="H95" s="21"/>
      <c r="I95" s="21"/>
      <c r="J95" s="21"/>
      <c r="K95" s="21"/>
      <c r="L95" s="30" t="str">
        <v>AAPL</v>
      </c>
      <c r="M95" s="30" t="str">
        <v>BROKER_B</v>
      </c>
      <c r="N95" s="30" t="str">
        <v>B</v>
      </c>
      <c r="O95" s="36">
        <v>600</v>
      </c>
      <c r="P95" s="35">
        <v>142.02000000000001</v>
      </c>
      <c r="Q95" s="35">
        <v>141.97</v>
      </c>
      <c r="R95" s="66">
        <v>-30</v>
      </c>
      <c r="S95" s="36">
        <v>600</v>
      </c>
      <c r="T95" s="21"/>
      <c r="U95" s="21"/>
      <c r="V95" s="79"/>
      <c r="W95" s="79"/>
      <c r="X95" s="79"/>
      <c r="Y95" s="21"/>
      <c r="Z95" s="21"/>
      <c r="AA95" s="21"/>
      <c r="AB95" s="21"/>
      <c r="AC95" s="20"/>
    </row>
    <row r="96" spans="1:29" x14ac:dyDescent="0.3">
      <c r="A96" s="18"/>
      <c r="B96" s="21"/>
      <c r="C96" s="21"/>
      <c r="D96" s="21"/>
      <c r="E96" s="21"/>
      <c r="F96" s="21"/>
      <c r="G96" s="21"/>
      <c r="H96" s="21"/>
      <c r="I96" s="21"/>
      <c r="J96" s="21"/>
      <c r="K96" s="21"/>
      <c r="L96" s="30" t="str">
        <v>AAPL</v>
      </c>
      <c r="M96" s="30" t="str">
        <v>BROKER_B</v>
      </c>
      <c r="N96" s="30" t="str">
        <v>B</v>
      </c>
      <c r="O96" s="36">
        <v>700</v>
      </c>
      <c r="P96" s="35">
        <v>141.97999999999999</v>
      </c>
      <c r="Q96" s="35">
        <v>141.97</v>
      </c>
      <c r="R96" s="66">
        <v>-7</v>
      </c>
      <c r="S96" s="36">
        <v>600</v>
      </c>
      <c r="T96" s="21"/>
      <c r="U96" s="21"/>
      <c r="V96" s="21"/>
      <c r="W96" s="21"/>
      <c r="X96" s="21"/>
      <c r="Y96" s="21"/>
      <c r="Z96" s="21"/>
      <c r="AA96" s="21"/>
      <c r="AB96" s="21"/>
      <c r="AC96" s="20"/>
    </row>
    <row r="97" spans="1:29" x14ac:dyDescent="0.3">
      <c r="A97" s="18"/>
      <c r="B97" s="21"/>
      <c r="C97" s="21"/>
      <c r="D97" s="21"/>
      <c r="E97" s="21"/>
      <c r="F97" s="21"/>
      <c r="G97" s="21"/>
      <c r="H97" s="21"/>
      <c r="I97" s="21"/>
      <c r="J97" s="21"/>
      <c r="K97" s="21"/>
      <c r="L97" s="30" t="e">
        <v>#N/A</v>
      </c>
      <c r="M97" s="30" t="e">
        <v>#N/A</v>
      </c>
      <c r="N97" s="30" t="e">
        <v>#N/A</v>
      </c>
      <c r="O97" s="36" t="e">
        <v>#N/A</v>
      </c>
      <c r="P97" s="35" t="e">
        <v>#N/A</v>
      </c>
      <c r="Q97" s="35" t="e">
        <v>#N/A</v>
      </c>
      <c r="R97" s="66" t="e">
        <v>#N/A</v>
      </c>
      <c r="S97" s="36" t="e">
        <v>#N/A</v>
      </c>
      <c r="T97" s="21"/>
      <c r="U97" s="21"/>
      <c r="V97" s="21"/>
      <c r="W97" s="21"/>
      <c r="X97" s="21"/>
      <c r="Y97" s="21"/>
      <c r="Z97" s="21"/>
      <c r="AA97" s="21"/>
      <c r="AB97" s="21"/>
      <c r="AC97" s="20"/>
    </row>
    <row r="98" spans="1:29" x14ac:dyDescent="0.3">
      <c r="A98" s="18"/>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0"/>
    </row>
    <row r="99" spans="1:29" x14ac:dyDescent="0.3">
      <c r="A99" s="18"/>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0"/>
    </row>
    <row r="100" spans="1:29" x14ac:dyDescent="0.3">
      <c r="A100" s="18"/>
      <c r="B100" s="21"/>
      <c r="C100" s="21"/>
      <c r="D100" s="21"/>
      <c r="E100" s="21"/>
      <c r="F100" s="21"/>
      <c r="G100" s="21"/>
      <c r="H100" s="21"/>
      <c r="I100" s="21"/>
      <c r="J100" s="21"/>
      <c r="K100" s="21"/>
      <c r="L100" s="492" t="s">
        <v>3397</v>
      </c>
      <c r="M100" s="529"/>
      <c r="N100" s="529"/>
      <c r="O100" s="529"/>
      <c r="P100" s="529"/>
      <c r="Q100" s="529"/>
      <c r="R100" s="529"/>
      <c r="S100" s="493"/>
      <c r="T100" s="21"/>
      <c r="U100" s="21"/>
      <c r="V100" s="492" t="s">
        <v>125</v>
      </c>
      <c r="W100" s="529"/>
      <c r="X100" s="493"/>
      <c r="Y100" s="21"/>
      <c r="Z100" s="21"/>
      <c r="AA100" s="21"/>
      <c r="AB100" s="21"/>
      <c r="AC100" s="20"/>
    </row>
    <row r="101" spans="1:29" x14ac:dyDescent="0.3">
      <c r="A101" s="18"/>
      <c r="B101" s="21"/>
      <c r="C101" s="21"/>
      <c r="D101" s="21"/>
      <c r="E101" s="21"/>
      <c r="F101" s="21"/>
      <c r="G101" s="21"/>
      <c r="H101" s="21"/>
      <c r="I101" s="21"/>
      <c r="J101" s="21"/>
      <c r="K101" s="21"/>
      <c r="L101" s="3" t="str">
        <f t="array" ref="L101:S108">_xll.U.VFILTER(B7:I20,V102:W106,,,X102:X106)</f>
        <v>Symbol</v>
      </c>
      <c r="M101" s="3" t="str">
        <v>Broker</v>
      </c>
      <c r="N101" s="3" t="str">
        <v>Side</v>
      </c>
      <c r="O101" s="3" t="str">
        <v>Quantity</v>
      </c>
      <c r="P101" s="3" t="str">
        <v>Trade Price</v>
      </c>
      <c r="Q101" s="3" t="str">
        <v>Current Price</v>
      </c>
      <c r="R101" s="3" t="str">
        <v>P&amp;L</v>
      </c>
      <c r="S101" s="3" t="str">
        <v>Current Delta</v>
      </c>
      <c r="T101" s="21"/>
      <c r="U101" s="21"/>
      <c r="V101" s="9" t="s">
        <v>126</v>
      </c>
      <c r="W101" s="9" t="s">
        <v>17</v>
      </c>
      <c r="X101" s="9" t="s">
        <v>222</v>
      </c>
      <c r="Y101" s="21"/>
      <c r="Z101" s="21"/>
      <c r="AA101" s="21"/>
      <c r="AB101" s="21"/>
      <c r="AC101" s="20"/>
    </row>
    <row r="102" spans="1:29" x14ac:dyDescent="0.3">
      <c r="A102" s="18"/>
      <c r="B102" s="21"/>
      <c r="C102" s="21"/>
      <c r="D102" s="21"/>
      <c r="E102" s="21"/>
      <c r="F102" s="21"/>
      <c r="G102" s="21"/>
      <c r="H102" s="21"/>
      <c r="I102" s="21"/>
      <c r="J102" s="21"/>
      <c r="K102" s="21"/>
      <c r="L102" s="30" t="str">
        <v>AAPL Jun17 140P</v>
      </c>
      <c r="M102" s="30" t="str">
        <v>BROKER_B</v>
      </c>
      <c r="N102" s="30" t="str">
        <v>B</v>
      </c>
      <c r="O102" s="36">
        <v>100</v>
      </c>
      <c r="P102" s="35">
        <v>4.3</v>
      </c>
      <c r="Q102" s="35">
        <v>4.3099999999999996</v>
      </c>
      <c r="R102" s="66">
        <v>100</v>
      </c>
      <c r="S102" s="36">
        <v>-3215</v>
      </c>
      <c r="T102" s="21"/>
      <c r="U102" s="21"/>
      <c r="V102" s="79" t="s">
        <v>101</v>
      </c>
      <c r="W102" s="79" t="s">
        <v>113</v>
      </c>
      <c r="X102" s="79" t="s">
        <v>106</v>
      </c>
      <c r="Y102" s="21"/>
      <c r="Z102" s="21"/>
      <c r="AA102" s="21"/>
      <c r="AB102" s="21"/>
      <c r="AC102" s="20"/>
    </row>
    <row r="103" spans="1:29" x14ac:dyDescent="0.3">
      <c r="A103" s="18"/>
      <c r="B103" s="21"/>
      <c r="C103" s="21"/>
      <c r="D103" s="21"/>
      <c r="E103" s="21"/>
      <c r="F103" s="21"/>
      <c r="G103" s="21"/>
      <c r="H103" s="21"/>
      <c r="I103" s="21"/>
      <c r="J103" s="21"/>
      <c r="K103" s="21"/>
      <c r="L103" s="30" t="str">
        <v>AAPL</v>
      </c>
      <c r="M103" s="30" t="str">
        <v>BROKER_B</v>
      </c>
      <c r="N103" s="30" t="str">
        <v>B</v>
      </c>
      <c r="O103" s="36">
        <v>1500</v>
      </c>
      <c r="P103" s="35">
        <v>142.02000000000001</v>
      </c>
      <c r="Q103" s="35">
        <v>141.97</v>
      </c>
      <c r="R103" s="66">
        <v>-75</v>
      </c>
      <c r="S103" s="36">
        <v>1500</v>
      </c>
      <c r="T103" s="21"/>
      <c r="U103" s="21"/>
      <c r="V103" s="79" t="s">
        <v>2</v>
      </c>
      <c r="W103" s="79" t="s">
        <v>221</v>
      </c>
      <c r="X103" s="42" t="s">
        <v>112</v>
      </c>
      <c r="Y103" s="21"/>
      <c r="Z103" s="21"/>
      <c r="AA103" s="21"/>
      <c r="AB103" s="21"/>
      <c r="AC103" s="20"/>
    </row>
    <row r="104" spans="1:29" x14ac:dyDescent="0.3">
      <c r="A104" s="18"/>
      <c r="B104" s="21"/>
      <c r="C104" s="21"/>
      <c r="D104" s="21"/>
      <c r="E104" s="21"/>
      <c r="F104" s="21"/>
      <c r="G104" s="21"/>
      <c r="H104" s="21"/>
      <c r="I104" s="21"/>
      <c r="J104" s="21"/>
      <c r="K104" s="21"/>
      <c r="L104" s="30" t="str">
        <v>AAPL</v>
      </c>
      <c r="M104" s="30" t="str">
        <v>BROKER_B</v>
      </c>
      <c r="N104" s="30" t="str">
        <v>B</v>
      </c>
      <c r="O104" s="36">
        <v>100</v>
      </c>
      <c r="P104" s="35">
        <v>142.02000000000001</v>
      </c>
      <c r="Q104" s="35">
        <v>141.97</v>
      </c>
      <c r="R104" s="66">
        <v>-5</v>
      </c>
      <c r="S104" s="36">
        <v>100</v>
      </c>
      <c r="T104" s="21"/>
      <c r="U104" s="21"/>
      <c r="V104" s="79"/>
      <c r="W104" s="79"/>
      <c r="X104" s="79"/>
      <c r="Y104" s="21"/>
      <c r="Z104" s="21"/>
      <c r="AA104" s="21"/>
      <c r="AB104" s="21"/>
      <c r="AC104" s="20"/>
    </row>
    <row r="105" spans="1:29" x14ac:dyDescent="0.3">
      <c r="A105" s="18"/>
      <c r="B105" s="21"/>
      <c r="C105" s="21"/>
      <c r="D105" s="21"/>
      <c r="E105" s="21"/>
      <c r="F105" s="21"/>
      <c r="G105" s="21"/>
      <c r="H105" s="21"/>
      <c r="I105" s="21"/>
      <c r="J105" s="21"/>
      <c r="K105" s="21"/>
      <c r="L105" s="30" t="str">
        <v>AAPL</v>
      </c>
      <c r="M105" s="30" t="str">
        <v>BROKER_B</v>
      </c>
      <c r="N105" s="30" t="str">
        <v>B</v>
      </c>
      <c r="O105" s="36">
        <v>300</v>
      </c>
      <c r="P105" s="35">
        <v>142.02000000000001</v>
      </c>
      <c r="Q105" s="35">
        <v>141.97</v>
      </c>
      <c r="R105" s="66">
        <v>-15</v>
      </c>
      <c r="S105" s="36">
        <v>300</v>
      </c>
      <c r="T105" s="21"/>
      <c r="U105" s="21"/>
      <c r="V105" s="79"/>
      <c r="W105" s="79"/>
      <c r="X105" s="79"/>
      <c r="Y105" s="21"/>
      <c r="Z105" s="21"/>
      <c r="AA105" s="21"/>
      <c r="AB105" s="21"/>
      <c r="AC105" s="20"/>
    </row>
    <row r="106" spans="1:29" x14ac:dyDescent="0.3">
      <c r="A106" s="18"/>
      <c r="B106" s="21"/>
      <c r="C106" s="21"/>
      <c r="D106" s="21"/>
      <c r="E106" s="21"/>
      <c r="F106" s="21"/>
      <c r="G106" s="21"/>
      <c r="H106" s="21"/>
      <c r="I106" s="21"/>
      <c r="J106" s="21"/>
      <c r="K106" s="21"/>
      <c r="L106" s="30" t="str">
        <v>AAPL</v>
      </c>
      <c r="M106" s="30" t="str">
        <v>BROKER_B</v>
      </c>
      <c r="N106" s="30" t="str">
        <v>B</v>
      </c>
      <c r="O106" s="36">
        <v>600</v>
      </c>
      <c r="P106" s="35">
        <v>142.02000000000001</v>
      </c>
      <c r="Q106" s="35">
        <v>141.97</v>
      </c>
      <c r="R106" s="66">
        <v>-30</v>
      </c>
      <c r="S106" s="36">
        <v>600</v>
      </c>
      <c r="T106" s="21"/>
      <c r="U106" s="21"/>
      <c r="V106" s="79"/>
      <c r="W106" s="79"/>
      <c r="X106" s="79"/>
      <c r="Y106" s="21"/>
      <c r="Z106" s="21"/>
      <c r="AA106" s="21"/>
      <c r="AB106" s="21"/>
      <c r="AC106" s="20"/>
    </row>
    <row r="107" spans="1:29" x14ac:dyDescent="0.3">
      <c r="A107" s="18"/>
      <c r="B107" s="21"/>
      <c r="C107" s="21"/>
      <c r="D107" s="21"/>
      <c r="E107" s="21"/>
      <c r="F107" s="21"/>
      <c r="G107" s="21"/>
      <c r="H107" s="21"/>
      <c r="I107" s="21"/>
      <c r="J107" s="21"/>
      <c r="K107" s="21"/>
      <c r="L107" s="30" t="str">
        <v>AAPL</v>
      </c>
      <c r="M107" s="30" t="str">
        <v>BROKER_B</v>
      </c>
      <c r="N107" s="30" t="str">
        <v>B</v>
      </c>
      <c r="O107" s="36">
        <v>700</v>
      </c>
      <c r="P107" s="35">
        <v>141.97999999999999</v>
      </c>
      <c r="Q107" s="35">
        <v>141.97</v>
      </c>
      <c r="R107" s="66">
        <v>-7</v>
      </c>
      <c r="S107" s="36">
        <v>600</v>
      </c>
      <c r="T107" s="21"/>
      <c r="U107" s="21"/>
      <c r="V107" s="21"/>
      <c r="W107" s="21"/>
      <c r="X107" s="21"/>
      <c r="Y107" s="21"/>
      <c r="Z107" s="21"/>
      <c r="AA107" s="21"/>
      <c r="AB107" s="21"/>
      <c r="AC107" s="20"/>
    </row>
    <row r="108" spans="1:29" x14ac:dyDescent="0.3">
      <c r="A108" s="18"/>
      <c r="B108" s="21"/>
      <c r="C108" s="21"/>
      <c r="D108" s="21"/>
      <c r="E108" s="21"/>
      <c r="F108" s="21"/>
      <c r="G108" s="21"/>
      <c r="H108" s="21"/>
      <c r="I108" s="21"/>
      <c r="J108" s="21"/>
      <c r="K108" s="21"/>
      <c r="L108" s="30" t="e">
        <v>#N/A</v>
      </c>
      <c r="M108" s="30" t="e">
        <v>#N/A</v>
      </c>
      <c r="N108" s="30" t="e">
        <v>#N/A</v>
      </c>
      <c r="O108" s="36" t="e">
        <v>#N/A</v>
      </c>
      <c r="P108" s="35" t="e">
        <v>#N/A</v>
      </c>
      <c r="Q108" s="35" t="e">
        <v>#N/A</v>
      </c>
      <c r="R108" s="66" t="e">
        <v>#N/A</v>
      </c>
      <c r="S108" s="36" t="e">
        <v>#N/A</v>
      </c>
      <c r="T108" s="21"/>
      <c r="U108" s="21"/>
      <c r="V108" s="21"/>
      <c r="W108" s="21"/>
      <c r="X108" s="21"/>
      <c r="Y108" s="21"/>
      <c r="Z108" s="21"/>
      <c r="AA108" s="21"/>
      <c r="AB108" s="21"/>
      <c r="AC108" s="20"/>
    </row>
    <row r="109" spans="1:29" x14ac:dyDescent="0.3">
      <c r="A109" s="18"/>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0"/>
    </row>
    <row r="110" spans="1:29" x14ac:dyDescent="0.3">
      <c r="A110" s="18"/>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0"/>
    </row>
    <row r="111" spans="1:29" x14ac:dyDescent="0.3">
      <c r="A111" s="18"/>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0"/>
    </row>
    <row r="112" spans="1:29" x14ac:dyDescent="0.3">
      <c r="A112" s="18"/>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0"/>
    </row>
    <row r="113" spans="1:29" x14ac:dyDescent="0.3">
      <c r="A113" s="18"/>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0"/>
    </row>
    <row r="114" spans="1:29" x14ac:dyDescent="0.3">
      <c r="A114" s="18"/>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0"/>
    </row>
    <row r="115" spans="1:29" x14ac:dyDescent="0.3">
      <c r="A115" s="18"/>
      <c r="B115" s="21"/>
      <c r="C115" s="21"/>
      <c r="D115" s="21"/>
      <c r="E115" s="21"/>
      <c r="F115" s="21"/>
      <c r="G115" s="21"/>
      <c r="H115" s="21"/>
      <c r="I115" s="21"/>
      <c r="J115" s="21"/>
      <c r="K115" s="21"/>
      <c r="L115" s="67"/>
      <c r="M115" s="67"/>
      <c r="N115" s="67"/>
      <c r="O115" s="67"/>
      <c r="P115" s="67"/>
      <c r="Q115" s="67"/>
      <c r="R115" s="67"/>
      <c r="S115" s="67"/>
      <c r="T115" s="67"/>
      <c r="U115" s="67"/>
      <c r="V115" s="67"/>
      <c r="W115" s="67"/>
      <c r="X115" s="67"/>
      <c r="Y115" s="67"/>
      <c r="Z115" s="67"/>
      <c r="AA115" s="67"/>
      <c r="AB115" s="21"/>
      <c r="AC115" s="20"/>
    </row>
    <row r="116" spans="1:29" x14ac:dyDescent="0.3">
      <c r="A116" s="18"/>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0"/>
    </row>
    <row r="117" spans="1:29" x14ac:dyDescent="0.3">
      <c r="A117" s="18"/>
      <c r="B117" s="21"/>
      <c r="C117" s="21"/>
      <c r="D117" s="21"/>
      <c r="E117" s="21"/>
      <c r="F117" s="21"/>
      <c r="G117" s="21"/>
      <c r="H117" s="21"/>
      <c r="I117" s="21"/>
      <c r="J117" s="21"/>
      <c r="K117" s="21"/>
      <c r="L117" s="492" t="s">
        <v>3397</v>
      </c>
      <c r="M117" s="529"/>
      <c r="N117" s="529"/>
      <c r="O117" s="529"/>
      <c r="P117" s="529"/>
      <c r="Q117" s="529"/>
      <c r="R117" s="529"/>
      <c r="S117" s="493"/>
      <c r="T117" s="21"/>
      <c r="U117" s="21"/>
      <c r="V117" s="475" t="s">
        <v>125</v>
      </c>
      <c r="W117" s="475"/>
      <c r="X117" s="21"/>
      <c r="Y117" s="21"/>
      <c r="Z117" s="21"/>
      <c r="AA117" s="21"/>
      <c r="AB117" s="21"/>
      <c r="AC117" s="20"/>
    </row>
    <row r="118" spans="1:29" x14ac:dyDescent="0.3">
      <c r="A118" s="18"/>
      <c r="B118" s="21"/>
      <c r="C118" s="21"/>
      <c r="D118" s="21"/>
      <c r="E118" s="21"/>
      <c r="F118" s="21"/>
      <c r="G118" s="21"/>
      <c r="H118" s="21"/>
      <c r="I118" s="21"/>
      <c r="J118" s="21"/>
      <c r="K118" s="21"/>
      <c r="L118" s="3" t="str">
        <f t="array" ref="L118:S123">_xll.U.VFILTER(B7:I20,V119:W123,TRUE)</f>
        <v>Symbol</v>
      </c>
      <c r="M118" s="3" t="str">
        <v>Broker</v>
      </c>
      <c r="N118" s="3" t="str">
        <v>Side</v>
      </c>
      <c r="O118" s="3" t="str">
        <v>Quantity</v>
      </c>
      <c r="P118" s="3" t="str">
        <v>Trade Price</v>
      </c>
      <c r="Q118" s="3" t="str">
        <v>Current Price</v>
      </c>
      <c r="R118" s="3" t="str">
        <v>P&amp;L</v>
      </c>
      <c r="S118" s="3" t="str">
        <v>Current Delta</v>
      </c>
      <c r="T118" s="21"/>
      <c r="U118" s="21"/>
      <c r="V118" s="9" t="s">
        <v>126</v>
      </c>
      <c r="W118" s="9" t="s">
        <v>17</v>
      </c>
      <c r="X118" s="21"/>
      <c r="Y118" s="21"/>
      <c r="Z118" s="21"/>
      <c r="AA118" s="21"/>
      <c r="AB118" s="21"/>
      <c r="AC118" s="20"/>
    </row>
    <row r="119" spans="1:29" x14ac:dyDescent="0.3">
      <c r="A119" s="18"/>
      <c r="B119" s="21"/>
      <c r="C119" s="21"/>
      <c r="D119" s="21"/>
      <c r="E119" s="21"/>
      <c r="F119" s="21"/>
      <c r="G119" s="21"/>
      <c r="H119" s="21"/>
      <c r="I119" s="21"/>
      <c r="J119" s="21"/>
      <c r="K119" s="21"/>
      <c r="L119" s="30" t="str">
        <v>IBM Jun17 160C</v>
      </c>
      <c r="M119" s="30" t="str">
        <v>BOB_THE_BROKER</v>
      </c>
      <c r="N119" s="30" t="str">
        <v>B</v>
      </c>
      <c r="O119" s="36">
        <v>50</v>
      </c>
      <c r="P119" s="35">
        <v>2.65</v>
      </c>
      <c r="Q119" s="35">
        <v>2.6</v>
      </c>
      <c r="R119" s="66">
        <v>-250</v>
      </c>
      <c r="S119" s="36">
        <v>2879</v>
      </c>
      <c r="T119" s="21"/>
      <c r="U119" s="21"/>
      <c r="V119" s="79" t="s">
        <v>130</v>
      </c>
      <c r="W119" s="79" t="s">
        <v>129</v>
      </c>
      <c r="X119" s="21"/>
      <c r="Y119" s="21"/>
      <c r="Z119" s="21"/>
      <c r="AA119" s="21"/>
      <c r="AB119" s="21"/>
      <c r="AC119" s="20"/>
    </row>
    <row r="120" spans="1:29" x14ac:dyDescent="0.3">
      <c r="A120" s="18"/>
      <c r="B120" s="21"/>
      <c r="C120" s="21"/>
      <c r="D120" s="21"/>
      <c r="E120" s="21"/>
      <c r="F120" s="21"/>
      <c r="G120" s="21"/>
      <c r="H120" s="21"/>
      <c r="I120" s="21"/>
      <c r="J120" s="21"/>
      <c r="K120" s="21"/>
      <c r="L120" s="30" t="str">
        <v>IBM Jun17 160C</v>
      </c>
      <c r="M120" s="30" t="str">
        <v>BOB_THE_BROKER</v>
      </c>
      <c r="N120" s="30" t="str">
        <v>S</v>
      </c>
      <c r="O120" s="36">
        <v>-10</v>
      </c>
      <c r="P120" s="35">
        <v>2.62</v>
      </c>
      <c r="Q120" s="35">
        <v>2.6</v>
      </c>
      <c r="R120" s="66">
        <v>20</v>
      </c>
      <c r="S120" s="36">
        <v>-576</v>
      </c>
      <c r="T120" s="21"/>
      <c r="U120" s="21"/>
      <c r="V120" s="79"/>
      <c r="W120" s="42"/>
      <c r="X120" s="21"/>
      <c r="Y120" s="21"/>
      <c r="Z120" s="21"/>
      <c r="AA120" s="21"/>
      <c r="AB120" s="21"/>
      <c r="AC120" s="20"/>
    </row>
    <row r="121" spans="1:29" x14ac:dyDescent="0.3">
      <c r="A121" s="18"/>
      <c r="B121" s="21"/>
      <c r="C121" s="21"/>
      <c r="D121" s="21"/>
      <c r="E121" s="21"/>
      <c r="F121" s="21"/>
      <c r="G121" s="21"/>
      <c r="H121" s="21"/>
      <c r="I121" s="21"/>
      <c r="J121" s="21"/>
      <c r="K121" s="21"/>
      <c r="L121" s="30" t="str">
        <v>IBM Jun17 160C</v>
      </c>
      <c r="M121" s="30" t="str">
        <v>BOB_THE_BROKER</v>
      </c>
      <c r="N121" s="30" t="str">
        <v>S</v>
      </c>
      <c r="O121" s="36">
        <v>-40</v>
      </c>
      <c r="P121" s="35">
        <v>2.61</v>
      </c>
      <c r="Q121" s="35">
        <v>2.6</v>
      </c>
      <c r="R121" s="66">
        <v>40</v>
      </c>
      <c r="S121" s="36">
        <v>-2303</v>
      </c>
      <c r="T121" s="21"/>
      <c r="U121" s="21"/>
      <c r="V121" s="79"/>
      <c r="W121" s="79"/>
      <c r="X121" s="21"/>
      <c r="Y121" s="21"/>
      <c r="Z121" s="21"/>
      <c r="AA121" s="21"/>
      <c r="AB121" s="21"/>
      <c r="AC121" s="20"/>
    </row>
    <row r="122" spans="1:29" x14ac:dyDescent="0.3">
      <c r="A122" s="18"/>
      <c r="B122" s="21"/>
      <c r="C122" s="21"/>
      <c r="D122" s="21"/>
      <c r="E122" s="21"/>
      <c r="F122" s="21"/>
      <c r="G122" s="21"/>
      <c r="H122" s="21"/>
      <c r="I122" s="21"/>
      <c r="J122" s="21"/>
      <c r="K122" s="21"/>
      <c r="L122" s="30" t="e">
        <v>#N/A</v>
      </c>
      <c r="M122" s="30" t="e">
        <v>#N/A</v>
      </c>
      <c r="N122" s="30" t="e">
        <v>#N/A</v>
      </c>
      <c r="O122" s="36" t="e">
        <v>#N/A</v>
      </c>
      <c r="P122" s="35" t="e">
        <v>#N/A</v>
      </c>
      <c r="Q122" s="35" t="e">
        <v>#N/A</v>
      </c>
      <c r="R122" s="66" t="e">
        <v>#N/A</v>
      </c>
      <c r="S122" s="36" t="e">
        <v>#N/A</v>
      </c>
      <c r="T122" s="21"/>
      <c r="U122" s="21"/>
      <c r="V122" s="79"/>
      <c r="W122" s="79"/>
      <c r="X122" s="21"/>
      <c r="Y122" s="21"/>
      <c r="Z122" s="21"/>
      <c r="AA122" s="21"/>
      <c r="AB122" s="21"/>
      <c r="AC122" s="20"/>
    </row>
    <row r="123" spans="1:29" x14ac:dyDescent="0.3">
      <c r="A123" s="18"/>
      <c r="B123" s="21"/>
      <c r="C123" s="21"/>
      <c r="D123" s="21"/>
      <c r="E123" s="21"/>
      <c r="F123" s="21"/>
      <c r="G123" s="21"/>
      <c r="H123" s="21"/>
      <c r="I123" s="21"/>
      <c r="J123" s="21"/>
      <c r="K123" s="21"/>
      <c r="L123" s="30" t="e">
        <v>#N/A</v>
      </c>
      <c r="M123" s="30" t="e">
        <v>#N/A</v>
      </c>
      <c r="N123" s="30" t="e">
        <v>#N/A</v>
      </c>
      <c r="O123" s="36" t="e">
        <v>#N/A</v>
      </c>
      <c r="P123" s="35" t="e">
        <v>#N/A</v>
      </c>
      <c r="Q123" s="35" t="e">
        <v>#N/A</v>
      </c>
      <c r="R123" s="66" t="e">
        <v>#N/A</v>
      </c>
      <c r="S123" s="36" t="e">
        <v>#N/A</v>
      </c>
      <c r="T123" s="21"/>
      <c r="U123" s="21"/>
      <c r="V123" s="79"/>
      <c r="W123" s="79"/>
      <c r="X123" s="21"/>
      <c r="Y123" s="21"/>
      <c r="Z123" s="21"/>
      <c r="AA123" s="21"/>
      <c r="AB123" s="21"/>
      <c r="AC123" s="20"/>
    </row>
    <row r="124" spans="1:29" x14ac:dyDescent="0.3">
      <c r="A124" s="18"/>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0"/>
    </row>
    <row r="125" spans="1:29" x14ac:dyDescent="0.3">
      <c r="A125" s="18"/>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0"/>
    </row>
    <row r="126" spans="1:29" x14ac:dyDescent="0.3">
      <c r="A126" s="18"/>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0"/>
    </row>
    <row r="127" spans="1:29" x14ac:dyDescent="0.3">
      <c r="A127" s="18"/>
      <c r="B127" s="21"/>
      <c r="C127" s="21"/>
      <c r="D127" s="21"/>
      <c r="E127" s="21"/>
      <c r="F127" s="21"/>
      <c r="G127" s="21"/>
      <c r="H127" s="21"/>
      <c r="I127" s="21"/>
      <c r="J127" s="21"/>
      <c r="K127" s="21"/>
      <c r="L127" s="492" t="s">
        <v>3397</v>
      </c>
      <c r="M127" s="529"/>
      <c r="N127" s="529"/>
      <c r="O127" s="529"/>
      <c r="P127" s="529"/>
      <c r="Q127" s="529"/>
      <c r="R127" s="529"/>
      <c r="S127" s="493"/>
      <c r="T127" s="21"/>
      <c r="U127" s="21"/>
      <c r="V127" s="475" t="s">
        <v>125</v>
      </c>
      <c r="W127" s="475"/>
      <c r="X127" s="21"/>
      <c r="Y127" s="21"/>
      <c r="Z127" s="21"/>
      <c r="AA127" s="21"/>
      <c r="AB127" s="21"/>
      <c r="AC127" s="20"/>
    </row>
    <row r="128" spans="1:29" x14ac:dyDescent="0.3">
      <c r="A128" s="18"/>
      <c r="B128" s="21"/>
      <c r="C128" s="21"/>
      <c r="D128" s="21"/>
      <c r="E128" s="21"/>
      <c r="F128" s="21"/>
      <c r="G128" s="21"/>
      <c r="H128" s="21"/>
      <c r="I128" s="21"/>
      <c r="J128" s="21"/>
      <c r="K128" s="21"/>
      <c r="L128" s="3" t="str">
        <f t="array" ref="L128:S133">_xll.U.VFILTER(B7:I20,V129:W133)</f>
        <v>Symbol</v>
      </c>
      <c r="M128" s="3" t="str">
        <v>Broker</v>
      </c>
      <c r="N128" s="3" t="str">
        <v>Side</v>
      </c>
      <c r="O128" s="3" t="str">
        <v>Quantity</v>
      </c>
      <c r="P128" s="3" t="str">
        <v>Trade Price</v>
      </c>
      <c r="Q128" s="3" t="str">
        <v>Current Price</v>
      </c>
      <c r="R128" s="3" t="str">
        <v>P&amp;L</v>
      </c>
      <c r="S128" s="3" t="str">
        <v>Current Delta</v>
      </c>
      <c r="T128" s="21"/>
      <c r="U128" s="21"/>
      <c r="V128" s="9" t="s">
        <v>126</v>
      </c>
      <c r="W128" s="9" t="s">
        <v>17</v>
      </c>
      <c r="X128" s="21"/>
      <c r="Y128" s="21"/>
      <c r="Z128" s="21"/>
      <c r="AA128" s="21"/>
      <c r="AB128" s="21"/>
      <c r="AC128" s="20"/>
    </row>
    <row r="129" spans="1:29" x14ac:dyDescent="0.3">
      <c r="A129" s="18"/>
      <c r="B129" s="21"/>
      <c r="C129" s="21"/>
      <c r="D129" s="21"/>
      <c r="E129" s="21"/>
      <c r="F129" s="21"/>
      <c r="G129" s="21"/>
      <c r="H129" s="21"/>
      <c r="I129" s="21"/>
      <c r="J129" s="21"/>
      <c r="K129" s="21"/>
      <c r="L129" s="30" t="str">
        <v>AAPL Jun17 140P</v>
      </c>
      <c r="M129" s="30" t="str">
        <v>BROKER_B</v>
      </c>
      <c r="N129" s="30" t="str">
        <v>B</v>
      </c>
      <c r="O129" s="36">
        <v>100</v>
      </c>
      <c r="P129" s="35">
        <v>4.3</v>
      </c>
      <c r="Q129" s="35">
        <v>4.3099999999999996</v>
      </c>
      <c r="R129" s="66">
        <v>100</v>
      </c>
      <c r="S129" s="36">
        <v>-3215</v>
      </c>
      <c r="T129" s="21"/>
      <c r="U129" s="21"/>
      <c r="V129" s="245" t="s">
        <v>1173</v>
      </c>
      <c r="W129" s="79" t="s">
        <v>1172</v>
      </c>
      <c r="X129" s="21"/>
      <c r="Y129" s="21"/>
      <c r="Z129" s="21"/>
      <c r="AA129" s="21"/>
      <c r="AB129" s="21"/>
      <c r="AC129" s="20"/>
    </row>
    <row r="130" spans="1:29" x14ac:dyDescent="0.3">
      <c r="A130" s="18"/>
      <c r="B130" s="21"/>
      <c r="C130" s="21"/>
      <c r="D130" s="21"/>
      <c r="E130" s="21"/>
      <c r="F130" s="21"/>
      <c r="G130" s="21"/>
      <c r="H130" s="21"/>
      <c r="I130" s="21"/>
      <c r="J130" s="21"/>
      <c r="K130" s="21"/>
      <c r="L130" s="30" t="str">
        <v>AAPL</v>
      </c>
      <c r="M130" s="30" t="str">
        <v>BROKER_B</v>
      </c>
      <c r="N130" s="30" t="str">
        <v>B</v>
      </c>
      <c r="O130" s="36">
        <v>300</v>
      </c>
      <c r="P130" s="35">
        <v>142.02000000000001</v>
      </c>
      <c r="Q130" s="35">
        <v>141.97</v>
      </c>
      <c r="R130" s="66">
        <v>-15</v>
      </c>
      <c r="S130" s="36">
        <v>300</v>
      </c>
      <c r="T130" s="21"/>
      <c r="U130" s="21"/>
      <c r="V130" s="79" t="s">
        <v>105</v>
      </c>
      <c r="W130" s="42" t="s">
        <v>1174</v>
      </c>
      <c r="X130" s="21"/>
      <c r="Y130" s="21"/>
      <c r="Z130" s="21"/>
      <c r="AA130" s="21"/>
      <c r="AB130" s="21"/>
      <c r="AC130" s="20"/>
    </row>
    <row r="131" spans="1:29" x14ac:dyDescent="0.3">
      <c r="A131" s="18"/>
      <c r="B131" s="21"/>
      <c r="C131" s="21"/>
      <c r="D131" s="21"/>
      <c r="E131" s="21"/>
      <c r="F131" s="21"/>
      <c r="G131" s="21"/>
      <c r="H131" s="21"/>
      <c r="I131" s="21"/>
      <c r="J131" s="21"/>
      <c r="K131" s="21"/>
      <c r="L131" s="30" t="e">
        <v>#N/A</v>
      </c>
      <c r="M131" s="30" t="e">
        <v>#N/A</v>
      </c>
      <c r="N131" s="30" t="e">
        <v>#N/A</v>
      </c>
      <c r="O131" s="36" t="e">
        <v>#N/A</v>
      </c>
      <c r="P131" s="35" t="e">
        <v>#N/A</v>
      </c>
      <c r="Q131" s="35" t="e">
        <v>#N/A</v>
      </c>
      <c r="R131" s="66" t="e">
        <v>#N/A</v>
      </c>
      <c r="S131" s="36" t="e">
        <v>#N/A</v>
      </c>
      <c r="T131" s="21"/>
      <c r="U131" s="21"/>
      <c r="V131" s="79"/>
      <c r="W131" s="79"/>
      <c r="X131" s="21"/>
      <c r="Y131" s="21"/>
      <c r="Z131" s="21"/>
      <c r="AA131" s="21"/>
      <c r="AB131" s="21"/>
      <c r="AC131" s="20"/>
    </row>
    <row r="132" spans="1:29" x14ac:dyDescent="0.3">
      <c r="A132" s="18"/>
      <c r="B132" s="21"/>
      <c r="C132" s="21"/>
      <c r="D132" s="21"/>
      <c r="E132" s="21"/>
      <c r="F132" s="21"/>
      <c r="G132" s="21"/>
      <c r="H132" s="21"/>
      <c r="I132" s="21"/>
      <c r="J132" s="21"/>
      <c r="K132" s="21"/>
      <c r="L132" s="30" t="e">
        <v>#N/A</v>
      </c>
      <c r="M132" s="30" t="e">
        <v>#N/A</v>
      </c>
      <c r="N132" s="30" t="e">
        <v>#N/A</v>
      </c>
      <c r="O132" s="36" t="e">
        <v>#N/A</v>
      </c>
      <c r="P132" s="35" t="e">
        <v>#N/A</v>
      </c>
      <c r="Q132" s="35" t="e">
        <v>#N/A</v>
      </c>
      <c r="R132" s="66" t="e">
        <v>#N/A</v>
      </c>
      <c r="S132" s="36" t="e">
        <v>#N/A</v>
      </c>
      <c r="T132" s="21"/>
      <c r="U132" s="21"/>
      <c r="V132" s="79"/>
      <c r="W132" s="79"/>
      <c r="X132" s="21"/>
      <c r="Y132" s="21"/>
      <c r="Z132" s="21"/>
      <c r="AA132" s="21"/>
      <c r="AB132" s="21"/>
      <c r="AC132" s="20"/>
    </row>
    <row r="133" spans="1:29" x14ac:dyDescent="0.3">
      <c r="A133" s="18"/>
      <c r="B133" s="21"/>
      <c r="C133" s="21"/>
      <c r="D133" s="21"/>
      <c r="E133" s="21"/>
      <c r="F133" s="21"/>
      <c r="G133" s="21"/>
      <c r="H133" s="21"/>
      <c r="I133" s="21"/>
      <c r="J133" s="21"/>
      <c r="K133" s="21"/>
      <c r="L133" s="30" t="e">
        <v>#N/A</v>
      </c>
      <c r="M133" s="30" t="e">
        <v>#N/A</v>
      </c>
      <c r="N133" s="30" t="e">
        <v>#N/A</v>
      </c>
      <c r="O133" s="36" t="e">
        <v>#N/A</v>
      </c>
      <c r="P133" s="35" t="e">
        <v>#N/A</v>
      </c>
      <c r="Q133" s="35" t="e">
        <v>#N/A</v>
      </c>
      <c r="R133" s="66" t="e">
        <v>#N/A</v>
      </c>
      <c r="S133" s="36" t="e">
        <v>#N/A</v>
      </c>
      <c r="T133" s="21"/>
      <c r="U133" s="21"/>
      <c r="V133" s="79"/>
      <c r="W133" s="79"/>
      <c r="X133" s="21"/>
      <c r="Y133" s="21"/>
      <c r="Z133" s="21"/>
      <c r="AA133" s="21"/>
      <c r="AB133" s="21"/>
      <c r="AC133" s="20"/>
    </row>
    <row r="134" spans="1:29" x14ac:dyDescent="0.3">
      <c r="A134" s="18"/>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0"/>
    </row>
    <row r="135" spans="1:29" x14ac:dyDescent="0.3">
      <c r="A135" s="18"/>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0"/>
    </row>
    <row r="136" spans="1:29" x14ac:dyDescent="0.3">
      <c r="A136" s="18"/>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0"/>
    </row>
    <row r="137" spans="1:29" x14ac:dyDescent="0.3">
      <c r="A137" s="18"/>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0"/>
    </row>
    <row r="138" spans="1:29" x14ac:dyDescent="0.3">
      <c r="A138" s="18"/>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0"/>
    </row>
    <row r="139" spans="1:29" x14ac:dyDescent="0.3">
      <c r="A139" s="18"/>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0"/>
    </row>
    <row r="140" spans="1:29" x14ac:dyDescent="0.3">
      <c r="A140" s="18"/>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0"/>
    </row>
    <row r="141" spans="1:29" x14ac:dyDescent="0.3">
      <c r="A141" s="18"/>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0"/>
    </row>
    <row r="142" spans="1:29" x14ac:dyDescent="0.3">
      <c r="A142" s="18"/>
      <c r="B142" s="21"/>
      <c r="C142" s="21"/>
      <c r="D142" s="21"/>
      <c r="E142" s="21"/>
      <c r="F142" s="21"/>
      <c r="G142" s="21"/>
      <c r="H142" s="21"/>
      <c r="I142" s="21"/>
      <c r="J142" s="21"/>
      <c r="K142" s="21"/>
      <c r="L142" s="67"/>
      <c r="M142" s="67"/>
      <c r="N142" s="67"/>
      <c r="O142" s="67"/>
      <c r="P142" s="67"/>
      <c r="Q142" s="67"/>
      <c r="R142" s="67"/>
      <c r="S142" s="67"/>
      <c r="T142" s="67"/>
      <c r="U142" s="67"/>
      <c r="V142" s="67"/>
      <c r="W142" s="67"/>
      <c r="X142" s="67"/>
      <c r="Y142" s="67"/>
      <c r="Z142" s="67"/>
      <c r="AA142" s="67"/>
      <c r="AB142" s="21"/>
      <c r="AC142" s="20"/>
    </row>
    <row r="143" spans="1:29" x14ac:dyDescent="0.3">
      <c r="A143" s="18"/>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0"/>
    </row>
    <row r="144" spans="1:29" x14ac:dyDescent="0.3">
      <c r="A144" s="18"/>
      <c r="B144" s="21"/>
      <c r="C144" s="21"/>
      <c r="D144" s="21"/>
      <c r="E144" s="21"/>
      <c r="F144" s="21"/>
      <c r="G144" s="21"/>
      <c r="H144" s="21"/>
      <c r="I144" s="21"/>
      <c r="J144" s="21"/>
      <c r="K144" s="21"/>
      <c r="L144" s="492" t="s">
        <v>3397</v>
      </c>
      <c r="M144" s="529"/>
      <c r="N144" s="529"/>
      <c r="O144" s="529"/>
      <c r="P144" s="529"/>
      <c r="Q144" s="529"/>
      <c r="R144" s="529"/>
      <c r="S144" s="493"/>
      <c r="T144" s="21"/>
      <c r="U144" s="21"/>
      <c r="V144" s="475" t="s">
        <v>125</v>
      </c>
      <c r="W144" s="475"/>
      <c r="X144" s="21"/>
      <c r="Y144" s="21"/>
      <c r="Z144" s="21"/>
      <c r="AA144" s="21"/>
      <c r="AB144" s="21"/>
      <c r="AC144" s="20"/>
    </row>
    <row r="145" spans="1:29" x14ac:dyDescent="0.3">
      <c r="A145" s="18"/>
      <c r="B145" s="21"/>
      <c r="C145" s="21"/>
      <c r="D145" s="21"/>
      <c r="E145" s="21"/>
      <c r="F145" s="21"/>
      <c r="G145" s="21"/>
      <c r="H145" s="21"/>
      <c r="I145" s="21"/>
      <c r="J145" s="21"/>
      <c r="K145" s="21"/>
      <c r="L145" s="3" t="str">
        <f t="array" ref="L145:S150">_xll.U.VFILTER(B7:I20,V146:W150)</f>
        <v>Symbol</v>
      </c>
      <c r="M145" s="3" t="str">
        <v>Broker</v>
      </c>
      <c r="N145" s="3" t="str">
        <v>Side</v>
      </c>
      <c r="O145" s="3" t="str">
        <v>Quantity</v>
      </c>
      <c r="P145" s="3" t="str">
        <v>Trade Price</v>
      </c>
      <c r="Q145" s="3" t="str">
        <v>Current Price</v>
      </c>
      <c r="R145" s="3" t="str">
        <v>P&amp;L</v>
      </c>
      <c r="S145" s="3" t="str">
        <v>Current Delta</v>
      </c>
      <c r="T145" s="21"/>
      <c r="U145" s="21"/>
      <c r="V145" s="9" t="s">
        <v>126</v>
      </c>
      <c r="W145" s="9" t="s">
        <v>17</v>
      </c>
      <c r="X145" s="21"/>
      <c r="Y145" s="21"/>
      <c r="Z145" s="21"/>
      <c r="AA145" s="21"/>
      <c r="AB145" s="21"/>
      <c r="AC145" s="20"/>
    </row>
    <row r="146" spans="1:29" x14ac:dyDescent="0.3">
      <c r="A146" s="18"/>
      <c r="B146" s="21"/>
      <c r="C146" s="21"/>
      <c r="D146" s="21"/>
      <c r="E146" s="21"/>
      <c r="F146" s="21"/>
      <c r="G146" s="21"/>
      <c r="H146" s="21"/>
      <c r="I146" s="21"/>
      <c r="J146" s="21"/>
      <c r="K146" s="21"/>
      <c r="L146" s="30" t="str">
        <v>IBM</v>
      </c>
      <c r="M146" s="30" t="str">
        <v>BROKER_A</v>
      </c>
      <c r="N146" s="30" t="str">
        <v>S</v>
      </c>
      <c r="O146" s="36">
        <v>-3000</v>
      </c>
      <c r="P146" s="35">
        <v>159.49</v>
      </c>
      <c r="Q146" s="35">
        <v>159.37</v>
      </c>
      <c r="R146" s="66">
        <v>360</v>
      </c>
      <c r="S146" s="36">
        <v>-3000</v>
      </c>
      <c r="T146" s="21"/>
      <c r="U146" s="21"/>
      <c r="V146" s="79" t="s">
        <v>2</v>
      </c>
      <c r="W146" s="79" t="s">
        <v>107</v>
      </c>
      <c r="X146" s="21"/>
      <c r="Y146" s="21"/>
      <c r="Z146" s="21"/>
      <c r="AA146" s="21"/>
      <c r="AB146" s="21"/>
      <c r="AC146" s="20"/>
    </row>
    <row r="147" spans="1:29" x14ac:dyDescent="0.3">
      <c r="A147" s="18"/>
      <c r="B147" s="21"/>
      <c r="C147" s="21"/>
      <c r="D147" s="21"/>
      <c r="E147" s="21"/>
      <c r="F147" s="21"/>
      <c r="G147" s="21"/>
      <c r="H147" s="21"/>
      <c r="I147" s="21"/>
      <c r="J147" s="21"/>
      <c r="K147" s="21"/>
      <c r="L147" s="30" t="str">
        <v>IBM</v>
      </c>
      <c r="M147" s="30" t="str">
        <v>BROKER_A</v>
      </c>
      <c r="N147" s="30" t="str">
        <v>S</v>
      </c>
      <c r="O147" s="36">
        <v>-100</v>
      </c>
      <c r="P147" s="35">
        <v>159.5</v>
      </c>
      <c r="Q147" s="35">
        <v>159.37</v>
      </c>
      <c r="R147" s="66">
        <v>13</v>
      </c>
      <c r="S147" s="36">
        <v>-3000</v>
      </c>
      <c r="T147" s="21"/>
      <c r="U147" s="21"/>
      <c r="V147" s="79" t="s">
        <v>131</v>
      </c>
      <c r="W147" s="79" t="s">
        <v>132</v>
      </c>
      <c r="X147" s="21"/>
      <c r="Y147" s="21"/>
      <c r="Z147" s="21"/>
      <c r="AA147" s="21"/>
      <c r="AB147" s="21"/>
      <c r="AC147" s="20"/>
    </row>
    <row r="148" spans="1:29" x14ac:dyDescent="0.3">
      <c r="A148" s="18"/>
      <c r="B148" s="21"/>
      <c r="C148" s="21"/>
      <c r="D148" s="21"/>
      <c r="E148" s="21"/>
      <c r="F148" s="21"/>
      <c r="G148" s="21"/>
      <c r="H148" s="21"/>
      <c r="I148" s="21"/>
      <c r="J148" s="21"/>
      <c r="K148" s="21"/>
      <c r="L148" s="30" t="str">
        <v>IBM</v>
      </c>
      <c r="M148" s="30" t="str">
        <v>BROKER_A</v>
      </c>
      <c r="N148" s="30" t="str">
        <v>B</v>
      </c>
      <c r="O148" s="36">
        <v>100</v>
      </c>
      <c r="P148" s="35">
        <v>159.4</v>
      </c>
      <c r="Q148" s="35">
        <v>159.37</v>
      </c>
      <c r="R148" s="66">
        <v>-3</v>
      </c>
      <c r="S148" s="36">
        <v>100</v>
      </c>
      <c r="T148" s="21"/>
      <c r="U148" s="21"/>
      <c r="V148" s="79"/>
      <c r="W148" s="79"/>
      <c r="X148" s="21"/>
      <c r="Y148" s="21"/>
      <c r="Z148" s="21"/>
      <c r="AA148" s="21"/>
      <c r="AB148" s="21"/>
      <c r="AC148" s="20"/>
    </row>
    <row r="149" spans="1:29" x14ac:dyDescent="0.3">
      <c r="A149" s="18"/>
      <c r="B149" s="21"/>
      <c r="C149" s="21"/>
      <c r="D149" s="21"/>
      <c r="E149" s="21"/>
      <c r="F149" s="21"/>
      <c r="G149" s="21"/>
      <c r="H149" s="21"/>
      <c r="I149" s="21"/>
      <c r="J149" s="21"/>
      <c r="K149" s="21"/>
      <c r="L149" s="30" t="str">
        <v>IBM</v>
      </c>
      <c r="M149" s="30" t="str">
        <v>BROKER_A</v>
      </c>
      <c r="N149" s="30" t="str">
        <v>B</v>
      </c>
      <c r="O149" s="36">
        <v>100</v>
      </c>
      <c r="P149" s="35">
        <v>159.4</v>
      </c>
      <c r="Q149" s="35">
        <v>159.37</v>
      </c>
      <c r="R149" s="66">
        <v>-3</v>
      </c>
      <c r="S149" s="36">
        <v>100</v>
      </c>
      <c r="T149" s="21"/>
      <c r="U149" s="21"/>
      <c r="V149" s="79"/>
      <c r="W149" s="79"/>
      <c r="X149" s="21"/>
      <c r="Y149" s="21"/>
      <c r="Z149" s="21"/>
      <c r="AA149" s="21"/>
      <c r="AB149" s="21"/>
      <c r="AC149" s="20"/>
    </row>
    <row r="150" spans="1:29" x14ac:dyDescent="0.3">
      <c r="A150" s="18"/>
      <c r="B150" s="21"/>
      <c r="C150" s="21"/>
      <c r="D150" s="21"/>
      <c r="E150" s="21"/>
      <c r="F150" s="21"/>
      <c r="G150" s="21"/>
      <c r="H150" s="21"/>
      <c r="I150" s="21"/>
      <c r="J150" s="21"/>
      <c r="K150" s="21"/>
      <c r="L150" s="30" t="e">
        <v>#N/A</v>
      </c>
      <c r="M150" s="30" t="e">
        <v>#N/A</v>
      </c>
      <c r="N150" s="30" t="e">
        <v>#N/A</v>
      </c>
      <c r="O150" s="36" t="e">
        <v>#N/A</v>
      </c>
      <c r="P150" s="35" t="e">
        <v>#N/A</v>
      </c>
      <c r="Q150" s="35" t="e">
        <v>#N/A</v>
      </c>
      <c r="R150" s="66" t="e">
        <v>#N/A</v>
      </c>
      <c r="S150" s="36" t="e">
        <v>#N/A</v>
      </c>
      <c r="T150" s="21"/>
      <c r="U150" s="21"/>
      <c r="V150" s="79"/>
      <c r="W150" s="79"/>
      <c r="X150" s="21"/>
      <c r="Y150" s="21"/>
      <c r="Z150" s="21"/>
      <c r="AA150" s="21"/>
      <c r="AB150" s="21"/>
      <c r="AC150" s="20"/>
    </row>
    <row r="151" spans="1:29" x14ac:dyDescent="0.3">
      <c r="A151" s="18"/>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0"/>
    </row>
    <row r="152" spans="1:29" x14ac:dyDescent="0.3">
      <c r="A152" s="18"/>
      <c r="B152" s="21"/>
      <c r="C152" s="21"/>
      <c r="D152" s="21"/>
      <c r="E152" s="21"/>
      <c r="F152" s="21"/>
      <c r="G152" s="21"/>
      <c r="H152" s="21"/>
      <c r="I152" s="21"/>
      <c r="J152" s="21"/>
      <c r="K152" s="21"/>
      <c r="L152" s="492" t="s">
        <v>3397</v>
      </c>
      <c r="M152" s="529"/>
      <c r="N152" s="529"/>
      <c r="O152" s="529"/>
      <c r="P152" s="529"/>
      <c r="Q152" s="529"/>
      <c r="R152" s="529"/>
      <c r="S152" s="493"/>
      <c r="T152" s="21"/>
      <c r="U152" s="21"/>
      <c r="V152" s="21"/>
      <c r="W152" s="21"/>
      <c r="X152" s="21"/>
      <c r="Y152" s="21"/>
      <c r="Z152" s="21"/>
      <c r="AA152" s="21"/>
      <c r="AB152" s="21"/>
      <c r="AC152" s="20"/>
    </row>
    <row r="153" spans="1:29" x14ac:dyDescent="0.3">
      <c r="A153" s="18"/>
      <c r="B153" s="21"/>
      <c r="C153" s="21"/>
      <c r="D153" s="21"/>
      <c r="E153" s="21"/>
      <c r="F153" s="21"/>
      <c r="G153" s="21"/>
      <c r="H153" s="21"/>
      <c r="I153" s="21"/>
      <c r="J153" s="21"/>
      <c r="K153" s="21"/>
      <c r="L153" s="3" t="str">
        <f t="array" ref="L153:S158">_xll.U.PAD(_xll.U.VFILTER(B7:I20,{"Symbol","IBM";"Trader","Johnny"},,TRUE))</f>
        <v>Symbol</v>
      </c>
      <c r="M153" s="3" t="str">
        <v>Broker</v>
      </c>
      <c r="N153" s="3" t="str">
        <v>Side</v>
      </c>
      <c r="O153" s="3" t="str">
        <v>Quantity</v>
      </c>
      <c r="P153" s="3" t="str">
        <v>Trade Price</v>
      </c>
      <c r="Q153" s="3" t="str">
        <v>Current Price</v>
      </c>
      <c r="R153" s="3" t="str">
        <v>P&amp;L</v>
      </c>
      <c r="S153" s="3" t="str">
        <v>Current Delta</v>
      </c>
      <c r="T153" s="21"/>
      <c r="U153" s="21"/>
      <c r="V153" s="21"/>
      <c r="W153" s="21"/>
      <c r="X153" s="21"/>
      <c r="Y153" s="21"/>
      <c r="Z153" s="21"/>
      <c r="AA153" s="21"/>
      <c r="AB153" s="21"/>
      <c r="AC153" s="20"/>
    </row>
    <row r="154" spans="1:29" x14ac:dyDescent="0.3">
      <c r="A154" s="18"/>
      <c r="B154" s="21"/>
      <c r="C154" s="21"/>
      <c r="D154" s="21"/>
      <c r="E154" s="21"/>
      <c r="F154" s="21"/>
      <c r="G154" s="21"/>
      <c r="H154" s="21"/>
      <c r="I154" s="21"/>
      <c r="J154" s="21"/>
      <c r="K154" s="21"/>
      <c r="L154" s="30" t="str">
        <v/>
      </c>
      <c r="M154" s="30" t="str">
        <v/>
      </c>
      <c r="N154" s="30" t="str">
        <v/>
      </c>
      <c r="O154" s="36" t="str">
        <v/>
      </c>
      <c r="P154" s="35" t="str">
        <v/>
      </c>
      <c r="Q154" s="35" t="str">
        <v/>
      </c>
      <c r="R154" s="66" t="str">
        <v/>
      </c>
      <c r="S154" s="36" t="str">
        <v/>
      </c>
      <c r="T154" s="21"/>
      <c r="U154" s="21"/>
      <c r="V154" s="21"/>
      <c r="W154" s="21"/>
      <c r="X154" s="21"/>
      <c r="Y154" s="21"/>
      <c r="Z154" s="21"/>
      <c r="AA154" s="21"/>
      <c r="AB154" s="21"/>
      <c r="AC154" s="20"/>
    </row>
    <row r="155" spans="1:29" x14ac:dyDescent="0.3">
      <c r="A155" s="18"/>
      <c r="B155" s="21"/>
      <c r="C155" s="21"/>
      <c r="D155" s="21"/>
      <c r="E155" s="21"/>
      <c r="F155" s="21"/>
      <c r="G155" s="21"/>
      <c r="H155" s="21"/>
      <c r="I155" s="21"/>
      <c r="J155" s="21"/>
      <c r="K155" s="21"/>
      <c r="L155" s="30" t="str">
        <v/>
      </c>
      <c r="M155" s="30" t="str">
        <v/>
      </c>
      <c r="N155" s="30" t="str">
        <v/>
      </c>
      <c r="O155" s="36" t="str">
        <v/>
      </c>
      <c r="P155" s="35" t="str">
        <v/>
      </c>
      <c r="Q155" s="35" t="str">
        <v/>
      </c>
      <c r="R155" s="66" t="str">
        <v/>
      </c>
      <c r="S155" s="36" t="str">
        <v/>
      </c>
      <c r="T155" s="21"/>
      <c r="U155" s="21"/>
      <c r="V155" s="21"/>
      <c r="W155" s="21"/>
      <c r="X155" s="21"/>
      <c r="Y155" s="21"/>
      <c r="Z155" s="21"/>
      <c r="AA155" s="21"/>
      <c r="AB155" s="21"/>
      <c r="AC155" s="20"/>
    </row>
    <row r="156" spans="1:29" x14ac:dyDescent="0.3">
      <c r="A156" s="18"/>
      <c r="B156" s="21"/>
      <c r="C156" s="21"/>
      <c r="D156" s="21"/>
      <c r="E156" s="21"/>
      <c r="F156" s="21"/>
      <c r="G156" s="21"/>
      <c r="H156" s="21"/>
      <c r="I156" s="21"/>
      <c r="J156" s="21"/>
      <c r="K156" s="21"/>
      <c r="L156" s="30" t="str">
        <v/>
      </c>
      <c r="M156" s="30" t="str">
        <v/>
      </c>
      <c r="N156" s="30" t="str">
        <v/>
      </c>
      <c r="O156" s="36" t="str">
        <v/>
      </c>
      <c r="P156" s="35" t="str">
        <v/>
      </c>
      <c r="Q156" s="35" t="str">
        <v/>
      </c>
      <c r="R156" s="66" t="str">
        <v/>
      </c>
      <c r="S156" s="36" t="str">
        <v/>
      </c>
      <c r="T156" s="21"/>
      <c r="U156" s="21"/>
      <c r="V156" s="21"/>
      <c r="W156" s="21"/>
      <c r="X156" s="21"/>
      <c r="Y156" s="21"/>
      <c r="Z156" s="21"/>
      <c r="AA156" s="21"/>
      <c r="AB156" s="21"/>
      <c r="AC156" s="20"/>
    </row>
    <row r="157" spans="1:29" x14ac:dyDescent="0.3">
      <c r="A157" s="18"/>
      <c r="B157" s="21"/>
      <c r="C157" s="21"/>
      <c r="D157" s="21"/>
      <c r="E157" s="21"/>
      <c r="F157" s="21"/>
      <c r="G157" s="21"/>
      <c r="H157" s="21"/>
      <c r="I157" s="21"/>
      <c r="J157" s="21"/>
      <c r="K157" s="21"/>
      <c r="L157" s="30" t="str">
        <v/>
      </c>
      <c r="M157" s="30" t="str">
        <v/>
      </c>
      <c r="N157" s="30" t="str">
        <v/>
      </c>
      <c r="O157" s="36" t="str">
        <v/>
      </c>
      <c r="P157" s="35" t="str">
        <v/>
      </c>
      <c r="Q157" s="35" t="str">
        <v/>
      </c>
      <c r="R157" s="66" t="str">
        <v/>
      </c>
      <c r="S157" s="36" t="str">
        <v/>
      </c>
      <c r="T157" s="21"/>
      <c r="U157" s="21"/>
      <c r="V157" s="21"/>
      <c r="W157" s="21"/>
      <c r="X157" s="21"/>
      <c r="Y157" s="21"/>
      <c r="Z157" s="21"/>
      <c r="AA157" s="21"/>
      <c r="AB157" s="21"/>
      <c r="AC157" s="20"/>
    </row>
    <row r="158" spans="1:29" x14ac:dyDescent="0.3">
      <c r="A158" s="18"/>
      <c r="B158" s="21"/>
      <c r="C158" s="21"/>
      <c r="D158" s="21"/>
      <c r="E158" s="21"/>
      <c r="F158" s="21"/>
      <c r="G158" s="21"/>
      <c r="H158" s="21"/>
      <c r="I158" s="21"/>
      <c r="J158" s="21"/>
      <c r="K158" s="21"/>
      <c r="L158" s="30" t="str">
        <v/>
      </c>
      <c r="M158" s="30" t="str">
        <v/>
      </c>
      <c r="N158" s="30" t="str">
        <v/>
      </c>
      <c r="O158" s="36" t="str">
        <v/>
      </c>
      <c r="P158" s="35" t="str">
        <v/>
      </c>
      <c r="Q158" s="35" t="str">
        <v/>
      </c>
      <c r="R158" s="66" t="str">
        <v/>
      </c>
      <c r="S158" s="36" t="str">
        <v/>
      </c>
      <c r="T158" s="21"/>
      <c r="U158" s="21"/>
      <c r="V158" s="21"/>
      <c r="W158" s="21"/>
      <c r="X158" s="21"/>
      <c r="Y158" s="21"/>
      <c r="Z158" s="21"/>
      <c r="AA158" s="21"/>
      <c r="AB158" s="21"/>
      <c r="AC158" s="20"/>
    </row>
    <row r="159" spans="1:29" x14ac:dyDescent="0.3">
      <c r="A159" s="18"/>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0"/>
    </row>
    <row r="160" spans="1:29" x14ac:dyDescent="0.3">
      <c r="A160" s="18"/>
      <c r="B160" s="21"/>
      <c r="C160" s="21"/>
      <c r="D160" s="21"/>
      <c r="E160" s="21"/>
      <c r="F160" s="21"/>
      <c r="G160" s="21"/>
      <c r="H160" s="21"/>
      <c r="I160" s="21"/>
      <c r="J160" s="21"/>
      <c r="K160" s="21"/>
      <c r="L160" s="67"/>
      <c r="M160" s="67"/>
      <c r="N160" s="67"/>
      <c r="O160" s="67"/>
      <c r="P160" s="67"/>
      <c r="Q160" s="67"/>
      <c r="R160" s="67"/>
      <c r="S160" s="67"/>
      <c r="T160" s="67"/>
      <c r="U160" s="67"/>
      <c r="V160" s="67"/>
      <c r="W160" s="67"/>
      <c r="X160" s="67"/>
      <c r="Y160" s="67"/>
      <c r="Z160" s="67"/>
      <c r="AA160" s="67"/>
      <c r="AB160" s="21"/>
      <c r="AC160" s="20"/>
    </row>
    <row r="161" spans="1:29" x14ac:dyDescent="0.3">
      <c r="A161" s="18"/>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0"/>
    </row>
    <row r="162" spans="1:29" x14ac:dyDescent="0.3">
      <c r="A162" s="18"/>
      <c r="B162" s="21"/>
      <c r="C162" s="21"/>
      <c r="D162" s="21"/>
      <c r="E162" s="21"/>
      <c r="F162" s="21"/>
      <c r="G162" s="21"/>
      <c r="H162" s="21"/>
      <c r="I162" s="21"/>
      <c r="J162" s="21"/>
      <c r="K162" s="21"/>
      <c r="L162" s="492" t="s">
        <v>3397</v>
      </c>
      <c r="M162" s="529"/>
      <c r="N162" s="529"/>
      <c r="O162" s="529"/>
      <c r="P162" s="529"/>
      <c r="Q162" s="529"/>
      <c r="R162" s="529"/>
      <c r="S162" s="493"/>
      <c r="T162" s="21"/>
      <c r="U162" s="21"/>
      <c r="V162" s="475" t="s">
        <v>125</v>
      </c>
      <c r="W162" s="475"/>
      <c r="X162" s="475"/>
      <c r="Y162" s="21"/>
      <c r="Z162" s="21"/>
      <c r="AA162" s="21"/>
      <c r="AB162" s="21"/>
      <c r="AC162" s="20"/>
    </row>
    <row r="163" spans="1:29" x14ac:dyDescent="0.3">
      <c r="A163" s="18"/>
      <c r="B163" s="21"/>
      <c r="C163" s="21"/>
      <c r="D163" s="21"/>
      <c r="E163" s="21"/>
      <c r="F163" s="21"/>
      <c r="G163" s="21"/>
      <c r="H163" s="21"/>
      <c r="I163" s="21"/>
      <c r="J163" s="21"/>
      <c r="K163" s="21"/>
      <c r="L163" s="3" t="str">
        <f t="array" ref="L163:S168">_xll.U.VFILTER(B7:I20,V164:X168)</f>
        <v>Symbol</v>
      </c>
      <c r="M163" s="3" t="str">
        <v>Broker</v>
      </c>
      <c r="N163" s="3" t="str">
        <v>Side</v>
      </c>
      <c r="O163" s="3" t="str">
        <v>Quantity</v>
      </c>
      <c r="P163" s="3" t="str">
        <v>Trade Price</v>
      </c>
      <c r="Q163" s="3" t="str">
        <v>Current Price</v>
      </c>
      <c r="R163" s="3" t="str">
        <v>P&amp;L</v>
      </c>
      <c r="S163" s="3" t="str">
        <v>Current Delta</v>
      </c>
      <c r="T163" s="21"/>
      <c r="U163" s="21"/>
      <c r="V163" s="9" t="s">
        <v>126</v>
      </c>
      <c r="W163" s="9" t="s">
        <v>133</v>
      </c>
      <c r="X163" s="9" t="s">
        <v>134</v>
      </c>
      <c r="Y163" s="21"/>
      <c r="Z163" s="21"/>
      <c r="AA163" s="21"/>
      <c r="AB163" s="21"/>
      <c r="AC163" s="20"/>
    </row>
    <row r="164" spans="1:29" x14ac:dyDescent="0.3">
      <c r="A164" s="18"/>
      <c r="B164" s="21"/>
      <c r="C164" s="21"/>
      <c r="D164" s="21"/>
      <c r="E164" s="21"/>
      <c r="F164" s="21"/>
      <c r="G164" s="21"/>
      <c r="H164" s="21"/>
      <c r="I164" s="21"/>
      <c r="J164" s="21"/>
      <c r="K164" s="21"/>
      <c r="L164" s="30" t="str">
        <v>IBM Jun17 160C</v>
      </c>
      <c r="M164" s="30" t="str">
        <v>BOB_THE_BROKER</v>
      </c>
      <c r="N164" s="30" t="str">
        <v>B</v>
      </c>
      <c r="O164" s="36">
        <v>50</v>
      </c>
      <c r="P164" s="35">
        <v>2.65</v>
      </c>
      <c r="Q164" s="35">
        <v>2.6</v>
      </c>
      <c r="R164" s="66">
        <v>-250</v>
      </c>
      <c r="S164" s="36">
        <v>2879</v>
      </c>
      <c r="T164" s="21"/>
      <c r="U164" s="21"/>
      <c r="V164" s="79" t="s">
        <v>101</v>
      </c>
      <c r="W164" s="79" t="s">
        <v>135</v>
      </c>
      <c r="X164" s="79" t="s">
        <v>136</v>
      </c>
      <c r="Y164" s="21"/>
      <c r="Z164" s="21"/>
      <c r="AA164" s="21"/>
      <c r="AB164" s="21"/>
      <c r="AC164" s="20"/>
    </row>
    <row r="165" spans="1:29" x14ac:dyDescent="0.3">
      <c r="A165" s="18"/>
      <c r="B165" s="21"/>
      <c r="C165" s="21"/>
      <c r="D165" s="21"/>
      <c r="E165" s="21"/>
      <c r="F165" s="21"/>
      <c r="G165" s="21"/>
      <c r="H165" s="21"/>
      <c r="I165" s="21"/>
      <c r="J165" s="21"/>
      <c r="K165" s="21"/>
      <c r="L165" s="30" t="str">
        <v>IBM Jun17 160C</v>
      </c>
      <c r="M165" s="30" t="str">
        <v>BOB_THE_BROKER</v>
      </c>
      <c r="N165" s="30" t="str">
        <v>S</v>
      </c>
      <c r="O165" s="36">
        <v>-10</v>
      </c>
      <c r="P165" s="35">
        <v>2.62</v>
      </c>
      <c r="Q165" s="35">
        <v>2.6</v>
      </c>
      <c r="R165" s="66">
        <v>20</v>
      </c>
      <c r="S165" s="36">
        <v>-576</v>
      </c>
      <c r="T165" s="21"/>
      <c r="U165" s="21"/>
      <c r="V165" s="79"/>
      <c r="W165" s="79"/>
      <c r="X165" s="79"/>
      <c r="Y165" s="21"/>
      <c r="Z165" s="21"/>
      <c r="AA165" s="21"/>
      <c r="AB165" s="21"/>
      <c r="AC165" s="20"/>
    </row>
    <row r="166" spans="1:29" x14ac:dyDescent="0.3">
      <c r="A166" s="18"/>
      <c r="B166" s="21"/>
      <c r="C166" s="21"/>
      <c r="D166" s="21"/>
      <c r="E166" s="21"/>
      <c r="F166" s="21"/>
      <c r="G166" s="21"/>
      <c r="H166" s="21"/>
      <c r="I166" s="21"/>
      <c r="J166" s="21"/>
      <c r="K166" s="21"/>
      <c r="L166" s="30" t="str">
        <v>IBM Jun17 160C</v>
      </c>
      <c r="M166" s="30" t="str">
        <v>BOB_THE_BROKER</v>
      </c>
      <c r="N166" s="30" t="str">
        <v>S</v>
      </c>
      <c r="O166" s="36">
        <v>-40</v>
      </c>
      <c r="P166" s="35">
        <v>2.61</v>
      </c>
      <c r="Q166" s="35">
        <v>2.6</v>
      </c>
      <c r="R166" s="66">
        <v>40</v>
      </c>
      <c r="S166" s="36">
        <v>-2303</v>
      </c>
      <c r="T166" s="21"/>
      <c r="U166" s="21"/>
      <c r="V166" s="79"/>
      <c r="W166" s="79"/>
      <c r="X166" s="79"/>
      <c r="Y166" s="21"/>
      <c r="Z166" s="21"/>
      <c r="AA166" s="21"/>
      <c r="AB166" s="21"/>
      <c r="AC166" s="20"/>
    </row>
    <row r="167" spans="1:29" x14ac:dyDescent="0.3">
      <c r="A167" s="18"/>
      <c r="B167" s="21"/>
      <c r="C167" s="21"/>
      <c r="D167" s="21"/>
      <c r="E167" s="21"/>
      <c r="F167" s="21"/>
      <c r="G167" s="21"/>
      <c r="H167" s="21"/>
      <c r="I167" s="21"/>
      <c r="J167" s="21"/>
      <c r="K167" s="21"/>
      <c r="L167" s="30" t="e">
        <v>#N/A</v>
      </c>
      <c r="M167" s="30" t="e">
        <v>#N/A</v>
      </c>
      <c r="N167" s="30" t="e">
        <v>#N/A</v>
      </c>
      <c r="O167" s="36" t="e">
        <v>#N/A</v>
      </c>
      <c r="P167" s="35" t="e">
        <v>#N/A</v>
      </c>
      <c r="Q167" s="35" t="e">
        <v>#N/A</v>
      </c>
      <c r="R167" s="66" t="e">
        <v>#N/A</v>
      </c>
      <c r="S167" s="36" t="e">
        <v>#N/A</v>
      </c>
      <c r="T167" s="21"/>
      <c r="U167" s="21"/>
      <c r="V167" s="79"/>
      <c r="W167" s="79"/>
      <c r="X167" s="79"/>
      <c r="Y167" s="21"/>
      <c r="Z167" s="21"/>
      <c r="AA167" s="21"/>
      <c r="AB167" s="21"/>
      <c r="AC167" s="20"/>
    </row>
    <row r="168" spans="1:29" x14ac:dyDescent="0.3">
      <c r="A168" s="18"/>
      <c r="B168" s="21"/>
      <c r="C168" s="21"/>
      <c r="D168" s="21"/>
      <c r="E168" s="21"/>
      <c r="F168" s="21"/>
      <c r="G168" s="21"/>
      <c r="H168" s="21"/>
      <c r="I168" s="21"/>
      <c r="J168" s="21"/>
      <c r="K168" s="21"/>
      <c r="L168" s="30" t="e">
        <v>#N/A</v>
      </c>
      <c r="M168" s="30" t="e">
        <v>#N/A</v>
      </c>
      <c r="N168" s="30" t="e">
        <v>#N/A</v>
      </c>
      <c r="O168" s="36" t="e">
        <v>#N/A</v>
      </c>
      <c r="P168" s="35" t="e">
        <v>#N/A</v>
      </c>
      <c r="Q168" s="35" t="e">
        <v>#N/A</v>
      </c>
      <c r="R168" s="66" t="e">
        <v>#N/A</v>
      </c>
      <c r="S168" s="36" t="e">
        <v>#N/A</v>
      </c>
      <c r="T168" s="21"/>
      <c r="U168" s="21"/>
      <c r="V168" s="79"/>
      <c r="W168" s="79"/>
      <c r="X168" s="79"/>
      <c r="Y168" s="21"/>
      <c r="Z168" s="21"/>
      <c r="AA168" s="21"/>
      <c r="AB168" s="21"/>
      <c r="AC168" s="20"/>
    </row>
    <row r="169" spans="1:29" x14ac:dyDescent="0.3">
      <c r="A169" s="18"/>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0"/>
    </row>
    <row r="170" spans="1:29" x14ac:dyDescent="0.3">
      <c r="A170" s="18"/>
      <c r="B170" s="21"/>
      <c r="C170" s="21"/>
      <c r="D170" s="21"/>
      <c r="E170" s="21"/>
      <c r="F170" s="21"/>
      <c r="G170" s="21"/>
      <c r="H170" s="21"/>
      <c r="I170" s="21"/>
      <c r="J170" s="21"/>
      <c r="K170" s="21"/>
      <c r="L170" s="67"/>
      <c r="M170" s="67"/>
      <c r="N170" s="67"/>
      <c r="O170" s="67"/>
      <c r="P170" s="67"/>
      <c r="Q170" s="67"/>
      <c r="R170" s="67"/>
      <c r="S170" s="67"/>
      <c r="T170" s="67"/>
      <c r="U170" s="67"/>
      <c r="V170" s="67"/>
      <c r="W170" s="67"/>
      <c r="X170" s="67"/>
      <c r="Y170" s="67"/>
      <c r="Z170" s="67"/>
      <c r="AA170" s="67"/>
      <c r="AB170" s="21"/>
      <c r="AC170" s="20"/>
    </row>
    <row r="171" spans="1:29" x14ac:dyDescent="0.3">
      <c r="A171" s="18"/>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0"/>
    </row>
    <row r="172" spans="1:29" x14ac:dyDescent="0.3">
      <c r="A172" s="18"/>
      <c r="B172" s="21"/>
      <c r="C172" s="21"/>
      <c r="D172" s="21"/>
      <c r="E172" s="21"/>
      <c r="F172" s="21"/>
      <c r="G172" s="21"/>
      <c r="H172" s="21"/>
      <c r="I172" s="21"/>
      <c r="J172" s="21"/>
      <c r="K172" s="21"/>
      <c r="L172" s="492" t="s">
        <v>3397</v>
      </c>
      <c r="M172" s="529"/>
      <c r="N172" s="529"/>
      <c r="O172" s="529"/>
      <c r="P172" s="529"/>
      <c r="Q172" s="529"/>
      <c r="R172" s="529"/>
      <c r="S172" s="493"/>
      <c r="T172" s="21"/>
      <c r="U172" s="21"/>
      <c r="V172" s="475" t="s">
        <v>125</v>
      </c>
      <c r="W172" s="475"/>
      <c r="X172" s="475"/>
      <c r="Y172" s="21"/>
      <c r="Z172" s="21"/>
      <c r="AA172" s="21"/>
      <c r="AB172" s="21"/>
      <c r="AC172" s="20"/>
    </row>
    <row r="173" spans="1:29" x14ac:dyDescent="0.3">
      <c r="A173" s="18"/>
      <c r="B173" s="21"/>
      <c r="C173" s="21"/>
      <c r="D173" s="21"/>
      <c r="E173" s="21"/>
      <c r="F173" s="21"/>
      <c r="G173" s="21"/>
      <c r="H173" s="21"/>
      <c r="I173" s="21"/>
      <c r="J173" s="21"/>
      <c r="K173" s="21"/>
      <c r="L173" s="3" t="str">
        <f t="array" ref="L173:S178">_xll.U.VFILTER(B7:I20,V174:X178)</f>
        <v>Symbol</v>
      </c>
      <c r="M173" s="3" t="str">
        <v>Broker</v>
      </c>
      <c r="N173" s="3" t="str">
        <v>Side</v>
      </c>
      <c r="O173" s="3" t="str">
        <v>Quantity</v>
      </c>
      <c r="P173" s="3" t="str">
        <v>Trade Price</v>
      </c>
      <c r="Q173" s="3" t="str">
        <v>Current Price</v>
      </c>
      <c r="R173" s="3" t="str">
        <v>P&amp;L</v>
      </c>
      <c r="S173" s="3" t="str">
        <v>Current Delta</v>
      </c>
      <c r="T173" s="21"/>
      <c r="U173" s="21"/>
      <c r="V173" s="9" t="s">
        <v>126</v>
      </c>
      <c r="W173" s="9" t="s">
        <v>133</v>
      </c>
      <c r="X173" s="9" t="s">
        <v>134</v>
      </c>
      <c r="Y173" s="21"/>
      <c r="Z173" s="21"/>
      <c r="AA173" s="21"/>
      <c r="AB173" s="21"/>
      <c r="AC173" s="20"/>
    </row>
    <row r="174" spans="1:29" x14ac:dyDescent="0.3">
      <c r="A174" s="18"/>
      <c r="B174" s="21"/>
      <c r="C174" s="21"/>
      <c r="D174" s="21"/>
      <c r="E174" s="21"/>
      <c r="F174" s="21"/>
      <c r="G174" s="21"/>
      <c r="H174" s="21"/>
      <c r="I174" s="21"/>
      <c r="J174" s="21"/>
      <c r="K174" s="21"/>
      <c r="L174" s="30" t="str">
        <v>IBM Jun17 160C</v>
      </c>
      <c r="M174" s="30" t="str">
        <v>BOB_THE_BROKER</v>
      </c>
      <c r="N174" s="30" t="str">
        <v>B</v>
      </c>
      <c r="O174" s="36">
        <v>50</v>
      </c>
      <c r="P174" s="35">
        <v>2.65</v>
      </c>
      <c r="Q174" s="35">
        <v>2.6</v>
      </c>
      <c r="R174" s="66">
        <v>-250</v>
      </c>
      <c r="S174" s="36">
        <v>2879</v>
      </c>
      <c r="T174" s="21"/>
      <c r="U174" s="21"/>
      <c r="V174" s="79" t="s">
        <v>105</v>
      </c>
      <c r="W174" s="79"/>
      <c r="X174" s="79">
        <v>-50</v>
      </c>
      <c r="Y174" s="21"/>
      <c r="Z174" s="21"/>
      <c r="AA174" s="21"/>
      <c r="AB174" s="21"/>
      <c r="AC174" s="20"/>
    </row>
    <row r="175" spans="1:29" x14ac:dyDescent="0.3">
      <c r="A175" s="18"/>
      <c r="B175" s="21"/>
      <c r="C175" s="21"/>
      <c r="D175" s="21"/>
      <c r="E175" s="21"/>
      <c r="F175" s="21"/>
      <c r="G175" s="21"/>
      <c r="H175" s="21"/>
      <c r="I175" s="21"/>
      <c r="J175" s="21"/>
      <c r="K175" s="21"/>
      <c r="L175" s="30" t="str">
        <v>AAPL</v>
      </c>
      <c r="M175" s="30" t="str">
        <v>BROKER_B</v>
      </c>
      <c r="N175" s="30" t="str">
        <v>B</v>
      </c>
      <c r="O175" s="36">
        <v>1500</v>
      </c>
      <c r="P175" s="35">
        <v>142.02000000000001</v>
      </c>
      <c r="Q175" s="35">
        <v>141.97</v>
      </c>
      <c r="R175" s="66">
        <v>-75</v>
      </c>
      <c r="S175" s="36">
        <v>1500</v>
      </c>
      <c r="T175" s="21"/>
      <c r="U175" s="21"/>
      <c r="V175" s="79"/>
      <c r="W175" s="79"/>
      <c r="X175" s="79"/>
      <c r="Y175" s="21"/>
      <c r="Z175" s="21"/>
      <c r="AA175" s="21"/>
      <c r="AB175" s="21"/>
      <c r="AC175" s="20"/>
    </row>
    <row r="176" spans="1:29" x14ac:dyDescent="0.3">
      <c r="A176" s="18"/>
      <c r="B176" s="21"/>
      <c r="C176" s="21"/>
      <c r="D176" s="21"/>
      <c r="E176" s="21"/>
      <c r="F176" s="21"/>
      <c r="G176" s="21"/>
      <c r="H176" s="21"/>
      <c r="I176" s="21"/>
      <c r="J176" s="21"/>
      <c r="K176" s="21"/>
      <c r="L176" s="30" t="e">
        <v>#N/A</v>
      </c>
      <c r="M176" s="30" t="e">
        <v>#N/A</v>
      </c>
      <c r="N176" s="30" t="e">
        <v>#N/A</v>
      </c>
      <c r="O176" s="36" t="e">
        <v>#N/A</v>
      </c>
      <c r="P176" s="35" t="e">
        <v>#N/A</v>
      </c>
      <c r="Q176" s="35" t="e">
        <v>#N/A</v>
      </c>
      <c r="R176" s="66" t="e">
        <v>#N/A</v>
      </c>
      <c r="S176" s="36" t="e">
        <v>#N/A</v>
      </c>
      <c r="T176" s="21"/>
      <c r="U176" s="21"/>
      <c r="V176" s="79"/>
      <c r="W176" s="79"/>
      <c r="X176" s="79"/>
      <c r="Y176" s="21"/>
      <c r="Z176" s="21"/>
      <c r="AA176" s="21"/>
      <c r="AB176" s="21"/>
      <c r="AC176" s="20"/>
    </row>
    <row r="177" spans="1:29" x14ac:dyDescent="0.3">
      <c r="A177" s="18"/>
      <c r="B177" s="21"/>
      <c r="C177" s="21"/>
      <c r="D177" s="21"/>
      <c r="E177" s="21"/>
      <c r="F177" s="21"/>
      <c r="G177" s="21"/>
      <c r="H177" s="21"/>
      <c r="I177" s="21"/>
      <c r="J177" s="21"/>
      <c r="K177" s="21"/>
      <c r="L177" s="30" t="e">
        <v>#N/A</v>
      </c>
      <c r="M177" s="30" t="e">
        <v>#N/A</v>
      </c>
      <c r="N177" s="30" t="e">
        <v>#N/A</v>
      </c>
      <c r="O177" s="36" t="e">
        <v>#N/A</v>
      </c>
      <c r="P177" s="35" t="e">
        <v>#N/A</v>
      </c>
      <c r="Q177" s="35" t="e">
        <v>#N/A</v>
      </c>
      <c r="R177" s="66" t="e">
        <v>#N/A</v>
      </c>
      <c r="S177" s="36" t="e">
        <v>#N/A</v>
      </c>
      <c r="T177" s="21"/>
      <c r="U177" s="21"/>
      <c r="V177" s="79"/>
      <c r="W177" s="79"/>
      <c r="X177" s="79"/>
      <c r="Y177" s="21"/>
      <c r="Z177" s="21"/>
      <c r="AA177" s="21"/>
      <c r="AB177" s="21"/>
      <c r="AC177" s="20"/>
    </row>
    <row r="178" spans="1:29" x14ac:dyDescent="0.3">
      <c r="A178" s="18"/>
      <c r="B178" s="21"/>
      <c r="C178" s="21"/>
      <c r="D178" s="21"/>
      <c r="E178" s="21"/>
      <c r="F178" s="21"/>
      <c r="G178" s="21"/>
      <c r="H178" s="21"/>
      <c r="I178" s="21"/>
      <c r="J178" s="21"/>
      <c r="K178" s="21"/>
      <c r="L178" s="30" t="e">
        <v>#N/A</v>
      </c>
      <c r="M178" s="30" t="e">
        <v>#N/A</v>
      </c>
      <c r="N178" s="30" t="e">
        <v>#N/A</v>
      </c>
      <c r="O178" s="36" t="e">
        <v>#N/A</v>
      </c>
      <c r="P178" s="35" t="e">
        <v>#N/A</v>
      </c>
      <c r="Q178" s="35" t="e">
        <v>#N/A</v>
      </c>
      <c r="R178" s="66" t="e">
        <v>#N/A</v>
      </c>
      <c r="S178" s="36" t="e">
        <v>#N/A</v>
      </c>
      <c r="T178" s="21"/>
      <c r="U178" s="21"/>
      <c r="V178" s="79"/>
      <c r="W178" s="79"/>
      <c r="X178" s="79"/>
      <c r="Y178" s="21"/>
      <c r="Z178" s="21"/>
      <c r="AA178" s="21"/>
      <c r="AB178" s="21"/>
      <c r="AC178" s="20"/>
    </row>
    <row r="179" spans="1:29" x14ac:dyDescent="0.3">
      <c r="A179" s="18"/>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0"/>
    </row>
    <row r="180" spans="1:29" x14ac:dyDescent="0.3">
      <c r="A180" s="18"/>
      <c r="B180" s="21"/>
      <c r="C180" s="21"/>
      <c r="D180" s="21"/>
      <c r="E180" s="21"/>
      <c r="F180" s="21"/>
      <c r="G180" s="21"/>
      <c r="H180" s="21"/>
      <c r="I180" s="21"/>
      <c r="J180" s="21"/>
      <c r="K180" s="21"/>
      <c r="L180" s="67"/>
      <c r="M180" s="67"/>
      <c r="N180" s="67"/>
      <c r="O180" s="67"/>
      <c r="P180" s="67"/>
      <c r="Q180" s="67"/>
      <c r="R180" s="67"/>
      <c r="S180" s="67"/>
      <c r="T180" s="67"/>
      <c r="U180" s="67"/>
      <c r="V180" s="67"/>
      <c r="W180" s="67"/>
      <c r="X180" s="67"/>
      <c r="Y180" s="67"/>
      <c r="Z180" s="67"/>
      <c r="AA180" s="67"/>
      <c r="AB180" s="21"/>
      <c r="AC180" s="20"/>
    </row>
    <row r="181" spans="1:29" x14ac:dyDescent="0.3">
      <c r="A181" s="18"/>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0"/>
    </row>
    <row r="182" spans="1:29" x14ac:dyDescent="0.3">
      <c r="A182" s="18"/>
      <c r="B182" s="21"/>
      <c r="C182" s="21"/>
      <c r="D182" s="21"/>
      <c r="E182" s="21"/>
      <c r="F182" s="21"/>
      <c r="G182" s="21"/>
      <c r="H182" s="21"/>
      <c r="I182" s="21"/>
      <c r="J182" s="21"/>
      <c r="K182" s="21"/>
      <c r="L182" s="492" t="s">
        <v>3397</v>
      </c>
      <c r="M182" s="529"/>
      <c r="N182" s="529"/>
      <c r="O182" s="529"/>
      <c r="P182" s="529"/>
      <c r="Q182" s="529"/>
      <c r="R182" s="529"/>
      <c r="S182" s="493"/>
      <c r="T182" s="21"/>
      <c r="U182" s="21"/>
      <c r="V182" s="475" t="s">
        <v>125</v>
      </c>
      <c r="W182" s="475"/>
      <c r="X182" s="475"/>
      <c r="Y182" s="21"/>
      <c r="Z182" s="21"/>
      <c r="AA182" s="21"/>
      <c r="AB182" s="21"/>
      <c r="AC182" s="20"/>
    </row>
    <row r="183" spans="1:29" x14ac:dyDescent="0.3">
      <c r="A183" s="18"/>
      <c r="B183" s="21"/>
      <c r="C183" s="21"/>
      <c r="D183" s="21"/>
      <c r="E183" s="21"/>
      <c r="F183" s="21"/>
      <c r="G183" s="21"/>
      <c r="H183" s="21"/>
      <c r="I183" s="21"/>
      <c r="J183" s="21"/>
      <c r="K183" s="21"/>
      <c r="L183" s="3" t="str">
        <f t="array" ref="L183:S188">_xll.U.VFILTER(B7:I20,V184:X188)</f>
        <v>Symbol</v>
      </c>
      <c r="M183" s="3" t="str">
        <v>Broker</v>
      </c>
      <c r="N183" s="3" t="str">
        <v>Side</v>
      </c>
      <c r="O183" s="3" t="str">
        <v>Quantity</v>
      </c>
      <c r="P183" s="3" t="str">
        <v>Trade Price</v>
      </c>
      <c r="Q183" s="3" t="str">
        <v>Current Price</v>
      </c>
      <c r="R183" s="3" t="str">
        <v>P&amp;L</v>
      </c>
      <c r="S183" s="3" t="str">
        <v>Current Delta</v>
      </c>
      <c r="T183" s="21"/>
      <c r="U183" s="21"/>
      <c r="V183" s="9" t="s">
        <v>126</v>
      </c>
      <c r="W183" s="9" t="s">
        <v>133</v>
      </c>
      <c r="X183" s="9" t="s">
        <v>134</v>
      </c>
      <c r="Y183" s="21"/>
      <c r="Z183" s="21"/>
      <c r="AA183" s="21"/>
      <c r="AB183" s="21"/>
      <c r="AC183" s="20"/>
    </row>
    <row r="184" spans="1:29" x14ac:dyDescent="0.3">
      <c r="A184" s="18"/>
      <c r="B184" s="21"/>
      <c r="C184" s="21"/>
      <c r="D184" s="21"/>
      <c r="E184" s="21"/>
      <c r="F184" s="21"/>
      <c r="G184" s="21"/>
      <c r="H184" s="21"/>
      <c r="I184" s="21"/>
      <c r="J184" s="21"/>
      <c r="K184" s="21"/>
      <c r="L184" s="30" t="str">
        <v>AAPL</v>
      </c>
      <c r="M184" s="30" t="str">
        <v>BROKER_B</v>
      </c>
      <c r="N184" s="30" t="str">
        <v>B</v>
      </c>
      <c r="O184" s="36">
        <v>1500</v>
      </c>
      <c r="P184" s="35">
        <v>142.02000000000001</v>
      </c>
      <c r="Q184" s="35">
        <v>141.97</v>
      </c>
      <c r="R184" s="66">
        <v>-75</v>
      </c>
      <c r="S184" s="36">
        <v>1500</v>
      </c>
      <c r="T184" s="21"/>
      <c r="U184" s="21"/>
      <c r="V184" s="79" t="s">
        <v>105</v>
      </c>
      <c r="W184" s="79"/>
      <c r="X184" s="79">
        <v>-50</v>
      </c>
      <c r="Y184" s="21"/>
      <c r="Z184" s="21"/>
      <c r="AA184" s="21"/>
      <c r="AB184" s="21"/>
      <c r="AC184" s="20"/>
    </row>
    <row r="185" spans="1:29" x14ac:dyDescent="0.3">
      <c r="A185" s="18"/>
      <c r="B185" s="21"/>
      <c r="C185" s="21"/>
      <c r="D185" s="21"/>
      <c r="E185" s="21"/>
      <c r="F185" s="21"/>
      <c r="G185" s="21"/>
      <c r="H185" s="21"/>
      <c r="I185" s="21"/>
      <c r="J185" s="21"/>
      <c r="K185" s="21"/>
      <c r="L185" s="30" t="e">
        <v>#N/A</v>
      </c>
      <c r="M185" s="30" t="e">
        <v>#N/A</v>
      </c>
      <c r="N185" s="30" t="e">
        <v>#N/A</v>
      </c>
      <c r="O185" s="36" t="e">
        <v>#N/A</v>
      </c>
      <c r="P185" s="35" t="e">
        <v>#N/A</v>
      </c>
      <c r="Q185" s="35" t="e">
        <v>#N/A</v>
      </c>
      <c r="R185" s="66" t="e">
        <v>#N/A</v>
      </c>
      <c r="S185" s="36" t="e">
        <v>#N/A</v>
      </c>
      <c r="T185" s="21"/>
      <c r="U185" s="21"/>
      <c r="V185" s="79" t="s">
        <v>2</v>
      </c>
      <c r="W185" s="79" t="s">
        <v>106</v>
      </c>
      <c r="X185" s="79" t="s">
        <v>106</v>
      </c>
      <c r="Y185" s="21"/>
      <c r="Z185" s="21"/>
      <c r="AA185" s="21"/>
      <c r="AB185" s="21"/>
      <c r="AC185" s="20"/>
    </row>
    <row r="186" spans="1:29" x14ac:dyDescent="0.3">
      <c r="A186" s="18"/>
      <c r="B186" s="21"/>
      <c r="C186" s="21"/>
      <c r="D186" s="21"/>
      <c r="E186" s="21"/>
      <c r="F186" s="21"/>
      <c r="G186" s="21"/>
      <c r="H186" s="21"/>
      <c r="I186" s="21"/>
      <c r="J186" s="21"/>
      <c r="K186" s="21"/>
      <c r="L186" s="30" t="e">
        <v>#N/A</v>
      </c>
      <c r="M186" s="30" t="e">
        <v>#N/A</v>
      </c>
      <c r="N186" s="30" t="e">
        <v>#N/A</v>
      </c>
      <c r="O186" s="36" t="e">
        <v>#N/A</v>
      </c>
      <c r="P186" s="35" t="e">
        <v>#N/A</v>
      </c>
      <c r="Q186" s="35" t="e">
        <v>#N/A</v>
      </c>
      <c r="R186" s="66" t="e">
        <v>#N/A</v>
      </c>
      <c r="S186" s="36" t="e">
        <v>#N/A</v>
      </c>
      <c r="T186" s="21"/>
      <c r="U186" s="21"/>
      <c r="V186" s="79"/>
      <c r="W186" s="79"/>
      <c r="X186" s="79"/>
      <c r="Y186" s="21"/>
      <c r="Z186" s="21"/>
      <c r="AA186" s="21"/>
      <c r="AB186" s="21"/>
      <c r="AC186" s="20"/>
    </row>
    <row r="187" spans="1:29" x14ac:dyDescent="0.3">
      <c r="A187" s="18"/>
      <c r="B187" s="21"/>
      <c r="C187" s="21"/>
      <c r="D187" s="21"/>
      <c r="E187" s="21"/>
      <c r="F187" s="21"/>
      <c r="G187" s="21"/>
      <c r="H187" s="21"/>
      <c r="I187" s="21"/>
      <c r="J187" s="21"/>
      <c r="K187" s="21"/>
      <c r="L187" s="30" t="e">
        <v>#N/A</v>
      </c>
      <c r="M187" s="30" t="e">
        <v>#N/A</v>
      </c>
      <c r="N187" s="30" t="e">
        <v>#N/A</v>
      </c>
      <c r="O187" s="36" t="e">
        <v>#N/A</v>
      </c>
      <c r="P187" s="35" t="e">
        <v>#N/A</v>
      </c>
      <c r="Q187" s="35" t="e">
        <v>#N/A</v>
      </c>
      <c r="R187" s="66" t="e">
        <v>#N/A</v>
      </c>
      <c r="S187" s="36" t="e">
        <v>#N/A</v>
      </c>
      <c r="T187" s="21"/>
      <c r="U187" s="21"/>
      <c r="V187" s="79"/>
      <c r="W187" s="79"/>
      <c r="X187" s="79"/>
      <c r="Y187" s="21"/>
      <c r="Z187" s="21"/>
      <c r="AA187" s="21"/>
      <c r="AB187" s="21"/>
      <c r="AC187" s="20"/>
    </row>
    <row r="188" spans="1:29" x14ac:dyDescent="0.3">
      <c r="A188" s="18"/>
      <c r="B188" s="21"/>
      <c r="C188" s="21"/>
      <c r="D188" s="21"/>
      <c r="E188" s="21"/>
      <c r="F188" s="21"/>
      <c r="G188" s="21"/>
      <c r="H188" s="21"/>
      <c r="I188" s="21"/>
      <c r="J188" s="21"/>
      <c r="K188" s="21"/>
      <c r="L188" s="30" t="e">
        <v>#N/A</v>
      </c>
      <c r="M188" s="30" t="e">
        <v>#N/A</v>
      </c>
      <c r="N188" s="30" t="e">
        <v>#N/A</v>
      </c>
      <c r="O188" s="36" t="e">
        <v>#N/A</v>
      </c>
      <c r="P188" s="35" t="e">
        <v>#N/A</v>
      </c>
      <c r="Q188" s="35" t="e">
        <v>#N/A</v>
      </c>
      <c r="R188" s="66" t="e">
        <v>#N/A</v>
      </c>
      <c r="S188" s="36" t="e">
        <v>#N/A</v>
      </c>
      <c r="T188" s="21"/>
      <c r="U188" s="21"/>
      <c r="V188" s="79"/>
      <c r="W188" s="79"/>
      <c r="X188" s="79"/>
      <c r="Y188" s="21"/>
      <c r="Z188" s="21"/>
      <c r="AA188" s="21"/>
      <c r="AB188" s="21"/>
      <c r="AC188" s="20"/>
    </row>
    <row r="189" spans="1:29" x14ac:dyDescent="0.3">
      <c r="A189" s="18"/>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0"/>
    </row>
    <row r="190" spans="1:29" x14ac:dyDescent="0.3">
      <c r="A190" s="18"/>
      <c r="B190" s="21"/>
      <c r="C190" s="21"/>
      <c r="D190" s="21"/>
      <c r="E190" s="21"/>
      <c r="F190" s="21"/>
      <c r="G190" s="21"/>
      <c r="H190" s="21"/>
      <c r="I190" s="21"/>
      <c r="J190" s="21"/>
      <c r="K190" s="21"/>
      <c r="L190" s="67"/>
      <c r="M190" s="67"/>
      <c r="N190" s="67"/>
      <c r="O190" s="67"/>
      <c r="P190" s="67"/>
      <c r="Q190" s="67"/>
      <c r="R190" s="67"/>
      <c r="S190" s="67"/>
      <c r="T190" s="67"/>
      <c r="U190" s="67"/>
      <c r="V190" s="67"/>
      <c r="W190" s="67"/>
      <c r="X190" s="67"/>
      <c r="Y190" s="67"/>
      <c r="Z190" s="67"/>
      <c r="AA190" s="67"/>
      <c r="AB190" s="21"/>
      <c r="AC190" s="20"/>
    </row>
    <row r="191" spans="1:29" x14ac:dyDescent="0.3">
      <c r="A191" s="18"/>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0"/>
    </row>
    <row r="192" spans="1:29" x14ac:dyDescent="0.3">
      <c r="A192" s="18"/>
      <c r="B192" s="21"/>
      <c r="C192" s="21"/>
      <c r="D192" s="21"/>
      <c r="E192" s="21"/>
      <c r="F192" s="21"/>
      <c r="G192" s="21"/>
      <c r="H192" s="21"/>
      <c r="I192" s="21"/>
      <c r="J192" s="21"/>
      <c r="K192" s="21"/>
      <c r="L192" s="492" t="s">
        <v>3397</v>
      </c>
      <c r="M192" s="529"/>
      <c r="N192" s="529"/>
      <c r="O192" s="529"/>
      <c r="P192" s="529"/>
      <c r="Q192" s="529"/>
      <c r="R192" s="529"/>
      <c r="S192" s="493"/>
      <c r="T192" s="21"/>
      <c r="U192" s="21"/>
      <c r="V192" s="475" t="s">
        <v>125</v>
      </c>
      <c r="W192" s="475"/>
      <c r="X192" s="21"/>
      <c r="Y192" s="21"/>
      <c r="Z192" s="21"/>
      <c r="AA192" s="21"/>
      <c r="AB192" s="21"/>
      <c r="AC192" s="20"/>
    </row>
    <row r="193" spans="1:29" x14ac:dyDescent="0.3">
      <c r="A193" s="18"/>
      <c r="B193" s="21"/>
      <c r="C193" s="21"/>
      <c r="D193" s="21"/>
      <c r="E193" s="21"/>
      <c r="F193" s="21"/>
      <c r="G193" s="21"/>
      <c r="H193" s="21"/>
      <c r="I193" s="21"/>
      <c r="J193" s="21"/>
      <c r="K193" s="21"/>
      <c r="L193" s="3" t="str">
        <f t="array" ref="L193:S198">_xll.U.VFILTER(B69:I74,V194:W198)</f>
        <v>Symbol</v>
      </c>
      <c r="M193" s="3" t="str">
        <v>Broker</v>
      </c>
      <c r="N193" s="3" t="str">
        <v>Side</v>
      </c>
      <c r="O193" s="3" t="str">
        <v>Quantity</v>
      </c>
      <c r="P193" s="3" t="str">
        <v>Trade Price</v>
      </c>
      <c r="Q193" s="3" t="str">
        <v>Current Price</v>
      </c>
      <c r="R193" s="3" t="str">
        <v>P&amp;L</v>
      </c>
      <c r="S193" s="3" t="str">
        <v>Current Delta</v>
      </c>
      <c r="T193" s="21"/>
      <c r="U193" s="21"/>
      <c r="V193" s="9" t="s">
        <v>126</v>
      </c>
      <c r="W193" s="9" t="s">
        <v>17</v>
      </c>
      <c r="X193" s="21"/>
      <c r="Y193" s="21"/>
      <c r="Z193" s="21"/>
      <c r="AA193" s="21"/>
      <c r="AB193" s="21"/>
      <c r="AC193" s="20"/>
    </row>
    <row r="194" spans="1:29" x14ac:dyDescent="0.3">
      <c r="A194" s="18"/>
      <c r="B194" s="21"/>
      <c r="C194" s="21"/>
      <c r="D194" s="21"/>
      <c r="E194" s="21"/>
      <c r="F194" s="21"/>
      <c r="G194" s="21"/>
      <c r="H194" s="21"/>
      <c r="I194" s="21"/>
      <c r="J194" s="21"/>
      <c r="K194" s="21"/>
      <c r="L194" s="30" t="str">
        <v>IBM</v>
      </c>
      <c r="M194" s="30" t="str">
        <v>TOM</v>
      </c>
      <c r="N194" s="30" t="str">
        <v>S</v>
      </c>
      <c r="O194" s="36">
        <v>-3000</v>
      </c>
      <c r="P194" s="35">
        <v>159.49</v>
      </c>
      <c r="Q194" s="35">
        <v>159.37</v>
      </c>
      <c r="R194" s="66">
        <v>360</v>
      </c>
      <c r="S194" s="36">
        <v>-3000</v>
      </c>
      <c r="T194" s="21"/>
      <c r="U194" s="21"/>
      <c r="V194" s="79" t="s">
        <v>2</v>
      </c>
      <c r="W194" s="79" t="s">
        <v>107</v>
      </c>
      <c r="X194" s="21"/>
      <c r="Y194" s="21"/>
      <c r="Z194" s="21"/>
      <c r="AA194" s="21"/>
      <c r="AB194" s="21"/>
      <c r="AC194" s="20"/>
    </row>
    <row r="195" spans="1:29" x14ac:dyDescent="0.3">
      <c r="A195" s="18"/>
      <c r="B195" s="21"/>
      <c r="C195" s="21"/>
      <c r="D195" s="21"/>
      <c r="E195" s="21"/>
      <c r="F195" s="21"/>
      <c r="G195" s="21"/>
      <c r="H195" s="21"/>
      <c r="I195" s="21"/>
      <c r="J195" s="21"/>
      <c r="K195" s="21"/>
      <c r="L195" s="30" t="str">
        <v>IBM</v>
      </c>
      <c r="M195" s="30" t="str">
        <v>TOM</v>
      </c>
      <c r="N195" s="30" t="str">
        <v>S</v>
      </c>
      <c r="O195" s="36">
        <v>-100</v>
      </c>
      <c r="P195" s="35">
        <v>159.5</v>
      </c>
      <c r="Q195" s="35">
        <v>159.37</v>
      </c>
      <c r="R195" s="66">
        <v>13</v>
      </c>
      <c r="S195" s="36">
        <v>-3000</v>
      </c>
      <c r="T195" s="21"/>
      <c r="U195" s="21"/>
      <c r="V195" s="79" t="s">
        <v>101</v>
      </c>
      <c r="W195" s="79" t="s">
        <v>3770</v>
      </c>
      <c r="X195" s="21"/>
      <c r="Y195" s="21"/>
      <c r="Z195" s="21"/>
      <c r="AA195" s="21"/>
      <c r="AB195" s="21"/>
      <c r="AC195" s="20"/>
    </row>
    <row r="196" spans="1:29" x14ac:dyDescent="0.3">
      <c r="A196" s="18"/>
      <c r="B196" s="21"/>
      <c r="C196" s="21"/>
      <c r="D196" s="21"/>
      <c r="E196" s="21"/>
      <c r="F196" s="21"/>
      <c r="G196" s="21"/>
      <c r="H196" s="21"/>
      <c r="I196" s="21"/>
      <c r="J196" s="21"/>
      <c r="K196" s="21"/>
      <c r="L196" s="30" t="e">
        <v>#N/A</v>
      </c>
      <c r="M196" s="30" t="e">
        <v>#N/A</v>
      </c>
      <c r="N196" s="30" t="e">
        <v>#N/A</v>
      </c>
      <c r="O196" s="36" t="e">
        <v>#N/A</v>
      </c>
      <c r="P196" s="35" t="e">
        <v>#N/A</v>
      </c>
      <c r="Q196" s="35" t="e">
        <v>#N/A</v>
      </c>
      <c r="R196" s="66" t="e">
        <v>#N/A</v>
      </c>
      <c r="S196" s="36" t="e">
        <v>#N/A</v>
      </c>
      <c r="T196" s="21"/>
      <c r="U196" s="21"/>
      <c r="V196" s="79"/>
      <c r="W196" s="79"/>
      <c r="X196" s="21"/>
      <c r="Y196" s="21"/>
      <c r="Z196" s="21"/>
      <c r="AA196" s="21"/>
      <c r="AB196" s="21"/>
      <c r="AC196" s="20"/>
    </row>
    <row r="197" spans="1:29" x14ac:dyDescent="0.3">
      <c r="A197" s="18"/>
      <c r="B197" s="21"/>
      <c r="C197" s="21"/>
      <c r="D197" s="21"/>
      <c r="E197" s="21"/>
      <c r="F197" s="21"/>
      <c r="G197" s="21"/>
      <c r="H197" s="21"/>
      <c r="I197" s="21"/>
      <c r="J197" s="21"/>
      <c r="K197" s="21"/>
      <c r="L197" s="30" t="e">
        <v>#N/A</v>
      </c>
      <c r="M197" s="30" t="e">
        <v>#N/A</v>
      </c>
      <c r="N197" s="30" t="e">
        <v>#N/A</v>
      </c>
      <c r="O197" s="36" t="e">
        <v>#N/A</v>
      </c>
      <c r="P197" s="35" t="e">
        <v>#N/A</v>
      </c>
      <c r="Q197" s="35" t="e">
        <v>#N/A</v>
      </c>
      <c r="R197" s="66" t="e">
        <v>#N/A</v>
      </c>
      <c r="S197" s="36" t="e">
        <v>#N/A</v>
      </c>
      <c r="T197" s="21"/>
      <c r="U197" s="21"/>
      <c r="V197" s="79"/>
      <c r="W197" s="79"/>
      <c r="X197" s="21"/>
      <c r="Y197" s="21"/>
      <c r="Z197" s="21"/>
      <c r="AA197" s="21"/>
      <c r="AB197" s="21"/>
      <c r="AC197" s="20"/>
    </row>
    <row r="198" spans="1:29" x14ac:dyDescent="0.3">
      <c r="A198" s="18"/>
      <c r="B198" s="21"/>
      <c r="C198" s="21"/>
      <c r="D198" s="21"/>
      <c r="E198" s="21"/>
      <c r="F198" s="21"/>
      <c r="G198" s="21"/>
      <c r="H198" s="21"/>
      <c r="I198" s="21"/>
      <c r="J198" s="21"/>
      <c r="K198" s="21"/>
      <c r="L198" s="30" t="e">
        <v>#N/A</v>
      </c>
      <c r="M198" s="30" t="e">
        <v>#N/A</v>
      </c>
      <c r="N198" s="30" t="e">
        <v>#N/A</v>
      </c>
      <c r="O198" s="36" t="e">
        <v>#N/A</v>
      </c>
      <c r="P198" s="35" t="e">
        <v>#N/A</v>
      </c>
      <c r="Q198" s="35" t="e">
        <v>#N/A</v>
      </c>
      <c r="R198" s="66" t="e">
        <v>#N/A</v>
      </c>
      <c r="S198" s="36" t="e">
        <v>#N/A</v>
      </c>
      <c r="T198" s="21"/>
      <c r="U198" s="21"/>
      <c r="V198" s="79"/>
      <c r="W198" s="79"/>
      <c r="X198" s="21"/>
      <c r="Y198" s="21"/>
      <c r="Z198" s="21"/>
      <c r="AA198" s="21"/>
      <c r="AB198" s="21"/>
      <c r="AC198" s="20"/>
    </row>
    <row r="199" spans="1:29" x14ac:dyDescent="0.3">
      <c r="A199" s="18"/>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0"/>
    </row>
    <row r="200" spans="1:29" x14ac:dyDescent="0.3">
      <c r="A200" s="18"/>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0"/>
    </row>
    <row r="201" spans="1:29" x14ac:dyDescent="0.3">
      <c r="A201" s="18"/>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0"/>
    </row>
    <row r="202" spans="1:29" x14ac:dyDescent="0.3">
      <c r="A202" s="18"/>
      <c r="B202" s="21"/>
      <c r="C202" s="21"/>
      <c r="D202" s="21"/>
      <c r="E202" s="21"/>
      <c r="F202" s="21"/>
      <c r="G202" s="21"/>
      <c r="H202" s="21"/>
      <c r="I202" s="21"/>
      <c r="J202" s="21"/>
      <c r="K202" s="21"/>
      <c r="L202" s="67"/>
      <c r="M202" s="67"/>
      <c r="N202" s="67"/>
      <c r="O202" s="67"/>
      <c r="P202" s="67"/>
      <c r="Q202" s="67"/>
      <c r="R202" s="67"/>
      <c r="S202" s="67"/>
      <c r="T202" s="67"/>
      <c r="U202" s="67"/>
      <c r="V202" s="67"/>
      <c r="W202" s="67"/>
      <c r="X202" s="67"/>
      <c r="Y202" s="67"/>
      <c r="Z202" s="67"/>
      <c r="AA202" s="67"/>
      <c r="AB202" s="21"/>
      <c r="AC202" s="20"/>
    </row>
    <row r="203" spans="1:29" ht="15" thickBot="1" x14ac:dyDescent="0.35">
      <c r="A203" s="18"/>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0"/>
    </row>
    <row r="204" spans="1:29" x14ac:dyDescent="0.3">
      <c r="A204" s="18"/>
      <c r="B204" s="21"/>
      <c r="C204" s="21"/>
      <c r="D204" s="21"/>
      <c r="E204" s="21"/>
      <c r="F204" s="21"/>
      <c r="G204" s="21"/>
      <c r="H204" s="21"/>
      <c r="I204" s="21"/>
      <c r="J204" s="21"/>
      <c r="K204" s="21"/>
      <c r="L204" s="492" t="s">
        <v>3397</v>
      </c>
      <c r="M204" s="529"/>
      <c r="N204" s="529"/>
      <c r="O204" s="529"/>
      <c r="P204" s="529"/>
      <c r="Q204" s="529"/>
      <c r="R204" s="529"/>
      <c r="S204" s="493"/>
      <c r="T204" s="21"/>
      <c r="U204" s="21"/>
      <c r="V204" s="536" t="s">
        <v>137</v>
      </c>
      <c r="W204" s="537"/>
      <c r="X204" s="538"/>
      <c r="Y204" s="536" t="s">
        <v>138</v>
      </c>
      <c r="Z204" s="538"/>
      <c r="AA204" s="21"/>
      <c r="AB204" s="21"/>
      <c r="AC204" s="20"/>
    </row>
    <row r="205" spans="1:29" x14ac:dyDescent="0.3">
      <c r="A205" s="18"/>
      <c r="B205" s="21"/>
      <c r="C205" s="21"/>
      <c r="D205" s="21"/>
      <c r="E205" s="21"/>
      <c r="F205" s="21"/>
      <c r="G205" s="21"/>
      <c r="H205" s="21"/>
      <c r="I205" s="21"/>
      <c r="J205" s="21"/>
      <c r="K205" s="21"/>
      <c r="L205" s="3" t="str">
        <f t="array" ref="L205:S210">_xll.U.VFILTER(B7:I20,(V206:X206,Y206:Z206))</f>
        <v>Symbol</v>
      </c>
      <c r="M205" s="3" t="str">
        <v>Broker</v>
      </c>
      <c r="N205" s="3" t="str">
        <v>Side</v>
      </c>
      <c r="O205" s="3" t="str">
        <v>Quantity</v>
      </c>
      <c r="P205" s="3" t="str">
        <v>Trade Price</v>
      </c>
      <c r="Q205" s="3" t="str">
        <v>Current Price</v>
      </c>
      <c r="R205" s="3" t="str">
        <v>P&amp;L</v>
      </c>
      <c r="S205" s="3" t="str">
        <v>Current Delta</v>
      </c>
      <c r="T205" s="21"/>
      <c r="U205" s="21"/>
      <c r="V205" s="82" t="s">
        <v>126</v>
      </c>
      <c r="W205" s="9" t="s">
        <v>133</v>
      </c>
      <c r="X205" s="83" t="s">
        <v>134</v>
      </c>
      <c r="Y205" s="82" t="s">
        <v>126</v>
      </c>
      <c r="Z205" s="83" t="s">
        <v>17</v>
      </c>
      <c r="AA205" s="21"/>
      <c r="AB205" s="21"/>
      <c r="AC205" s="20"/>
    </row>
    <row r="206" spans="1:29" ht="15" thickBot="1" x14ac:dyDescent="0.35">
      <c r="A206" s="18"/>
      <c r="B206" s="21"/>
      <c r="C206" s="21"/>
      <c r="D206" s="21"/>
      <c r="E206" s="21"/>
      <c r="F206" s="21"/>
      <c r="G206" s="21"/>
      <c r="H206" s="21"/>
      <c r="I206" s="21"/>
      <c r="J206" s="21"/>
      <c r="K206" s="21"/>
      <c r="L206" s="30" t="str">
        <v>AAPL</v>
      </c>
      <c r="M206" s="30" t="str">
        <v>BROKER_B</v>
      </c>
      <c r="N206" s="30" t="str">
        <v>B</v>
      </c>
      <c r="O206" s="36">
        <v>1500</v>
      </c>
      <c r="P206" s="35">
        <v>142.02000000000001</v>
      </c>
      <c r="Q206" s="35">
        <v>141.97</v>
      </c>
      <c r="R206" s="66">
        <v>-75</v>
      </c>
      <c r="S206" s="36">
        <v>1500</v>
      </c>
      <c r="T206" s="21"/>
      <c r="U206" s="21"/>
      <c r="V206" s="77" t="s">
        <v>105</v>
      </c>
      <c r="W206" s="84"/>
      <c r="X206" s="78">
        <v>-50</v>
      </c>
      <c r="Y206" s="77" t="s">
        <v>2</v>
      </c>
      <c r="Z206" s="78" t="s">
        <v>106</v>
      </c>
      <c r="AA206" s="21"/>
      <c r="AB206" s="21"/>
      <c r="AC206" s="20"/>
    </row>
    <row r="207" spans="1:29" x14ac:dyDescent="0.3">
      <c r="A207" s="18"/>
      <c r="B207" s="21"/>
      <c r="C207" s="21"/>
      <c r="D207" s="21"/>
      <c r="E207" s="21"/>
      <c r="F207" s="21"/>
      <c r="G207" s="21"/>
      <c r="H207" s="21"/>
      <c r="I207" s="21"/>
      <c r="J207" s="21"/>
      <c r="K207" s="21"/>
      <c r="L207" s="30" t="e">
        <v>#N/A</v>
      </c>
      <c r="M207" s="30" t="e">
        <v>#N/A</v>
      </c>
      <c r="N207" s="30" t="e">
        <v>#N/A</v>
      </c>
      <c r="O207" s="36" t="e">
        <v>#N/A</v>
      </c>
      <c r="P207" s="35" t="e">
        <v>#N/A</v>
      </c>
      <c r="Q207" s="35" t="e">
        <v>#N/A</v>
      </c>
      <c r="R207" s="66" t="e">
        <v>#N/A</v>
      </c>
      <c r="S207" s="36" t="e">
        <v>#N/A</v>
      </c>
      <c r="T207" s="21"/>
      <c r="U207" s="21"/>
      <c r="V207" s="21"/>
      <c r="W207" s="21"/>
      <c r="X207" s="21"/>
      <c r="Y207" s="21"/>
      <c r="Z207" s="21"/>
      <c r="AA207" s="21"/>
      <c r="AB207" s="21"/>
      <c r="AC207" s="20"/>
    </row>
    <row r="208" spans="1:29" x14ac:dyDescent="0.3">
      <c r="A208" s="18"/>
      <c r="B208" s="21"/>
      <c r="C208" s="21"/>
      <c r="D208" s="21"/>
      <c r="E208" s="21"/>
      <c r="F208" s="21"/>
      <c r="G208" s="21"/>
      <c r="H208" s="21"/>
      <c r="I208" s="21"/>
      <c r="J208" s="21"/>
      <c r="K208" s="21"/>
      <c r="L208" s="30" t="e">
        <v>#N/A</v>
      </c>
      <c r="M208" s="30" t="e">
        <v>#N/A</v>
      </c>
      <c r="N208" s="30" t="e">
        <v>#N/A</v>
      </c>
      <c r="O208" s="36" t="e">
        <v>#N/A</v>
      </c>
      <c r="P208" s="35" t="e">
        <v>#N/A</v>
      </c>
      <c r="Q208" s="35" t="e">
        <v>#N/A</v>
      </c>
      <c r="R208" s="66" t="e">
        <v>#N/A</v>
      </c>
      <c r="S208" s="36" t="e">
        <v>#N/A</v>
      </c>
      <c r="T208" s="21"/>
      <c r="U208" s="21"/>
      <c r="V208" s="21"/>
      <c r="W208" s="21"/>
      <c r="X208" s="21"/>
      <c r="Y208" s="21"/>
      <c r="Z208" s="21"/>
      <c r="AA208" s="21"/>
      <c r="AB208" s="21"/>
      <c r="AC208" s="20"/>
    </row>
    <row r="209" spans="1:29" x14ac:dyDescent="0.3">
      <c r="A209" s="18"/>
      <c r="B209" s="21"/>
      <c r="C209" s="21"/>
      <c r="D209" s="21"/>
      <c r="E209" s="21"/>
      <c r="F209" s="21"/>
      <c r="G209" s="21"/>
      <c r="H209" s="21"/>
      <c r="I209" s="21"/>
      <c r="J209" s="21"/>
      <c r="K209" s="21"/>
      <c r="L209" s="30" t="e">
        <v>#N/A</v>
      </c>
      <c r="M209" s="30" t="e">
        <v>#N/A</v>
      </c>
      <c r="N209" s="30" t="e">
        <v>#N/A</v>
      </c>
      <c r="O209" s="36" t="e">
        <v>#N/A</v>
      </c>
      <c r="P209" s="35" t="e">
        <v>#N/A</v>
      </c>
      <c r="Q209" s="35" t="e">
        <v>#N/A</v>
      </c>
      <c r="R209" s="66" t="e">
        <v>#N/A</v>
      </c>
      <c r="S209" s="36" t="e">
        <v>#N/A</v>
      </c>
      <c r="T209" s="21"/>
      <c r="U209" s="21"/>
      <c r="V209" s="21"/>
      <c r="W209" s="21"/>
      <c r="X209" s="21"/>
      <c r="Y209" s="21"/>
      <c r="Z209" s="21"/>
      <c r="AA209" s="21"/>
      <c r="AB209" s="21"/>
      <c r="AC209" s="20"/>
    </row>
    <row r="210" spans="1:29" x14ac:dyDescent="0.3">
      <c r="A210" s="18"/>
      <c r="B210" s="21"/>
      <c r="C210" s="21"/>
      <c r="D210" s="21"/>
      <c r="E210" s="21"/>
      <c r="F210" s="21"/>
      <c r="G210" s="21"/>
      <c r="H210" s="21"/>
      <c r="I210" s="21"/>
      <c r="J210" s="21"/>
      <c r="K210" s="21"/>
      <c r="L210" s="30" t="e">
        <v>#N/A</v>
      </c>
      <c r="M210" s="30" t="e">
        <v>#N/A</v>
      </c>
      <c r="N210" s="30" t="e">
        <v>#N/A</v>
      </c>
      <c r="O210" s="36" t="e">
        <v>#N/A</v>
      </c>
      <c r="P210" s="35" t="e">
        <v>#N/A</v>
      </c>
      <c r="Q210" s="35" t="e">
        <v>#N/A</v>
      </c>
      <c r="R210" s="66" t="e">
        <v>#N/A</v>
      </c>
      <c r="S210" s="36" t="e">
        <v>#N/A</v>
      </c>
      <c r="T210" s="21"/>
      <c r="U210" s="21"/>
      <c r="V210" s="21"/>
      <c r="W210" s="21"/>
      <c r="X210" s="21"/>
      <c r="Y210" s="21"/>
      <c r="Z210" s="21"/>
      <c r="AA210" s="21"/>
      <c r="AB210" s="21"/>
      <c r="AC210" s="20"/>
    </row>
    <row r="211" spans="1:29" x14ac:dyDescent="0.3">
      <c r="A211" s="18"/>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0"/>
    </row>
    <row r="212" spans="1:29" x14ac:dyDescent="0.3">
      <c r="A212" s="18"/>
      <c r="B212" s="21"/>
      <c r="C212" s="21"/>
      <c r="D212" s="21"/>
      <c r="E212" s="21"/>
      <c r="F212" s="21"/>
      <c r="G212" s="21"/>
      <c r="H212" s="21"/>
      <c r="I212" s="21"/>
      <c r="J212" s="21"/>
      <c r="K212" s="21"/>
      <c r="L212" s="67"/>
      <c r="M212" s="67"/>
      <c r="N212" s="67"/>
      <c r="O212" s="67"/>
      <c r="P212" s="67"/>
      <c r="Q212" s="67"/>
      <c r="R212" s="67"/>
      <c r="S212" s="67"/>
      <c r="T212" s="67"/>
      <c r="U212" s="67"/>
      <c r="V212" s="67"/>
      <c r="W212" s="67"/>
      <c r="X212" s="67"/>
      <c r="Y212" s="67"/>
      <c r="Z212" s="67"/>
      <c r="AA212" s="67"/>
      <c r="AB212" s="21"/>
      <c r="AC212" s="20"/>
    </row>
    <row r="213" spans="1:29" x14ac:dyDescent="0.3">
      <c r="A213" s="18"/>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0"/>
    </row>
    <row r="214" spans="1:29" x14ac:dyDescent="0.3">
      <c r="A214" s="18"/>
      <c r="B214" s="492" t="s">
        <v>65</v>
      </c>
      <c r="C214" s="529"/>
      <c r="D214" s="529"/>
      <c r="E214" s="529"/>
      <c r="F214" s="529"/>
      <c r="G214" s="529"/>
      <c r="H214" s="529"/>
      <c r="I214" s="493"/>
      <c r="J214" s="21"/>
      <c r="K214" s="21"/>
      <c r="L214" s="492" t="s">
        <v>3397</v>
      </c>
      <c r="M214" s="529"/>
      <c r="N214" s="529"/>
      <c r="O214" s="529"/>
      <c r="P214" s="529"/>
      <c r="Q214" s="529"/>
      <c r="R214" s="529"/>
      <c r="S214" s="493"/>
      <c r="T214" s="21"/>
      <c r="U214" s="21"/>
      <c r="V214" s="101" t="s">
        <v>125</v>
      </c>
      <c r="W214" s="21"/>
      <c r="X214" s="21"/>
      <c r="Y214" s="21"/>
      <c r="Z214" s="21"/>
      <c r="AA214" s="21"/>
      <c r="AB214" s="21"/>
      <c r="AC214" s="20"/>
    </row>
    <row r="215" spans="1:29" x14ac:dyDescent="0.3">
      <c r="A215" s="18"/>
      <c r="B215" s="59" t="s">
        <v>2</v>
      </c>
      <c r="C215" s="60" t="s">
        <v>101</v>
      </c>
      <c r="D215" s="60" t="s">
        <v>111</v>
      </c>
      <c r="E215" s="60" t="s">
        <v>62</v>
      </c>
      <c r="F215" s="60" t="s">
        <v>103</v>
      </c>
      <c r="G215" s="60" t="s">
        <v>104</v>
      </c>
      <c r="H215" s="60" t="s">
        <v>105</v>
      </c>
      <c r="I215" s="60" t="s">
        <v>102</v>
      </c>
      <c r="J215" s="21"/>
      <c r="K215" s="21"/>
      <c r="L215" s="3" t="str">
        <f t="array" ref="L215:S220">_xll.U.VFILTER(B215:I228,V216:V220)</f>
        <v>Symbol</v>
      </c>
      <c r="M215" s="3" t="str">
        <v>Broker</v>
      </c>
      <c r="N215" s="3" t="str">
        <v>Side</v>
      </c>
      <c r="O215" s="3" t="str">
        <v>Quantity</v>
      </c>
      <c r="P215" s="3" t="str">
        <v>Trade Price</v>
      </c>
      <c r="Q215" s="3" t="str">
        <v>Current Price</v>
      </c>
      <c r="R215" s="3" t="str">
        <v>P&amp;L</v>
      </c>
      <c r="S215" s="3" t="str">
        <v>Current Delta</v>
      </c>
      <c r="T215" s="21"/>
      <c r="U215" s="21"/>
      <c r="V215" s="9" t="s">
        <v>126</v>
      </c>
      <c r="W215" s="21"/>
      <c r="X215" s="21"/>
      <c r="Y215" s="21"/>
      <c r="Z215" s="21"/>
      <c r="AA215" s="21"/>
      <c r="AB215" s="21"/>
      <c r="AC215" s="20"/>
    </row>
    <row r="216" spans="1:29" x14ac:dyDescent="0.3">
      <c r="A216" s="18"/>
      <c r="B216" s="42" t="s">
        <v>112</v>
      </c>
      <c r="C216" s="42" t="s">
        <v>113</v>
      </c>
      <c r="D216" s="42" t="str">
        <f t="shared" ref="D216:D228" si="2">IF(E216&gt;0,"B","S")</f>
        <v>B</v>
      </c>
      <c r="E216" s="44">
        <v>100</v>
      </c>
      <c r="F216" s="61">
        <v>4.3</v>
      </c>
      <c r="G216" s="61">
        <v>4.3099999999999996</v>
      </c>
      <c r="H216" s="65">
        <f>ROUND((G216-F216)*E216*IF(ISERROR(FIND(" ",B216)),1,100),0)</f>
        <v>100</v>
      </c>
      <c r="I216" s="44">
        <v>-3215</v>
      </c>
      <c r="J216" s="21"/>
      <c r="K216" s="21"/>
      <c r="L216" s="30" t="str">
        <v>AAPL Jun17 140P</v>
      </c>
      <c r="M216" s="30" t="str">
        <v>BROKER_B</v>
      </c>
      <c r="N216" s="30" t="str">
        <v>B</v>
      </c>
      <c r="O216" s="36">
        <v>100</v>
      </c>
      <c r="P216" s="35">
        <v>4.3</v>
      </c>
      <c r="Q216" s="35">
        <v>4.3099999999999996</v>
      </c>
      <c r="R216" s="66">
        <v>100</v>
      </c>
      <c r="S216" s="36">
        <v>-3215</v>
      </c>
      <c r="T216" s="21"/>
      <c r="U216" s="21"/>
      <c r="V216" s="79" t="s">
        <v>101</v>
      </c>
      <c r="W216" s="21"/>
      <c r="X216" s="21"/>
      <c r="Y216" s="21"/>
      <c r="Z216" s="21"/>
      <c r="AA216" s="21"/>
      <c r="AB216" s="21"/>
      <c r="AC216" s="20"/>
    </row>
    <row r="217" spans="1:29" x14ac:dyDescent="0.3">
      <c r="A217" s="18"/>
      <c r="B217" s="42"/>
      <c r="C217" s="42" t="s">
        <v>110</v>
      </c>
      <c r="D217" s="42" t="str">
        <f t="shared" si="2"/>
        <v>B</v>
      </c>
      <c r="E217" s="44">
        <v>50</v>
      </c>
      <c r="F217" s="61">
        <v>2.65</v>
      </c>
      <c r="G217" s="61">
        <v>2.6</v>
      </c>
      <c r="H217" s="65">
        <f t="shared" ref="H217:H228" si="3">ROUND((G217-F217)*E217*IF(ISERROR(FIND(" ",B217)),1,100),0)</f>
        <v>-2</v>
      </c>
      <c r="I217" s="44">
        <v>2879</v>
      </c>
      <c r="J217" s="21"/>
      <c r="K217" s="21"/>
      <c r="L217" s="30" t="str">
        <v>AAPL</v>
      </c>
      <c r="M217" s="30" t="str">
        <v>BROKER_B</v>
      </c>
      <c r="N217" s="30" t="str">
        <v>B</v>
      </c>
      <c r="O217" s="36">
        <v>300</v>
      </c>
      <c r="P217" s="35">
        <v>142.02000000000001</v>
      </c>
      <c r="Q217" s="35">
        <v>141.97</v>
      </c>
      <c r="R217" s="66">
        <v>-15</v>
      </c>
      <c r="S217" s="36">
        <v>300</v>
      </c>
      <c r="T217" s="21"/>
      <c r="U217" s="21"/>
      <c r="V217" s="79" t="s">
        <v>2</v>
      </c>
      <c r="W217" s="21"/>
      <c r="X217" s="21"/>
      <c r="Y217" s="21"/>
      <c r="Z217" s="21"/>
      <c r="AA217" s="21"/>
      <c r="AB217" s="21"/>
      <c r="AC217" s="20"/>
    </row>
    <row r="218" spans="1:29" x14ac:dyDescent="0.3">
      <c r="A218" s="18"/>
      <c r="B218" s="42" t="s">
        <v>107</v>
      </c>
      <c r="C218" s="42"/>
      <c r="D218" s="42" t="str">
        <f t="shared" si="2"/>
        <v>S</v>
      </c>
      <c r="E218" s="44">
        <v>-3000</v>
      </c>
      <c r="F218" s="61">
        <v>159.49</v>
      </c>
      <c r="G218" s="61">
        <v>159.37</v>
      </c>
      <c r="H218" s="65">
        <f t="shared" si="3"/>
        <v>360</v>
      </c>
      <c r="I218" s="44">
        <v>-3000</v>
      </c>
      <c r="J218" s="21"/>
      <c r="K218" s="21"/>
      <c r="L218" s="30" t="str">
        <v>AAPL</v>
      </c>
      <c r="M218" s="30" t="str">
        <v>BROKER_B</v>
      </c>
      <c r="N218" s="30" t="str">
        <v>B</v>
      </c>
      <c r="O218" s="36">
        <v>700</v>
      </c>
      <c r="P218" s="35">
        <v>141.97999999999999</v>
      </c>
      <c r="Q218" s="35">
        <v>141.97</v>
      </c>
      <c r="R218" s="66">
        <v>-7</v>
      </c>
      <c r="S218" s="36">
        <v>600</v>
      </c>
      <c r="T218" s="21"/>
      <c r="U218" s="21"/>
      <c r="V218" s="79" t="s">
        <v>62</v>
      </c>
      <c r="W218" s="21"/>
      <c r="X218" s="21"/>
      <c r="Y218" s="21"/>
      <c r="Z218" s="21"/>
      <c r="AA218" s="21"/>
      <c r="AB218" s="21"/>
      <c r="AC218" s="20"/>
    </row>
    <row r="219" spans="1:29" x14ac:dyDescent="0.3">
      <c r="A219" s="18"/>
      <c r="B219" s="42" t="e">
        <f>1/0</f>
        <v>#DIV/0!</v>
      </c>
      <c r="C219" s="42"/>
      <c r="D219" s="42" t="e">
        <f>NA()</f>
        <v>#N/A</v>
      </c>
      <c r="E219" s="42" t="e">
        <f>NA()</f>
        <v>#N/A</v>
      </c>
      <c r="F219" s="42" t="e">
        <f>NA()</f>
        <v>#N/A</v>
      </c>
      <c r="G219" s="42" t="e">
        <f>NA()</f>
        <v>#N/A</v>
      </c>
      <c r="H219" s="65" t="e">
        <f t="shared" si="3"/>
        <v>#N/A</v>
      </c>
      <c r="I219" s="42" t="e">
        <f>NA()</f>
        <v>#N/A</v>
      </c>
      <c r="J219" s="21"/>
      <c r="K219" s="21"/>
      <c r="L219" s="30" t="str">
        <v>IBM Jun17 160C</v>
      </c>
      <c r="M219" s="30" t="str">
        <v>BOB_THE_BROKER</v>
      </c>
      <c r="N219" s="30" t="e">
        <v>#N/A</v>
      </c>
      <c r="O219" s="36" t="e">
        <v>#N/A</v>
      </c>
      <c r="P219" s="35">
        <v>2.61</v>
      </c>
      <c r="Q219" s="35">
        <v>2.6</v>
      </c>
      <c r="R219" s="66" t="e">
        <v>#N/A</v>
      </c>
      <c r="S219" s="36">
        <v>-2303</v>
      </c>
      <c r="T219" s="21"/>
      <c r="U219" s="21"/>
      <c r="V219" s="79"/>
      <c r="W219" s="21"/>
      <c r="X219" s="21"/>
      <c r="Y219" s="21"/>
      <c r="Z219" s="21"/>
      <c r="AA219" s="21"/>
      <c r="AB219" s="21"/>
      <c r="AC219" s="20"/>
    </row>
    <row r="220" spans="1:29" x14ac:dyDescent="0.3">
      <c r="A220" s="18"/>
      <c r="B220" s="42" t="s">
        <v>106</v>
      </c>
      <c r="C220" s="42"/>
      <c r="D220" s="42" t="str">
        <f t="shared" si="2"/>
        <v>B</v>
      </c>
      <c r="E220" s="44">
        <v>1500</v>
      </c>
      <c r="F220" s="61">
        <v>142.02000000000001</v>
      </c>
      <c r="G220" s="61">
        <v>141.97</v>
      </c>
      <c r="H220" s="65">
        <f t="shared" si="3"/>
        <v>-75</v>
      </c>
      <c r="I220" s="44">
        <v>1500</v>
      </c>
      <c r="J220" s="21"/>
      <c r="K220" s="21"/>
      <c r="L220" s="30" t="e">
        <v>#N/A</v>
      </c>
      <c r="M220" s="30" t="e">
        <v>#N/A</v>
      </c>
      <c r="N220" s="30" t="e">
        <v>#N/A</v>
      </c>
      <c r="O220" s="36" t="e">
        <v>#N/A</v>
      </c>
      <c r="P220" s="35" t="e">
        <v>#N/A</v>
      </c>
      <c r="Q220" s="35" t="e">
        <v>#N/A</v>
      </c>
      <c r="R220" s="66" t="e">
        <v>#N/A</v>
      </c>
      <c r="S220" s="36" t="e">
        <v>#N/A</v>
      </c>
      <c r="T220" s="21"/>
      <c r="U220" s="21"/>
      <c r="V220" s="79"/>
      <c r="W220" s="21"/>
      <c r="X220" s="21"/>
      <c r="Y220" s="21"/>
      <c r="Z220" s="21"/>
      <c r="AA220" s="21"/>
      <c r="AB220" s="21"/>
      <c r="AC220" s="20"/>
    </row>
    <row r="221" spans="1:29" x14ac:dyDescent="0.3">
      <c r="A221" s="18"/>
      <c r="B221" s="42" t="s">
        <v>106</v>
      </c>
      <c r="C221" s="42"/>
      <c r="D221" s="42" t="str">
        <f t="shared" si="2"/>
        <v>B</v>
      </c>
      <c r="E221" s="44">
        <v>100</v>
      </c>
      <c r="F221" s="61">
        <v>142.02000000000001</v>
      </c>
      <c r="G221" s="61">
        <v>141.97</v>
      </c>
      <c r="H221" s="65">
        <f t="shared" si="3"/>
        <v>-5</v>
      </c>
      <c r="I221" s="44">
        <v>100</v>
      </c>
      <c r="J221" s="21"/>
      <c r="K221" s="21"/>
      <c r="L221" s="21"/>
      <c r="M221" s="21"/>
      <c r="N221" s="21"/>
      <c r="O221" s="21"/>
      <c r="P221" s="21"/>
      <c r="Q221" s="21"/>
      <c r="R221" s="21"/>
      <c r="S221" s="21"/>
      <c r="T221" s="21"/>
      <c r="U221" s="21"/>
      <c r="V221" s="21"/>
      <c r="W221" s="21"/>
      <c r="X221" s="21"/>
      <c r="Y221" s="21"/>
      <c r="Z221" s="21"/>
      <c r="AA221" s="21"/>
      <c r="AB221" s="21"/>
      <c r="AC221" s="20"/>
    </row>
    <row r="222" spans="1:29" x14ac:dyDescent="0.3">
      <c r="A222" s="18"/>
      <c r="B222" s="42" t="s">
        <v>106</v>
      </c>
      <c r="C222" s="42" t="s">
        <v>113</v>
      </c>
      <c r="D222" s="42" t="str">
        <f t="shared" si="2"/>
        <v>B</v>
      </c>
      <c r="E222" s="44">
        <v>300</v>
      </c>
      <c r="F222" s="61">
        <v>142.02000000000001</v>
      </c>
      <c r="G222" s="61">
        <v>141.97</v>
      </c>
      <c r="H222" s="65">
        <f t="shared" si="3"/>
        <v>-15</v>
      </c>
      <c r="I222" s="44">
        <v>300</v>
      </c>
      <c r="J222" s="21"/>
      <c r="K222" s="21"/>
      <c r="L222" s="492" t="s">
        <v>3397</v>
      </c>
      <c r="M222" s="529"/>
      <c r="N222" s="529"/>
      <c r="O222" s="529"/>
      <c r="P222" s="529"/>
      <c r="Q222" s="529"/>
      <c r="R222" s="529"/>
      <c r="S222" s="493"/>
      <c r="T222" s="21"/>
      <c r="U222" s="21"/>
      <c r="V222" s="21"/>
      <c r="W222" s="21"/>
      <c r="X222" s="21"/>
      <c r="Y222" s="21"/>
      <c r="Z222" s="21"/>
      <c r="AA222" s="21"/>
      <c r="AB222" s="21"/>
      <c r="AC222" s="20"/>
    </row>
    <row r="223" spans="1:29" x14ac:dyDescent="0.3">
      <c r="A223" s="18"/>
      <c r="B223" s="42"/>
      <c r="C223" s="42" t="s">
        <v>109</v>
      </c>
      <c r="D223" s="42" t="str">
        <f t="shared" si="2"/>
        <v>B</v>
      </c>
      <c r="E223" s="44">
        <v>100</v>
      </c>
      <c r="F223" s="61">
        <v>159.4</v>
      </c>
      <c r="G223" s="61">
        <v>159.37</v>
      </c>
      <c r="H223" s="65">
        <f t="shared" si="3"/>
        <v>-3</v>
      </c>
      <c r="I223" s="44">
        <v>100</v>
      </c>
      <c r="J223" s="21"/>
      <c r="K223" s="21"/>
      <c r="L223" s="3" t="str">
        <f t="array" ref="L223:S234">_xll.U.VFILTER(B215:I228)</f>
        <v>Symbol</v>
      </c>
      <c r="M223" s="3" t="str">
        <v>Broker</v>
      </c>
      <c r="N223" s="3" t="str">
        <v>Side</v>
      </c>
      <c r="O223" s="3" t="str">
        <v>Quantity</v>
      </c>
      <c r="P223" s="3" t="str">
        <v>Trade Price</v>
      </c>
      <c r="Q223" s="3" t="str">
        <v>Current Price</v>
      </c>
      <c r="R223" s="3" t="str">
        <v>P&amp;L</v>
      </c>
      <c r="S223" s="3" t="str">
        <v>Current Delta</v>
      </c>
      <c r="T223" s="21"/>
      <c r="U223" s="21"/>
      <c r="V223" s="21"/>
      <c r="W223" s="21"/>
      <c r="X223" s="21"/>
      <c r="Y223" s="21"/>
      <c r="Z223" s="21"/>
      <c r="AA223" s="21"/>
      <c r="AB223" s="21"/>
      <c r="AC223" s="20"/>
    </row>
    <row r="224" spans="1:29" x14ac:dyDescent="0.3">
      <c r="A224" s="18"/>
      <c r="B224" s="42" t="str">
        <f>""</f>
        <v/>
      </c>
      <c r="C224" s="42"/>
      <c r="D224" s="42"/>
      <c r="E224" s="44"/>
      <c r="F224" s="61"/>
      <c r="G224" s="61"/>
      <c r="H224" s="65"/>
      <c r="I224" s="44"/>
      <c r="J224" s="21"/>
      <c r="K224" s="21"/>
      <c r="L224" s="30" t="str">
        <v>AAPL Jun17 140P</v>
      </c>
      <c r="M224" s="30" t="str">
        <v>BROKER_B</v>
      </c>
      <c r="N224" s="30" t="str">
        <v>B</v>
      </c>
      <c r="O224" s="36">
        <v>100</v>
      </c>
      <c r="P224" s="35">
        <v>4.3</v>
      </c>
      <c r="Q224" s="35">
        <v>4.3099999999999996</v>
      </c>
      <c r="R224" s="66">
        <v>100</v>
      </c>
      <c r="S224" s="36">
        <v>-3215</v>
      </c>
      <c r="T224" s="21"/>
      <c r="U224" s="21"/>
      <c r="V224" s="21"/>
      <c r="W224" s="21"/>
      <c r="X224" s="21"/>
      <c r="Y224" s="21"/>
      <c r="Z224" s="21"/>
      <c r="AA224" s="21"/>
      <c r="AB224" s="21"/>
      <c r="AC224" s="20"/>
    </row>
    <row r="225" spans="1:29" x14ac:dyDescent="0.3">
      <c r="A225" s="18"/>
      <c r="B225" s="42" t="str">
        <f>""</f>
        <v/>
      </c>
      <c r="C225" s="42" t="s">
        <v>109</v>
      </c>
      <c r="D225" s="42" t="str">
        <f t="shared" si="2"/>
        <v>B</v>
      </c>
      <c r="E225" s="44">
        <v>100</v>
      </c>
      <c r="F225" s="61">
        <v>159.4</v>
      </c>
      <c r="G225" s="61">
        <v>159.37</v>
      </c>
      <c r="H225" s="65">
        <f t="shared" si="3"/>
        <v>-3</v>
      </c>
      <c r="I225" s="44">
        <v>100</v>
      </c>
      <c r="J225" s="21"/>
      <c r="K225" s="21"/>
      <c r="L225" s="30" t="str">
        <v/>
      </c>
      <c r="M225" s="30" t="str">
        <v>BOB_THE_BROKER</v>
      </c>
      <c r="N225" s="30" t="str">
        <v>B</v>
      </c>
      <c r="O225" s="36">
        <v>50</v>
      </c>
      <c r="P225" s="35">
        <v>2.65</v>
      </c>
      <c r="Q225" s="35">
        <v>2.6</v>
      </c>
      <c r="R225" s="66">
        <v>-2</v>
      </c>
      <c r="S225" s="36">
        <v>2879</v>
      </c>
      <c r="T225" s="21"/>
      <c r="U225" s="21"/>
      <c r="V225" s="21"/>
      <c r="W225" s="21"/>
      <c r="X225" s="21"/>
      <c r="Y225" s="21"/>
      <c r="Z225" s="21"/>
      <c r="AA225" s="21"/>
      <c r="AB225" s="21"/>
      <c r="AC225" s="20"/>
    </row>
    <row r="226" spans="1:29" x14ac:dyDescent="0.3">
      <c r="A226" s="18"/>
      <c r="B226" s="42"/>
      <c r="C226" s="42" t="s">
        <v>110</v>
      </c>
      <c r="D226" s="42" t="str">
        <f t="shared" si="2"/>
        <v>S</v>
      </c>
      <c r="E226" s="44">
        <v>-10</v>
      </c>
      <c r="F226" s="61">
        <v>2.62</v>
      </c>
      <c r="G226" s="61">
        <v>2.6</v>
      </c>
      <c r="H226" s="65">
        <f t="shared" si="3"/>
        <v>0</v>
      </c>
      <c r="I226" s="44">
        <v>-576</v>
      </c>
      <c r="J226" s="21"/>
      <c r="K226" s="21"/>
      <c r="L226" s="30" t="str">
        <v>IBM</v>
      </c>
      <c r="M226" s="30" t="str">
        <v/>
      </c>
      <c r="N226" s="30" t="str">
        <v>S</v>
      </c>
      <c r="O226" s="36">
        <v>-3000</v>
      </c>
      <c r="P226" s="35">
        <v>159.49</v>
      </c>
      <c r="Q226" s="35">
        <v>159.37</v>
      </c>
      <c r="R226" s="66">
        <v>360</v>
      </c>
      <c r="S226" s="36">
        <v>-3000</v>
      </c>
      <c r="T226" s="21"/>
      <c r="U226" s="21"/>
      <c r="V226" s="21"/>
      <c r="W226" s="21"/>
      <c r="X226" s="21"/>
      <c r="Y226" s="21"/>
      <c r="Z226" s="21"/>
      <c r="AA226" s="21"/>
      <c r="AB226" s="21"/>
      <c r="AC226" s="20"/>
    </row>
    <row r="227" spans="1:29" x14ac:dyDescent="0.3">
      <c r="A227" s="18"/>
      <c r="B227" s="42" t="s">
        <v>106</v>
      </c>
      <c r="C227" s="42" t="s">
        <v>113</v>
      </c>
      <c r="D227" s="42" t="str">
        <f t="shared" si="2"/>
        <v>B</v>
      </c>
      <c r="E227" s="44">
        <v>700</v>
      </c>
      <c r="F227" s="61">
        <v>141.97999999999999</v>
      </c>
      <c r="G227" s="61">
        <v>141.97</v>
      </c>
      <c r="H227" s="65">
        <f t="shared" si="3"/>
        <v>-7</v>
      </c>
      <c r="I227" s="44">
        <v>600</v>
      </c>
      <c r="J227" s="21"/>
      <c r="K227" s="21"/>
      <c r="L227" s="30" t="str">
        <v>AAPL</v>
      </c>
      <c r="M227" s="30" t="str">
        <v/>
      </c>
      <c r="N227" s="30" t="str">
        <v>B</v>
      </c>
      <c r="O227" s="36">
        <v>1500</v>
      </c>
      <c r="P227" s="35">
        <v>142.02000000000001</v>
      </c>
      <c r="Q227" s="35">
        <v>141.97</v>
      </c>
      <c r="R227" s="66">
        <v>-75</v>
      </c>
      <c r="S227" s="36">
        <v>1500</v>
      </c>
      <c r="T227" s="21"/>
      <c r="U227" s="21"/>
      <c r="V227" s="21"/>
      <c r="W227" s="21"/>
      <c r="X227" s="21"/>
      <c r="Y227" s="21"/>
      <c r="Z227" s="21"/>
      <c r="AA227" s="21"/>
      <c r="AB227" s="21"/>
      <c r="AC227" s="20"/>
    </row>
    <row r="228" spans="1:29" x14ac:dyDescent="0.3">
      <c r="A228" s="18"/>
      <c r="B228" s="42" t="s">
        <v>108</v>
      </c>
      <c r="C228" s="42" t="s">
        <v>110</v>
      </c>
      <c r="D228" s="42" t="e">
        <f t="shared" si="2"/>
        <v>#N/A</v>
      </c>
      <c r="E228" s="44" t="e">
        <f>NA()</f>
        <v>#N/A</v>
      </c>
      <c r="F228" s="61">
        <v>2.61</v>
      </c>
      <c r="G228" s="61">
        <v>2.6</v>
      </c>
      <c r="H228" s="65" t="e">
        <f t="shared" si="3"/>
        <v>#N/A</v>
      </c>
      <c r="I228" s="44">
        <v>-2303</v>
      </c>
      <c r="J228" s="21"/>
      <c r="K228" s="21"/>
      <c r="L228" s="30" t="str">
        <v>AAPL</v>
      </c>
      <c r="M228" s="30" t="str">
        <v/>
      </c>
      <c r="N228" s="30" t="str">
        <v>B</v>
      </c>
      <c r="O228" s="36">
        <v>100</v>
      </c>
      <c r="P228" s="35">
        <v>142.02000000000001</v>
      </c>
      <c r="Q228" s="35">
        <v>141.97</v>
      </c>
      <c r="R228" s="66">
        <v>-5</v>
      </c>
      <c r="S228" s="36">
        <v>100</v>
      </c>
      <c r="T228" s="21"/>
      <c r="U228" s="21"/>
      <c r="V228" s="21"/>
      <c r="W228" s="21"/>
      <c r="X228" s="21"/>
      <c r="Y228" s="21"/>
      <c r="Z228" s="21"/>
      <c r="AA228" s="21"/>
      <c r="AB228" s="21"/>
      <c r="AC228" s="20"/>
    </row>
    <row r="229" spans="1:29" x14ac:dyDescent="0.3">
      <c r="A229" s="18"/>
      <c r="B229" s="21"/>
      <c r="C229" s="21"/>
      <c r="D229" s="21"/>
      <c r="E229" s="21"/>
      <c r="F229" s="21"/>
      <c r="G229" s="21"/>
      <c r="H229" s="21"/>
      <c r="I229" s="21"/>
      <c r="J229" s="21"/>
      <c r="K229" s="21"/>
      <c r="L229" s="30" t="str">
        <v>AAPL</v>
      </c>
      <c r="M229" s="30" t="str">
        <v>BROKER_B</v>
      </c>
      <c r="N229" s="30" t="str">
        <v>B</v>
      </c>
      <c r="O229" s="36">
        <v>300</v>
      </c>
      <c r="P229" s="35">
        <v>142.02000000000001</v>
      </c>
      <c r="Q229" s="35">
        <v>141.97</v>
      </c>
      <c r="R229" s="66">
        <v>-15</v>
      </c>
      <c r="S229" s="36">
        <v>300</v>
      </c>
      <c r="T229" s="21"/>
      <c r="U229" s="21"/>
      <c r="V229" s="21"/>
      <c r="W229" s="21"/>
      <c r="X229" s="21"/>
      <c r="Y229" s="21"/>
      <c r="Z229" s="21"/>
      <c r="AA229" s="21"/>
      <c r="AB229" s="21"/>
      <c r="AC229" s="20"/>
    </row>
    <row r="230" spans="1:29" x14ac:dyDescent="0.3">
      <c r="A230" s="18"/>
      <c r="B230" s="21"/>
      <c r="C230" s="21"/>
      <c r="D230" s="21"/>
      <c r="E230" s="21"/>
      <c r="F230" s="21"/>
      <c r="G230" s="21"/>
      <c r="H230" s="21"/>
      <c r="I230" s="21"/>
      <c r="J230" s="21"/>
      <c r="K230" s="21"/>
      <c r="L230" s="30" t="str">
        <v/>
      </c>
      <c r="M230" s="30" t="str">
        <v>BROKER_A</v>
      </c>
      <c r="N230" s="30" t="str">
        <v>B</v>
      </c>
      <c r="O230" s="36">
        <v>100</v>
      </c>
      <c r="P230" s="35">
        <v>159.4</v>
      </c>
      <c r="Q230" s="35">
        <v>159.37</v>
      </c>
      <c r="R230" s="66">
        <v>-3</v>
      </c>
      <c r="S230" s="36">
        <v>100</v>
      </c>
      <c r="T230" s="21"/>
      <c r="U230" s="21"/>
      <c r="V230" s="21"/>
      <c r="W230" s="21"/>
      <c r="X230" s="21"/>
      <c r="Y230" s="21"/>
      <c r="Z230" s="21"/>
      <c r="AA230" s="21"/>
      <c r="AB230" s="21"/>
      <c r="AC230" s="20"/>
    </row>
    <row r="231" spans="1:29" x14ac:dyDescent="0.3">
      <c r="A231" s="18"/>
      <c r="B231" s="21"/>
      <c r="C231" s="21"/>
      <c r="D231" s="21"/>
      <c r="E231" s="21"/>
      <c r="F231" s="21"/>
      <c r="G231" s="21"/>
      <c r="H231" s="21"/>
      <c r="I231" s="21"/>
      <c r="J231" s="21"/>
      <c r="K231" s="21"/>
      <c r="L231" s="30" t="str">
        <v/>
      </c>
      <c r="M231" s="30" t="str">
        <v>BROKER_A</v>
      </c>
      <c r="N231" s="30" t="str">
        <v>B</v>
      </c>
      <c r="O231" s="36">
        <v>100</v>
      </c>
      <c r="P231" s="35">
        <v>159.4</v>
      </c>
      <c r="Q231" s="35">
        <v>159.37</v>
      </c>
      <c r="R231" s="66">
        <v>-3</v>
      </c>
      <c r="S231" s="36">
        <v>100</v>
      </c>
      <c r="T231" s="21"/>
      <c r="U231" s="21"/>
      <c r="V231" s="21"/>
      <c r="W231" s="21"/>
      <c r="X231" s="21"/>
      <c r="Y231" s="21"/>
      <c r="Z231" s="21"/>
      <c r="AA231" s="21"/>
      <c r="AB231" s="21"/>
      <c r="AC231" s="20"/>
    </row>
    <row r="232" spans="1:29" x14ac:dyDescent="0.3">
      <c r="A232" s="18"/>
      <c r="B232" s="21"/>
      <c r="C232" s="21"/>
      <c r="D232" s="21"/>
      <c r="E232" s="21"/>
      <c r="F232" s="21"/>
      <c r="G232" s="21"/>
      <c r="H232" s="21"/>
      <c r="I232" s="21"/>
      <c r="J232" s="21"/>
      <c r="K232" s="21"/>
      <c r="L232" s="30" t="str">
        <v/>
      </c>
      <c r="M232" s="30" t="str">
        <v>BOB_THE_BROKER</v>
      </c>
      <c r="N232" s="30" t="str">
        <v>S</v>
      </c>
      <c r="O232" s="36">
        <v>-10</v>
      </c>
      <c r="P232" s="35">
        <v>2.62</v>
      </c>
      <c r="Q232" s="35">
        <v>2.6</v>
      </c>
      <c r="R232" s="66">
        <v>0</v>
      </c>
      <c r="S232" s="36">
        <v>-576</v>
      </c>
      <c r="T232" s="21"/>
      <c r="U232" s="21"/>
      <c r="V232" s="21"/>
      <c r="W232" s="21"/>
      <c r="X232" s="21"/>
      <c r="Y232" s="21"/>
      <c r="Z232" s="21"/>
      <c r="AA232" s="21"/>
      <c r="AB232" s="21"/>
      <c r="AC232" s="20"/>
    </row>
    <row r="233" spans="1:29" x14ac:dyDescent="0.3">
      <c r="A233" s="18"/>
      <c r="B233" s="21"/>
      <c r="C233" s="21"/>
      <c r="D233" s="21"/>
      <c r="E233" s="21"/>
      <c r="F233" s="21"/>
      <c r="G233" s="21"/>
      <c r="H233" s="21"/>
      <c r="I233" s="21"/>
      <c r="J233" s="21"/>
      <c r="K233" s="21"/>
      <c r="L233" s="30" t="str">
        <v>AAPL</v>
      </c>
      <c r="M233" s="30" t="str">
        <v>BROKER_B</v>
      </c>
      <c r="N233" s="30" t="str">
        <v>B</v>
      </c>
      <c r="O233" s="36">
        <v>700</v>
      </c>
      <c r="P233" s="35">
        <v>141.97999999999999</v>
      </c>
      <c r="Q233" s="35">
        <v>141.97</v>
      </c>
      <c r="R233" s="66">
        <v>-7</v>
      </c>
      <c r="S233" s="36">
        <v>600</v>
      </c>
      <c r="T233" s="21"/>
      <c r="U233" s="21"/>
      <c r="V233" s="21"/>
      <c r="W233" s="21"/>
      <c r="X233" s="21"/>
      <c r="Y233" s="21"/>
      <c r="Z233" s="21"/>
      <c r="AA233" s="21"/>
      <c r="AB233" s="21"/>
      <c r="AC233" s="20"/>
    </row>
    <row r="234" spans="1:29" x14ac:dyDescent="0.3">
      <c r="A234" s="18"/>
      <c r="B234" s="21"/>
      <c r="C234" s="21"/>
      <c r="D234" s="21"/>
      <c r="E234" s="21"/>
      <c r="F234" s="21"/>
      <c r="G234" s="21"/>
      <c r="H234" s="21"/>
      <c r="I234" s="21"/>
      <c r="J234" s="21"/>
      <c r="K234" s="21"/>
      <c r="L234" s="30" t="str">
        <v>IBM Jun17 160C</v>
      </c>
      <c r="M234" s="30" t="str">
        <v>BOB_THE_BROKER</v>
      </c>
      <c r="N234" s="30" t="e">
        <v>#N/A</v>
      </c>
      <c r="O234" s="36" t="e">
        <v>#N/A</v>
      </c>
      <c r="P234" s="35">
        <v>2.61</v>
      </c>
      <c r="Q234" s="35">
        <v>2.6</v>
      </c>
      <c r="R234" s="66" t="e">
        <v>#N/A</v>
      </c>
      <c r="S234" s="36">
        <v>-2303</v>
      </c>
      <c r="T234" s="21"/>
      <c r="U234" s="21"/>
      <c r="V234" s="21"/>
      <c r="W234" s="21"/>
      <c r="X234" s="21"/>
      <c r="Y234" s="21"/>
      <c r="Z234" s="21"/>
      <c r="AA234" s="21"/>
      <c r="AB234" s="21"/>
      <c r="AC234" s="20"/>
    </row>
    <row r="235" spans="1:29" x14ac:dyDescent="0.3">
      <c r="A235" s="18"/>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0"/>
    </row>
    <row r="236" spans="1:29" x14ac:dyDescent="0.3">
      <c r="A236" s="18"/>
      <c r="B236" s="21"/>
      <c r="C236" s="21"/>
      <c r="D236" s="21"/>
      <c r="E236" s="21"/>
      <c r="F236" s="21"/>
      <c r="G236" s="21"/>
      <c r="H236" s="21"/>
      <c r="I236" s="21"/>
      <c r="J236" s="21"/>
      <c r="K236" s="21"/>
      <c r="L236" s="67"/>
      <c r="M236" s="67"/>
      <c r="N236" s="67"/>
      <c r="O236" s="67"/>
      <c r="P236" s="67"/>
      <c r="Q236" s="67"/>
      <c r="R236" s="67"/>
      <c r="S236" s="67"/>
      <c r="T236" s="67"/>
      <c r="U236" s="67"/>
      <c r="V236" s="67"/>
      <c r="W236" s="67"/>
      <c r="X236" s="67"/>
      <c r="Y236" s="67"/>
      <c r="Z236" s="67"/>
      <c r="AA236" s="67"/>
      <c r="AB236" s="21"/>
      <c r="AC236" s="20"/>
    </row>
    <row r="237" spans="1:29" x14ac:dyDescent="0.3">
      <c r="A237" s="18"/>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0"/>
    </row>
    <row r="238" spans="1:29" x14ac:dyDescent="0.3">
      <c r="A238" s="18"/>
      <c r="B238" s="21"/>
      <c r="C238" s="21"/>
      <c r="D238" s="21"/>
      <c r="E238" s="21"/>
      <c r="F238" s="21"/>
      <c r="G238" s="21"/>
      <c r="H238" s="21"/>
      <c r="I238" s="21"/>
      <c r="J238" s="21"/>
      <c r="K238" s="21"/>
      <c r="L238" s="492" t="s">
        <v>3397</v>
      </c>
      <c r="M238" s="529"/>
      <c r="N238" s="529"/>
      <c r="O238" s="529"/>
      <c r="P238" s="529"/>
      <c r="Q238" s="529"/>
      <c r="R238" s="529"/>
      <c r="S238" s="493"/>
      <c r="T238" s="21"/>
      <c r="U238" s="21"/>
      <c r="V238" s="475" t="s">
        <v>125</v>
      </c>
      <c r="W238" s="475"/>
      <c r="X238" s="21"/>
      <c r="Y238" s="21"/>
      <c r="Z238" s="21"/>
      <c r="AA238" s="21"/>
      <c r="AB238" s="21"/>
      <c r="AC238" s="20"/>
    </row>
    <row r="239" spans="1:29" x14ac:dyDescent="0.3">
      <c r="A239" s="18"/>
      <c r="B239" s="21"/>
      <c r="C239" s="21"/>
      <c r="D239" s="21"/>
      <c r="E239" s="21"/>
      <c r="F239" s="21"/>
      <c r="G239" s="21"/>
      <c r="H239" s="21"/>
      <c r="I239" s="21"/>
      <c r="J239" s="21"/>
      <c r="K239" s="21"/>
      <c r="L239" s="3" t="str">
        <f t="array" ref="L239:S244">_xll.U.VFILTER(B215:I228,V240:W241)</f>
        <v>Symbol</v>
      </c>
      <c r="M239" s="3" t="str">
        <v>Broker</v>
      </c>
      <c r="N239" s="3" t="str">
        <v>Side</v>
      </c>
      <c r="O239" s="3" t="str">
        <v>Quantity</v>
      </c>
      <c r="P239" s="3" t="str">
        <v>Trade Price</v>
      </c>
      <c r="Q239" s="3" t="str">
        <v>Current Price</v>
      </c>
      <c r="R239" s="3" t="str">
        <v>P&amp;L</v>
      </c>
      <c r="S239" s="3" t="str">
        <v>Current Delta</v>
      </c>
      <c r="T239" s="21"/>
      <c r="U239" s="21"/>
      <c r="V239" s="9" t="s">
        <v>126</v>
      </c>
      <c r="W239" s="9" t="s">
        <v>17</v>
      </c>
      <c r="X239" s="21"/>
      <c r="Y239" s="21"/>
      <c r="Z239" s="21"/>
      <c r="AA239" s="21"/>
      <c r="AB239" s="21"/>
      <c r="AC239" s="20"/>
    </row>
    <row r="240" spans="1:29" x14ac:dyDescent="0.3">
      <c r="A240" s="18"/>
      <c r="B240" s="21"/>
      <c r="C240" s="21"/>
      <c r="D240" s="21"/>
      <c r="E240" s="21"/>
      <c r="F240" s="21"/>
      <c r="G240" s="21"/>
      <c r="H240" s="21"/>
      <c r="I240" s="21"/>
      <c r="J240" s="21"/>
      <c r="K240" s="21"/>
      <c r="L240" s="30" t="str">
        <v/>
      </c>
      <c r="M240" s="30" t="str">
        <v>BOB_THE_BROKER</v>
      </c>
      <c r="N240" s="30" t="str">
        <v>B</v>
      </c>
      <c r="O240" s="36">
        <v>50</v>
      </c>
      <c r="P240" s="35">
        <v>2.65</v>
      </c>
      <c r="Q240" s="35">
        <v>2.6</v>
      </c>
      <c r="R240" s="66">
        <v>-2</v>
      </c>
      <c r="S240" s="36">
        <v>2879</v>
      </c>
      <c r="T240" s="21"/>
      <c r="U240" s="21"/>
      <c r="V240" s="79" t="s">
        <v>1810</v>
      </c>
      <c r="W240" s="79" t="s">
        <v>1811</v>
      </c>
      <c r="X240" s="21"/>
      <c r="Y240" s="21"/>
      <c r="Z240" s="21"/>
      <c r="AA240" s="21"/>
      <c r="AB240" s="21"/>
      <c r="AC240" s="20"/>
    </row>
    <row r="241" spans="1:29" x14ac:dyDescent="0.3">
      <c r="A241" s="18"/>
      <c r="B241" s="21"/>
      <c r="C241" s="21"/>
      <c r="D241" s="21"/>
      <c r="E241" s="21"/>
      <c r="F241" s="21"/>
      <c r="G241" s="21"/>
      <c r="H241" s="21"/>
      <c r="I241" s="21"/>
      <c r="J241" s="21"/>
      <c r="K241" s="21"/>
      <c r="L241" s="30" t="str">
        <v>AAPL</v>
      </c>
      <c r="M241" s="30" t="str">
        <v>BROKER_B</v>
      </c>
      <c r="N241" s="30" t="str">
        <v>B</v>
      </c>
      <c r="O241" s="36">
        <v>700</v>
      </c>
      <c r="P241" s="35">
        <v>141.97999999999999</v>
      </c>
      <c r="Q241" s="35">
        <v>141.97</v>
      </c>
      <c r="R241" s="66">
        <v>-7</v>
      </c>
      <c r="S241" s="36">
        <v>600</v>
      </c>
      <c r="T241" s="21"/>
      <c r="U241" s="21"/>
      <c r="V241" s="79"/>
      <c r="W241" s="79"/>
      <c r="X241" s="21"/>
      <c r="Y241" s="21"/>
      <c r="Z241" s="21"/>
      <c r="AA241" s="21"/>
      <c r="AB241" s="21"/>
      <c r="AC241" s="20"/>
    </row>
    <row r="242" spans="1:29" x14ac:dyDescent="0.3">
      <c r="A242" s="18"/>
      <c r="B242" s="21"/>
      <c r="C242" s="21"/>
      <c r="D242" s="21"/>
      <c r="E242" s="21"/>
      <c r="F242" s="21"/>
      <c r="G242" s="21"/>
      <c r="H242" s="21"/>
      <c r="I242" s="21"/>
      <c r="J242" s="21"/>
      <c r="K242" s="21"/>
      <c r="L242" s="30" t="e">
        <v>#N/A</v>
      </c>
      <c r="M242" s="30" t="e">
        <v>#N/A</v>
      </c>
      <c r="N242" s="30" t="e">
        <v>#N/A</v>
      </c>
      <c r="O242" s="36" t="e">
        <v>#N/A</v>
      </c>
      <c r="P242" s="35" t="e">
        <v>#N/A</v>
      </c>
      <c r="Q242" s="35" t="e">
        <v>#N/A</v>
      </c>
      <c r="R242" s="66" t="e">
        <v>#N/A</v>
      </c>
      <c r="S242" s="36" t="e">
        <v>#N/A</v>
      </c>
      <c r="T242" s="21"/>
      <c r="U242" s="21"/>
      <c r="V242" s="21"/>
      <c r="W242" s="21"/>
      <c r="X242" s="21"/>
      <c r="Y242" s="21"/>
      <c r="Z242" s="21"/>
      <c r="AA242" s="21"/>
      <c r="AB242" s="21"/>
      <c r="AC242" s="20"/>
    </row>
    <row r="243" spans="1:29" x14ac:dyDescent="0.3">
      <c r="A243" s="18"/>
      <c r="B243" s="21"/>
      <c r="C243" s="21"/>
      <c r="D243" s="21"/>
      <c r="E243" s="21"/>
      <c r="F243" s="21"/>
      <c r="G243" s="21"/>
      <c r="H243" s="21"/>
      <c r="I243" s="21"/>
      <c r="J243" s="21"/>
      <c r="K243" s="21"/>
      <c r="L243" s="30" t="e">
        <v>#N/A</v>
      </c>
      <c r="M243" s="30" t="e">
        <v>#N/A</v>
      </c>
      <c r="N243" s="30" t="e">
        <v>#N/A</v>
      </c>
      <c r="O243" s="36" t="e">
        <v>#N/A</v>
      </c>
      <c r="P243" s="35" t="e">
        <v>#N/A</v>
      </c>
      <c r="Q243" s="35" t="e">
        <v>#N/A</v>
      </c>
      <c r="R243" s="66" t="e">
        <v>#N/A</v>
      </c>
      <c r="S243" s="36" t="e">
        <v>#N/A</v>
      </c>
      <c r="T243" s="21"/>
      <c r="U243" s="21"/>
      <c r="V243" s="21"/>
      <c r="W243" s="21"/>
      <c r="X243" s="21"/>
      <c r="Y243" s="21"/>
      <c r="Z243" s="21"/>
      <c r="AA243" s="21"/>
      <c r="AB243" s="21"/>
      <c r="AC243" s="20"/>
    </row>
    <row r="244" spans="1:29" x14ac:dyDescent="0.3">
      <c r="A244" s="18"/>
      <c r="B244" s="21"/>
      <c r="C244" s="21"/>
      <c r="D244" s="21"/>
      <c r="E244" s="21"/>
      <c r="F244" s="21"/>
      <c r="G244" s="21"/>
      <c r="H244" s="21"/>
      <c r="I244" s="21"/>
      <c r="J244" s="21"/>
      <c r="K244" s="21"/>
      <c r="L244" s="30" t="e">
        <v>#N/A</v>
      </c>
      <c r="M244" s="30" t="e">
        <v>#N/A</v>
      </c>
      <c r="N244" s="30" t="e">
        <v>#N/A</v>
      </c>
      <c r="O244" s="36" t="e">
        <v>#N/A</v>
      </c>
      <c r="P244" s="35" t="e">
        <v>#N/A</v>
      </c>
      <c r="Q244" s="35" t="e">
        <v>#N/A</v>
      </c>
      <c r="R244" s="66" t="e">
        <v>#N/A</v>
      </c>
      <c r="S244" s="36" t="e">
        <v>#N/A</v>
      </c>
      <c r="T244" s="21"/>
      <c r="U244" s="21"/>
      <c r="V244" s="21"/>
      <c r="W244" s="21"/>
      <c r="X244" s="21"/>
      <c r="Y244" s="21"/>
      <c r="Z244" s="21"/>
      <c r="AA244" s="21"/>
      <c r="AB244" s="21"/>
      <c r="AC244" s="20"/>
    </row>
    <row r="245" spans="1:29" x14ac:dyDescent="0.3">
      <c r="A245" s="18"/>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0"/>
    </row>
    <row r="246" spans="1:29" x14ac:dyDescent="0.3">
      <c r="A246" s="18"/>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0"/>
    </row>
    <row r="247" spans="1:29" x14ac:dyDescent="0.3">
      <c r="A247" s="18"/>
      <c r="B247" s="21"/>
      <c r="C247" s="21"/>
      <c r="D247" s="21"/>
      <c r="E247" s="21"/>
      <c r="F247" s="21"/>
      <c r="G247" s="21"/>
      <c r="H247" s="21"/>
      <c r="I247" s="21"/>
      <c r="J247" s="21"/>
      <c r="K247" s="21"/>
      <c r="L247" s="492" t="s">
        <v>3397</v>
      </c>
      <c r="M247" s="529"/>
      <c r="N247" s="529"/>
      <c r="O247" s="529"/>
      <c r="P247" s="529"/>
      <c r="Q247" s="529"/>
      <c r="R247" s="529"/>
      <c r="S247" s="493"/>
      <c r="T247" s="21"/>
      <c r="U247" s="21"/>
      <c r="V247" s="475" t="s">
        <v>125</v>
      </c>
      <c r="W247" s="475"/>
      <c r="X247" s="21"/>
      <c r="Y247" s="21"/>
      <c r="Z247" s="21"/>
      <c r="AA247" s="21"/>
      <c r="AB247" s="21"/>
      <c r="AC247" s="20"/>
    </row>
    <row r="248" spans="1:29" x14ac:dyDescent="0.3">
      <c r="A248" s="18"/>
      <c r="B248" s="21"/>
      <c r="C248" s="21"/>
      <c r="D248" s="21"/>
      <c r="E248" s="21"/>
      <c r="F248" s="21"/>
      <c r="G248" s="21"/>
      <c r="H248" s="21"/>
      <c r="I248" s="21"/>
      <c r="J248" s="21"/>
      <c r="K248" s="21"/>
      <c r="L248" s="3" t="str">
        <f t="array" ref="L248:S253">_xll.U.VFILTER(B215:I228,V249:W250)</f>
        <v>Symbol</v>
      </c>
      <c r="M248" s="3" t="str">
        <v>Broker</v>
      </c>
      <c r="N248" s="3" t="str">
        <v>Side</v>
      </c>
      <c r="O248" s="3" t="str">
        <v>Quantity</v>
      </c>
      <c r="P248" s="3" t="str">
        <v>Trade Price</v>
      </c>
      <c r="Q248" s="3" t="str">
        <v>Current Price</v>
      </c>
      <c r="R248" s="3" t="str">
        <v>P&amp;L</v>
      </c>
      <c r="S248" s="3" t="str">
        <v>Current Delta</v>
      </c>
      <c r="T248" s="21"/>
      <c r="U248" s="21"/>
      <c r="V248" s="9" t="s">
        <v>126</v>
      </c>
      <c r="W248" s="9" t="s">
        <v>17</v>
      </c>
      <c r="X248" s="21"/>
      <c r="Y248" s="21"/>
      <c r="Z248" s="21"/>
      <c r="AA248" s="21"/>
      <c r="AB248" s="21"/>
      <c r="AC248" s="20"/>
    </row>
    <row r="249" spans="1:29" x14ac:dyDescent="0.3">
      <c r="A249" s="18"/>
      <c r="B249" s="21"/>
      <c r="C249" s="21"/>
      <c r="D249" s="21"/>
      <c r="E249" s="21"/>
      <c r="F249" s="21"/>
      <c r="G249" s="21"/>
      <c r="H249" s="21"/>
      <c r="I249" s="21"/>
      <c r="J249" s="21"/>
      <c r="K249" s="21"/>
      <c r="L249" s="30" t="str">
        <v/>
      </c>
      <c r="M249" s="30" t="str">
        <v>BOB_THE_BROKER</v>
      </c>
      <c r="N249" s="30" t="str">
        <v>B</v>
      </c>
      <c r="O249" s="36">
        <v>50</v>
      </c>
      <c r="P249" s="35">
        <v>2.65</v>
      </c>
      <c r="Q249" s="35">
        <v>2.6</v>
      </c>
      <c r="R249" s="66">
        <v>-2</v>
      </c>
      <c r="S249" s="36">
        <v>2879</v>
      </c>
      <c r="T249" s="21"/>
      <c r="U249" s="21"/>
      <c r="V249" s="79" t="s">
        <v>1812</v>
      </c>
      <c r="W249" s="79" t="s">
        <v>1813</v>
      </c>
      <c r="X249" s="21"/>
      <c r="Y249" s="21"/>
      <c r="Z249" s="21"/>
      <c r="AA249" s="21"/>
      <c r="AB249" s="21"/>
      <c r="AC249" s="20"/>
    </row>
    <row r="250" spans="1:29" x14ac:dyDescent="0.3">
      <c r="A250" s="18"/>
      <c r="B250" s="21"/>
      <c r="C250" s="21"/>
      <c r="D250" s="21"/>
      <c r="E250" s="21"/>
      <c r="F250" s="21"/>
      <c r="G250" s="21"/>
      <c r="H250" s="21"/>
      <c r="I250" s="21"/>
      <c r="J250" s="21"/>
      <c r="K250" s="21"/>
      <c r="L250" s="30" t="str">
        <v/>
      </c>
      <c r="M250" s="30" t="str">
        <v/>
      </c>
      <c r="N250" s="30" t="str">
        <v/>
      </c>
      <c r="O250" s="36" t="str">
        <v/>
      </c>
      <c r="P250" s="35" t="str">
        <v/>
      </c>
      <c r="Q250" s="35" t="str">
        <v/>
      </c>
      <c r="R250" s="66" t="str">
        <v/>
      </c>
      <c r="S250" s="36" t="str">
        <v/>
      </c>
      <c r="T250" s="21"/>
      <c r="U250" s="21"/>
      <c r="V250" s="79"/>
      <c r="W250" s="79"/>
      <c r="X250" s="21"/>
      <c r="Y250" s="21"/>
      <c r="Z250" s="21"/>
      <c r="AA250" s="21"/>
      <c r="AB250" s="21"/>
      <c r="AC250" s="20"/>
    </row>
    <row r="251" spans="1:29" x14ac:dyDescent="0.3">
      <c r="A251" s="18"/>
      <c r="B251" s="21"/>
      <c r="C251" s="21"/>
      <c r="D251" s="21"/>
      <c r="E251" s="21"/>
      <c r="F251" s="21"/>
      <c r="G251" s="21"/>
      <c r="H251" s="21"/>
      <c r="I251" s="21"/>
      <c r="J251" s="21"/>
      <c r="K251" s="21"/>
      <c r="L251" s="30" t="e">
        <v>#N/A</v>
      </c>
      <c r="M251" s="30" t="e">
        <v>#N/A</v>
      </c>
      <c r="N251" s="30" t="e">
        <v>#N/A</v>
      </c>
      <c r="O251" s="36" t="e">
        <v>#N/A</v>
      </c>
      <c r="P251" s="35" t="e">
        <v>#N/A</v>
      </c>
      <c r="Q251" s="35" t="e">
        <v>#N/A</v>
      </c>
      <c r="R251" s="66" t="e">
        <v>#N/A</v>
      </c>
      <c r="S251" s="36" t="e">
        <v>#N/A</v>
      </c>
      <c r="T251" s="21"/>
      <c r="U251" s="21"/>
      <c r="V251" s="21"/>
      <c r="W251" s="21"/>
      <c r="X251" s="21"/>
      <c r="Y251" s="21"/>
      <c r="Z251" s="21"/>
      <c r="AA251" s="21"/>
      <c r="AB251" s="21"/>
      <c r="AC251" s="20"/>
    </row>
    <row r="252" spans="1:29" x14ac:dyDescent="0.3">
      <c r="A252" s="18"/>
      <c r="B252" s="21"/>
      <c r="C252" s="21"/>
      <c r="D252" s="21"/>
      <c r="E252" s="21"/>
      <c r="F252" s="21"/>
      <c r="G252" s="21"/>
      <c r="H252" s="21"/>
      <c r="I252" s="21"/>
      <c r="J252" s="21"/>
      <c r="K252" s="21"/>
      <c r="L252" s="30" t="e">
        <v>#N/A</v>
      </c>
      <c r="M252" s="30" t="e">
        <v>#N/A</v>
      </c>
      <c r="N252" s="30" t="e">
        <v>#N/A</v>
      </c>
      <c r="O252" s="36" t="e">
        <v>#N/A</v>
      </c>
      <c r="P252" s="35" t="e">
        <v>#N/A</v>
      </c>
      <c r="Q252" s="35" t="e">
        <v>#N/A</v>
      </c>
      <c r="R252" s="66" t="e">
        <v>#N/A</v>
      </c>
      <c r="S252" s="36" t="e">
        <v>#N/A</v>
      </c>
      <c r="T252" s="21"/>
      <c r="U252" s="21"/>
      <c r="V252" s="21"/>
      <c r="W252" s="21"/>
      <c r="X252" s="21"/>
      <c r="Y252" s="21"/>
      <c r="Z252" s="21"/>
      <c r="AA252" s="21"/>
      <c r="AB252" s="21"/>
      <c r="AC252" s="20"/>
    </row>
    <row r="253" spans="1:29" x14ac:dyDescent="0.3">
      <c r="A253" s="18"/>
      <c r="B253" s="21"/>
      <c r="C253" s="21"/>
      <c r="D253" s="21"/>
      <c r="E253" s="21"/>
      <c r="F253" s="21"/>
      <c r="G253" s="21"/>
      <c r="H253" s="21"/>
      <c r="I253" s="21"/>
      <c r="J253" s="21"/>
      <c r="K253" s="21"/>
      <c r="L253" s="30" t="e">
        <v>#N/A</v>
      </c>
      <c r="M253" s="30" t="e">
        <v>#N/A</v>
      </c>
      <c r="N253" s="30" t="e">
        <v>#N/A</v>
      </c>
      <c r="O253" s="36" t="e">
        <v>#N/A</v>
      </c>
      <c r="P253" s="35" t="e">
        <v>#N/A</v>
      </c>
      <c r="Q253" s="35" t="e">
        <v>#N/A</v>
      </c>
      <c r="R253" s="66" t="e">
        <v>#N/A</v>
      </c>
      <c r="S253" s="36" t="e">
        <v>#N/A</v>
      </c>
      <c r="T253" s="21"/>
      <c r="U253" s="21"/>
      <c r="V253" s="21"/>
      <c r="W253" s="21"/>
      <c r="X253" s="21"/>
      <c r="Y253" s="21"/>
      <c r="Z253" s="21"/>
      <c r="AA253" s="21"/>
      <c r="AB253" s="21"/>
      <c r="AC253" s="20"/>
    </row>
    <row r="254" spans="1:29" x14ac:dyDescent="0.3">
      <c r="A254" s="18"/>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0"/>
    </row>
    <row r="255" spans="1:29" x14ac:dyDescent="0.3">
      <c r="A255" s="18"/>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0"/>
    </row>
    <row r="256" spans="1:29" x14ac:dyDescent="0.3">
      <c r="A256" s="18"/>
      <c r="B256" s="21"/>
      <c r="C256" s="21"/>
      <c r="D256" s="21"/>
      <c r="E256" s="21"/>
      <c r="F256" s="21"/>
      <c r="G256" s="21"/>
      <c r="H256" s="21"/>
      <c r="I256" s="21"/>
      <c r="J256" s="21"/>
      <c r="K256" s="21"/>
      <c r="L256" s="492" t="s">
        <v>3397</v>
      </c>
      <c r="M256" s="529"/>
      <c r="N256" s="529"/>
      <c r="O256" s="529"/>
      <c r="P256" s="529"/>
      <c r="Q256" s="529"/>
      <c r="R256" s="529"/>
      <c r="S256" s="493"/>
      <c r="T256" s="21"/>
      <c r="U256" s="21"/>
      <c r="V256" s="475" t="s">
        <v>125</v>
      </c>
      <c r="W256" s="475"/>
      <c r="X256" s="21"/>
      <c r="Y256" s="21"/>
      <c r="Z256" s="21"/>
      <c r="AA256" s="21"/>
      <c r="AB256" s="21"/>
      <c r="AC256" s="20"/>
    </row>
    <row r="257" spans="1:29" x14ac:dyDescent="0.3">
      <c r="A257" s="18"/>
      <c r="B257" s="21"/>
      <c r="C257" s="21"/>
      <c r="D257" s="21"/>
      <c r="E257" s="21"/>
      <c r="F257" s="21"/>
      <c r="G257" s="21"/>
      <c r="H257" s="21"/>
      <c r="I257" s="21"/>
      <c r="J257" s="21"/>
      <c r="K257" s="21"/>
      <c r="L257" s="3" t="str">
        <f t="array" ref="L257:S262">_xll.U.VFILTER(B215:I228,V258:W259)</f>
        <v>Symbol</v>
      </c>
      <c r="M257" s="3" t="str">
        <v>Broker</v>
      </c>
      <c r="N257" s="3" t="str">
        <v>Side</v>
      </c>
      <c r="O257" s="3" t="str">
        <v>Quantity</v>
      </c>
      <c r="P257" s="3" t="str">
        <v>Trade Price</v>
      </c>
      <c r="Q257" s="3" t="str">
        <v>Current Price</v>
      </c>
      <c r="R257" s="3" t="str">
        <v>P&amp;L</v>
      </c>
      <c r="S257" s="3" t="str">
        <v>Current Delta</v>
      </c>
      <c r="T257" s="21"/>
      <c r="U257" s="21"/>
      <c r="V257" s="9" t="s">
        <v>126</v>
      </c>
      <c r="W257" s="9" t="s">
        <v>17</v>
      </c>
      <c r="X257" s="21"/>
      <c r="Y257" s="21"/>
      <c r="Z257" s="21"/>
      <c r="AA257" s="21"/>
      <c r="AB257" s="21"/>
      <c r="AC257" s="20"/>
    </row>
    <row r="258" spans="1:29" x14ac:dyDescent="0.3">
      <c r="A258" s="18"/>
      <c r="B258" s="21"/>
      <c r="C258" s="21"/>
      <c r="D258" s="21"/>
      <c r="E258" s="21"/>
      <c r="F258" s="21"/>
      <c r="G258" s="21"/>
      <c r="H258" s="21"/>
      <c r="I258" s="21"/>
      <c r="J258" s="21"/>
      <c r="K258" s="21"/>
      <c r="L258" s="30" t="str">
        <v>AAPL Jun17 140P</v>
      </c>
      <c r="M258" s="30" t="str">
        <v>BROKER_B</v>
      </c>
      <c r="N258" s="30" t="str">
        <v>B</v>
      </c>
      <c r="O258" s="36">
        <v>100</v>
      </c>
      <c r="P258" s="35">
        <v>4.3</v>
      </c>
      <c r="Q258" s="35">
        <v>4.3099999999999996</v>
      </c>
      <c r="R258" s="66">
        <v>100</v>
      </c>
      <c r="S258" s="36">
        <v>-3215</v>
      </c>
      <c r="T258" s="21"/>
      <c r="U258" s="21"/>
      <c r="V258" s="79" t="s">
        <v>1814</v>
      </c>
      <c r="W258" s="79" t="s">
        <v>1808</v>
      </c>
      <c r="X258" s="21"/>
      <c r="Y258" s="21"/>
      <c r="Z258" s="21"/>
      <c r="AA258" s="21"/>
      <c r="AB258" s="21"/>
      <c r="AC258" s="20"/>
    </row>
    <row r="259" spans="1:29" x14ac:dyDescent="0.3">
      <c r="A259" s="18"/>
      <c r="B259" s="21"/>
      <c r="C259" s="21"/>
      <c r="D259" s="21"/>
      <c r="E259" s="21"/>
      <c r="F259" s="21"/>
      <c r="G259" s="21"/>
      <c r="H259" s="21"/>
      <c r="I259" s="21"/>
      <c r="J259" s="21"/>
      <c r="K259" s="21"/>
      <c r="L259" s="30" t="str">
        <v>IBM</v>
      </c>
      <c r="M259" s="30" t="str">
        <v/>
      </c>
      <c r="N259" s="30" t="str">
        <v>S</v>
      </c>
      <c r="O259" s="36">
        <v>-3000</v>
      </c>
      <c r="P259" s="35">
        <v>159.49</v>
      </c>
      <c r="Q259" s="35">
        <v>159.37</v>
      </c>
      <c r="R259" s="66">
        <v>360</v>
      </c>
      <c r="S259" s="36">
        <v>-3000</v>
      </c>
      <c r="T259" s="21"/>
      <c r="U259" s="21"/>
      <c r="V259" s="79" t="s">
        <v>1815</v>
      </c>
      <c r="W259" s="79" t="s">
        <v>1816</v>
      </c>
      <c r="X259" s="21"/>
      <c r="Y259" s="21"/>
      <c r="Z259" s="21"/>
      <c r="AA259" s="21"/>
      <c r="AB259" s="21"/>
      <c r="AC259" s="20"/>
    </row>
    <row r="260" spans="1:29" x14ac:dyDescent="0.3">
      <c r="A260" s="18"/>
      <c r="B260" s="21"/>
      <c r="C260" s="21"/>
      <c r="D260" s="21"/>
      <c r="E260" s="21"/>
      <c r="F260" s="21"/>
      <c r="G260" s="21"/>
      <c r="H260" s="21"/>
      <c r="I260" s="21"/>
      <c r="J260" s="21"/>
      <c r="K260" s="21"/>
      <c r="L260" s="30" t="e">
        <v>#N/A</v>
      </c>
      <c r="M260" s="30" t="e">
        <v>#N/A</v>
      </c>
      <c r="N260" s="30" t="e">
        <v>#N/A</v>
      </c>
      <c r="O260" s="36" t="e">
        <v>#N/A</v>
      </c>
      <c r="P260" s="35" t="e">
        <v>#N/A</v>
      </c>
      <c r="Q260" s="35" t="e">
        <v>#N/A</v>
      </c>
      <c r="R260" s="66" t="e">
        <v>#N/A</v>
      </c>
      <c r="S260" s="36" t="e">
        <v>#N/A</v>
      </c>
      <c r="T260" s="21"/>
      <c r="U260" s="21"/>
      <c r="V260" s="21"/>
      <c r="W260" s="21"/>
      <c r="X260" s="21"/>
      <c r="Y260" s="21"/>
      <c r="Z260" s="21"/>
      <c r="AA260" s="21"/>
      <c r="AB260" s="21"/>
      <c r="AC260" s="20"/>
    </row>
    <row r="261" spans="1:29" x14ac:dyDescent="0.3">
      <c r="A261" s="18"/>
      <c r="B261" s="21"/>
      <c r="C261" s="21"/>
      <c r="D261" s="21"/>
      <c r="E261" s="21"/>
      <c r="F261" s="21"/>
      <c r="G261" s="21"/>
      <c r="H261" s="21"/>
      <c r="I261" s="21"/>
      <c r="J261" s="21"/>
      <c r="K261" s="21"/>
      <c r="L261" s="30" t="e">
        <v>#N/A</v>
      </c>
      <c r="M261" s="30" t="e">
        <v>#N/A</v>
      </c>
      <c r="N261" s="30" t="e">
        <v>#N/A</v>
      </c>
      <c r="O261" s="36" t="e">
        <v>#N/A</v>
      </c>
      <c r="P261" s="35" t="e">
        <v>#N/A</v>
      </c>
      <c r="Q261" s="35" t="e">
        <v>#N/A</v>
      </c>
      <c r="R261" s="66" t="e">
        <v>#N/A</v>
      </c>
      <c r="S261" s="36" t="e">
        <v>#N/A</v>
      </c>
      <c r="T261" s="21"/>
      <c r="U261" s="21"/>
      <c r="V261" s="21"/>
      <c r="W261" s="21"/>
      <c r="X261" s="21"/>
      <c r="Y261" s="21"/>
      <c r="Z261" s="21"/>
      <c r="AA261" s="21"/>
      <c r="AB261" s="21"/>
      <c r="AC261" s="20"/>
    </row>
    <row r="262" spans="1:29" x14ac:dyDescent="0.3">
      <c r="A262" s="18"/>
      <c r="B262" s="21"/>
      <c r="C262" s="21"/>
      <c r="D262" s="21"/>
      <c r="E262" s="21"/>
      <c r="F262" s="21"/>
      <c r="G262" s="21"/>
      <c r="H262" s="21"/>
      <c r="I262" s="21"/>
      <c r="J262" s="21"/>
      <c r="K262" s="21"/>
      <c r="L262" s="30" t="e">
        <v>#N/A</v>
      </c>
      <c r="M262" s="30" t="e">
        <v>#N/A</v>
      </c>
      <c r="N262" s="30" t="e">
        <v>#N/A</v>
      </c>
      <c r="O262" s="36" t="e">
        <v>#N/A</v>
      </c>
      <c r="P262" s="35" t="e">
        <v>#N/A</v>
      </c>
      <c r="Q262" s="35" t="e">
        <v>#N/A</v>
      </c>
      <c r="R262" s="66" t="e">
        <v>#N/A</v>
      </c>
      <c r="S262" s="36" t="e">
        <v>#N/A</v>
      </c>
      <c r="T262" s="21"/>
      <c r="U262" s="21"/>
      <c r="V262" s="21"/>
      <c r="W262" s="21"/>
      <c r="X262" s="21"/>
      <c r="Y262" s="21"/>
      <c r="Z262" s="21"/>
      <c r="AA262" s="21"/>
      <c r="AB262" s="21"/>
      <c r="AC262" s="20"/>
    </row>
    <row r="263" spans="1:29" x14ac:dyDescent="0.3">
      <c r="A263" s="18"/>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0"/>
    </row>
    <row r="264" spans="1:29" x14ac:dyDescent="0.3">
      <c r="A264" s="18"/>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0"/>
    </row>
    <row r="265" spans="1:29" x14ac:dyDescent="0.3">
      <c r="A265" s="18"/>
      <c r="B265" s="21"/>
      <c r="C265" s="21"/>
      <c r="D265" s="21"/>
      <c r="E265" s="21"/>
      <c r="F265" s="21"/>
      <c r="G265" s="21"/>
      <c r="H265" s="21"/>
      <c r="I265" s="21"/>
      <c r="J265" s="21"/>
      <c r="K265" s="21"/>
      <c r="L265" s="492" t="s">
        <v>3397</v>
      </c>
      <c r="M265" s="529"/>
      <c r="N265" s="529"/>
      <c r="O265" s="529"/>
      <c r="P265" s="529"/>
      <c r="Q265" s="529"/>
      <c r="R265" s="529"/>
      <c r="S265" s="493"/>
      <c r="T265" s="21"/>
      <c r="U265" s="21"/>
      <c r="V265" s="475" t="s">
        <v>125</v>
      </c>
      <c r="W265" s="475"/>
      <c r="X265" s="21"/>
      <c r="Y265" s="21"/>
      <c r="Z265" s="21"/>
      <c r="AA265" s="21"/>
      <c r="AB265" s="21"/>
      <c r="AC265" s="20"/>
    </row>
    <row r="266" spans="1:29" x14ac:dyDescent="0.3">
      <c r="A266" s="18"/>
      <c r="B266" s="21"/>
      <c r="C266" s="21"/>
      <c r="D266" s="21"/>
      <c r="E266" s="21"/>
      <c r="F266" s="21"/>
      <c r="G266" s="21"/>
      <c r="H266" s="21"/>
      <c r="I266" s="21"/>
      <c r="J266" s="21"/>
      <c r="K266" s="21"/>
      <c r="L266" s="3" t="str">
        <f t="array" ref="L266:S271">_xll.U.VFILTER(B215:I228,V267:W268)</f>
        <v>Symbol</v>
      </c>
      <c r="M266" s="3" t="str">
        <v>Broker</v>
      </c>
      <c r="N266" s="3" t="str">
        <v>Side</v>
      </c>
      <c r="O266" s="3" t="str">
        <v>Quantity</v>
      </c>
      <c r="P266" s="3" t="str">
        <v>Trade Price</v>
      </c>
      <c r="Q266" s="3" t="str">
        <v>Current Price</v>
      </c>
      <c r="R266" s="3" t="str">
        <v>P&amp;L</v>
      </c>
      <c r="S266" s="3" t="str">
        <v>Current Delta</v>
      </c>
      <c r="T266" s="21"/>
      <c r="U266" s="21"/>
      <c r="V266" s="9" t="s">
        <v>126</v>
      </c>
      <c r="W266" s="9" t="s">
        <v>17</v>
      </c>
      <c r="X266" s="21"/>
      <c r="Y266" s="21"/>
      <c r="Z266" s="21"/>
      <c r="AA266" s="21"/>
      <c r="AB266" s="21"/>
      <c r="AC266" s="20"/>
    </row>
    <row r="267" spans="1:29" x14ac:dyDescent="0.3">
      <c r="A267" s="18"/>
      <c r="B267" s="21"/>
      <c r="C267" s="21"/>
      <c r="D267" s="21"/>
      <c r="E267" s="21"/>
      <c r="F267" s="21"/>
      <c r="G267" s="21"/>
      <c r="H267" s="21"/>
      <c r="I267" s="21"/>
      <c r="J267" s="21"/>
      <c r="K267" s="21"/>
      <c r="L267" s="30" t="str">
        <v>AAPL Jun17 140P</v>
      </c>
      <c r="M267" s="30" t="str">
        <v>BROKER_B</v>
      </c>
      <c r="N267" s="30" t="str">
        <v>B</v>
      </c>
      <c r="O267" s="36">
        <v>100</v>
      </c>
      <c r="P267" s="35">
        <v>4.3</v>
      </c>
      <c r="Q267" s="35">
        <v>4.3099999999999996</v>
      </c>
      <c r="R267" s="66">
        <v>100</v>
      </c>
      <c r="S267" s="36">
        <v>-3215</v>
      </c>
      <c r="T267" s="21"/>
      <c r="U267" s="21"/>
      <c r="V267" s="79" t="s">
        <v>3914</v>
      </c>
      <c r="W267" s="79" t="s">
        <v>3915</v>
      </c>
      <c r="X267" s="21"/>
      <c r="Y267" s="21"/>
      <c r="Z267" s="21"/>
      <c r="AA267" s="21"/>
      <c r="AB267" s="21"/>
      <c r="AC267" s="20"/>
    </row>
    <row r="268" spans="1:29" x14ac:dyDescent="0.3">
      <c r="A268" s="18"/>
      <c r="B268" s="21"/>
      <c r="C268" s="21"/>
      <c r="D268" s="21"/>
      <c r="E268" s="21"/>
      <c r="F268" s="21"/>
      <c r="G268" s="21"/>
      <c r="H268" s="21"/>
      <c r="I268" s="21"/>
      <c r="J268" s="21"/>
      <c r="K268" s="21"/>
      <c r="L268" s="30" t="str">
        <v>AAPL</v>
      </c>
      <c r="M268" s="30" t="str">
        <v/>
      </c>
      <c r="N268" s="30" t="str">
        <v>B</v>
      </c>
      <c r="O268" s="36">
        <v>1500</v>
      </c>
      <c r="P268" s="35">
        <v>142.02000000000001</v>
      </c>
      <c r="Q268" s="35">
        <v>141.97</v>
      </c>
      <c r="R268" s="66">
        <v>-75</v>
      </c>
      <c r="S268" s="36">
        <v>1500</v>
      </c>
      <c r="T268" s="21"/>
      <c r="U268" s="21"/>
      <c r="V268" s="79" t="s">
        <v>3918</v>
      </c>
      <c r="W268" s="79" t="s">
        <v>3916</v>
      </c>
      <c r="X268" s="21"/>
      <c r="Y268" s="21"/>
      <c r="Z268" s="21"/>
      <c r="AA268" s="21"/>
      <c r="AB268" s="21"/>
      <c r="AC268" s="20"/>
    </row>
    <row r="269" spans="1:29" x14ac:dyDescent="0.3">
      <c r="A269" s="18"/>
      <c r="B269" s="21"/>
      <c r="C269" s="21"/>
      <c r="D269" s="21"/>
      <c r="E269" s="21"/>
      <c r="F269" s="21"/>
      <c r="G269" s="21"/>
      <c r="H269" s="21"/>
      <c r="I269" s="21"/>
      <c r="J269" s="21"/>
      <c r="K269" s="21"/>
      <c r="L269" s="30" t="str">
        <v>AAPL</v>
      </c>
      <c r="M269" s="30" t="str">
        <v/>
      </c>
      <c r="N269" s="30" t="str">
        <v>B</v>
      </c>
      <c r="O269" s="36">
        <v>100</v>
      </c>
      <c r="P269" s="35">
        <v>142.02000000000001</v>
      </c>
      <c r="Q269" s="35">
        <v>141.97</v>
      </c>
      <c r="R269" s="66">
        <v>-5</v>
      </c>
      <c r="S269" s="36">
        <v>100</v>
      </c>
      <c r="T269" s="21"/>
      <c r="U269" s="21"/>
      <c r="V269" s="21"/>
      <c r="W269" s="21"/>
      <c r="X269" s="21"/>
      <c r="Y269" s="21"/>
      <c r="Z269" s="21"/>
      <c r="AA269" s="21"/>
      <c r="AB269" s="21"/>
      <c r="AC269" s="20"/>
    </row>
    <row r="270" spans="1:29" x14ac:dyDescent="0.3">
      <c r="A270" s="18"/>
      <c r="B270" s="21"/>
      <c r="C270" s="21"/>
      <c r="D270" s="21"/>
      <c r="E270" s="21"/>
      <c r="F270" s="21"/>
      <c r="G270" s="21"/>
      <c r="H270" s="21"/>
      <c r="I270" s="21"/>
      <c r="J270" s="21"/>
      <c r="K270" s="21"/>
      <c r="L270" s="30" t="str">
        <v>AAPL</v>
      </c>
      <c r="M270" s="30" t="str">
        <v>BROKER_B</v>
      </c>
      <c r="N270" s="30" t="str">
        <v>B</v>
      </c>
      <c r="O270" s="36">
        <v>300</v>
      </c>
      <c r="P270" s="35">
        <v>142.02000000000001</v>
      </c>
      <c r="Q270" s="35">
        <v>141.97</v>
      </c>
      <c r="R270" s="66">
        <v>-15</v>
      </c>
      <c r="S270" s="36">
        <v>300</v>
      </c>
      <c r="T270" s="21"/>
      <c r="U270" s="21"/>
      <c r="V270" s="21"/>
      <c r="W270" s="21"/>
      <c r="X270" s="21"/>
      <c r="Y270" s="21"/>
      <c r="Z270" s="21"/>
      <c r="AA270" s="21"/>
      <c r="AB270" s="21"/>
      <c r="AC270" s="20"/>
    </row>
    <row r="271" spans="1:29" x14ac:dyDescent="0.3">
      <c r="A271" s="18"/>
      <c r="B271" s="21"/>
      <c r="C271" s="21"/>
      <c r="D271" s="21"/>
      <c r="E271" s="21"/>
      <c r="F271" s="21"/>
      <c r="G271" s="21"/>
      <c r="H271" s="21"/>
      <c r="I271" s="21"/>
      <c r="J271" s="21"/>
      <c r="K271" s="21"/>
      <c r="L271" s="30" t="str">
        <v>AAPL</v>
      </c>
      <c r="M271" s="30" t="str">
        <v>BROKER_B</v>
      </c>
      <c r="N271" s="30" t="str">
        <v>B</v>
      </c>
      <c r="O271" s="36">
        <v>700</v>
      </c>
      <c r="P271" s="35">
        <v>141.97999999999999</v>
      </c>
      <c r="Q271" s="35">
        <v>141.97</v>
      </c>
      <c r="R271" s="66">
        <v>-7</v>
      </c>
      <c r="S271" s="36">
        <v>600</v>
      </c>
      <c r="T271" s="21"/>
      <c r="U271" s="21"/>
      <c r="V271" s="21"/>
      <c r="W271" s="21"/>
      <c r="X271" s="21"/>
      <c r="Y271" s="21"/>
      <c r="Z271" s="21"/>
      <c r="AA271" s="21"/>
      <c r="AB271" s="21"/>
      <c r="AC271" s="20"/>
    </row>
    <row r="272" spans="1:29" x14ac:dyDescent="0.3">
      <c r="A272" s="18"/>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0"/>
    </row>
    <row r="273" spans="1:29" x14ac:dyDescent="0.3">
      <c r="A273" s="18"/>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0"/>
    </row>
    <row r="274" spans="1:29" x14ac:dyDescent="0.3">
      <c r="A274" s="18"/>
      <c r="B274" s="21"/>
      <c r="C274" s="21"/>
      <c r="D274" s="21"/>
      <c r="E274" s="21"/>
      <c r="F274" s="21"/>
      <c r="G274" s="21"/>
      <c r="H274" s="21"/>
      <c r="I274" s="21"/>
      <c r="J274" s="21"/>
      <c r="K274" s="21"/>
      <c r="L274" s="492" t="s">
        <v>3397</v>
      </c>
      <c r="M274" s="529"/>
      <c r="N274" s="529"/>
      <c r="O274" s="529"/>
      <c r="P274" s="529"/>
      <c r="Q274" s="529"/>
      <c r="R274" s="529"/>
      <c r="S274" s="493"/>
      <c r="T274" s="21"/>
      <c r="U274" s="21"/>
      <c r="V274" s="475" t="s">
        <v>125</v>
      </c>
      <c r="W274" s="475"/>
      <c r="X274" s="21"/>
      <c r="Y274" s="21"/>
      <c r="Z274" s="21"/>
      <c r="AA274" s="21"/>
      <c r="AB274" s="21"/>
      <c r="AC274" s="20"/>
    </row>
    <row r="275" spans="1:29" x14ac:dyDescent="0.3">
      <c r="A275" s="18"/>
      <c r="B275" s="21"/>
      <c r="C275" s="21"/>
      <c r="D275" s="21"/>
      <c r="E275" s="21"/>
      <c r="F275" s="21"/>
      <c r="G275" s="21"/>
      <c r="H275" s="21"/>
      <c r="I275" s="21"/>
      <c r="J275" s="21"/>
      <c r="K275" s="21"/>
      <c r="L275" s="3" t="str">
        <f t="array" ref="L275:S280">_xll.U.VFILTER(B215:I228,V276:W279)</f>
        <v>Symbol</v>
      </c>
      <c r="M275" s="3" t="str">
        <v>Broker</v>
      </c>
      <c r="N275" s="3" t="str">
        <v>Side</v>
      </c>
      <c r="O275" s="3" t="str">
        <v>Quantity</v>
      </c>
      <c r="P275" s="3" t="str">
        <v>Trade Price</v>
      </c>
      <c r="Q275" s="3" t="str">
        <v>Current Price</v>
      </c>
      <c r="R275" s="3" t="str">
        <v>P&amp;L</v>
      </c>
      <c r="S275" s="3" t="str">
        <v>Current Delta</v>
      </c>
      <c r="T275" s="21"/>
      <c r="U275" s="21"/>
      <c r="V275" s="9" t="s">
        <v>126</v>
      </c>
      <c r="W275" s="9" t="s">
        <v>17</v>
      </c>
      <c r="X275" s="21"/>
      <c r="Y275" s="21"/>
      <c r="Z275" s="21"/>
      <c r="AA275" s="21"/>
      <c r="AB275" s="21"/>
      <c r="AC275" s="20"/>
    </row>
    <row r="276" spans="1:29" x14ac:dyDescent="0.3">
      <c r="A276" s="18"/>
      <c r="B276" s="21"/>
      <c r="C276" s="21"/>
      <c r="D276" s="21"/>
      <c r="E276" s="21"/>
      <c r="F276" s="21"/>
      <c r="G276" s="21"/>
      <c r="H276" s="21"/>
      <c r="I276" s="21"/>
      <c r="J276" s="21"/>
      <c r="K276" s="21"/>
      <c r="L276" s="30" t="str">
        <v>AAPL Jun17 140P</v>
      </c>
      <c r="M276" s="30" t="str">
        <v>BROKER_B</v>
      </c>
      <c r="N276" s="30" t="str">
        <v>B</v>
      </c>
      <c r="O276" s="36">
        <v>100</v>
      </c>
      <c r="P276" s="35">
        <v>4.3</v>
      </c>
      <c r="Q276" s="35">
        <v>4.3099999999999996</v>
      </c>
      <c r="R276" s="66">
        <v>100</v>
      </c>
      <c r="S276" s="36">
        <v>-3215</v>
      </c>
      <c r="T276" s="21"/>
      <c r="U276" s="21"/>
      <c r="V276" s="79" t="s">
        <v>3914</v>
      </c>
      <c r="W276" s="79" t="s">
        <v>3915</v>
      </c>
      <c r="X276" s="21"/>
      <c r="Y276" s="21"/>
      <c r="Z276" s="21"/>
      <c r="AA276" s="21"/>
      <c r="AB276" s="21"/>
      <c r="AC276" s="20"/>
    </row>
    <row r="277" spans="1:29" x14ac:dyDescent="0.3">
      <c r="A277" s="18"/>
      <c r="B277" s="21"/>
      <c r="C277" s="21"/>
      <c r="D277" s="21"/>
      <c r="E277" s="21"/>
      <c r="F277" s="21"/>
      <c r="G277" s="21"/>
      <c r="H277" s="21"/>
      <c r="I277" s="21"/>
      <c r="J277" s="21"/>
      <c r="K277" s="21"/>
      <c r="L277" s="30" t="str">
        <v>AAPL</v>
      </c>
      <c r="M277" s="30" t="str">
        <v/>
      </c>
      <c r="N277" s="30" t="str">
        <v>B</v>
      </c>
      <c r="O277" s="36">
        <v>100</v>
      </c>
      <c r="P277" s="35">
        <v>142.02000000000001</v>
      </c>
      <c r="Q277" s="35">
        <v>141.97</v>
      </c>
      <c r="R277" s="66">
        <v>-5</v>
      </c>
      <c r="S277" s="36">
        <v>100</v>
      </c>
      <c r="T277" s="21"/>
      <c r="U277" s="21"/>
      <c r="V277" s="79" t="s">
        <v>3918</v>
      </c>
      <c r="W277" s="79" t="s">
        <v>3916</v>
      </c>
      <c r="X277" s="21"/>
      <c r="Y277" s="21"/>
      <c r="Z277" s="21"/>
      <c r="AA277" s="21"/>
      <c r="AB277" s="21"/>
      <c r="AC277" s="20"/>
    </row>
    <row r="278" spans="1:29" x14ac:dyDescent="0.3">
      <c r="A278" s="18"/>
      <c r="B278" s="21"/>
      <c r="C278" s="21"/>
      <c r="D278" s="21"/>
      <c r="E278" s="21"/>
      <c r="F278" s="21"/>
      <c r="G278" s="21"/>
      <c r="H278" s="21"/>
      <c r="I278" s="21"/>
      <c r="J278" s="21"/>
      <c r="K278" s="21"/>
      <c r="L278" s="30" t="str">
        <v>AAPL</v>
      </c>
      <c r="M278" s="30" t="str">
        <v>BROKER_B</v>
      </c>
      <c r="N278" s="30" t="str">
        <v>B</v>
      </c>
      <c r="O278" s="36">
        <v>700</v>
      </c>
      <c r="P278" s="35">
        <v>141.97999999999999</v>
      </c>
      <c r="Q278" s="35">
        <v>141.97</v>
      </c>
      <c r="R278" s="66">
        <v>-7</v>
      </c>
      <c r="S278" s="36">
        <v>600</v>
      </c>
      <c r="T278" s="21"/>
      <c r="U278" s="21"/>
      <c r="V278" s="79" t="s">
        <v>3917</v>
      </c>
      <c r="W278" s="79">
        <v>100</v>
      </c>
      <c r="X278" s="21"/>
      <c r="Y278" s="21"/>
      <c r="Z278" s="21"/>
      <c r="AA278" s="21"/>
      <c r="AB278" s="21"/>
      <c r="AC278" s="20"/>
    </row>
    <row r="279" spans="1:29" x14ac:dyDescent="0.3">
      <c r="A279" s="18"/>
      <c r="B279" s="21"/>
      <c r="C279" s="21"/>
      <c r="D279" s="21"/>
      <c r="E279" s="21"/>
      <c r="F279" s="21"/>
      <c r="G279" s="21"/>
      <c r="H279" s="21"/>
      <c r="I279" s="21"/>
      <c r="J279" s="21"/>
      <c r="K279" s="21"/>
      <c r="L279" s="30" t="e">
        <v>#N/A</v>
      </c>
      <c r="M279" s="30" t="e">
        <v>#N/A</v>
      </c>
      <c r="N279" s="30" t="e">
        <v>#N/A</v>
      </c>
      <c r="O279" s="36" t="e">
        <v>#N/A</v>
      </c>
      <c r="P279" s="35" t="e">
        <v>#N/A</v>
      </c>
      <c r="Q279" s="35" t="e">
        <v>#N/A</v>
      </c>
      <c r="R279" s="66" t="e">
        <v>#N/A</v>
      </c>
      <c r="S279" s="36" t="e">
        <v>#N/A</v>
      </c>
      <c r="T279" s="21"/>
      <c r="U279" s="21"/>
      <c r="V279" s="79" t="s">
        <v>3919</v>
      </c>
      <c r="W279" s="79">
        <v>-7</v>
      </c>
      <c r="X279" s="21"/>
      <c r="Y279" s="21"/>
      <c r="Z279" s="21"/>
      <c r="AA279" s="21"/>
      <c r="AB279" s="21"/>
      <c r="AC279" s="20"/>
    </row>
    <row r="280" spans="1:29" x14ac:dyDescent="0.3">
      <c r="A280" s="18"/>
      <c r="B280" s="21"/>
      <c r="C280" s="21"/>
      <c r="D280" s="21"/>
      <c r="E280" s="21"/>
      <c r="F280" s="21"/>
      <c r="G280" s="21"/>
      <c r="H280" s="21"/>
      <c r="I280" s="21"/>
      <c r="J280" s="21"/>
      <c r="K280" s="21"/>
      <c r="L280" s="30" t="e">
        <v>#N/A</v>
      </c>
      <c r="M280" s="30" t="e">
        <v>#N/A</v>
      </c>
      <c r="N280" s="30" t="e">
        <v>#N/A</v>
      </c>
      <c r="O280" s="36" t="e">
        <v>#N/A</v>
      </c>
      <c r="P280" s="35" t="e">
        <v>#N/A</v>
      </c>
      <c r="Q280" s="35" t="e">
        <v>#N/A</v>
      </c>
      <c r="R280" s="66" t="e">
        <v>#N/A</v>
      </c>
      <c r="S280" s="36" t="e">
        <v>#N/A</v>
      </c>
      <c r="T280" s="21"/>
      <c r="U280" s="21"/>
      <c r="V280" s="21"/>
      <c r="W280" s="21"/>
      <c r="X280" s="21"/>
      <c r="Y280" s="21"/>
      <c r="Z280" s="21"/>
      <c r="AA280" s="21"/>
      <c r="AB280" s="21"/>
      <c r="AC280" s="20"/>
    </row>
    <row r="281" spans="1:29" x14ac:dyDescent="0.3">
      <c r="A281" s="18"/>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0"/>
    </row>
    <row r="282" spans="1:29" x14ac:dyDescent="0.3">
      <c r="A282" s="18"/>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0"/>
    </row>
    <row r="283" spans="1:29" x14ac:dyDescent="0.3">
      <c r="A283" s="18"/>
      <c r="B283" s="21"/>
      <c r="C283" s="21"/>
      <c r="D283" s="21"/>
      <c r="E283" s="21"/>
      <c r="F283" s="21"/>
      <c r="G283" s="21"/>
      <c r="H283" s="21"/>
      <c r="I283" s="21"/>
      <c r="J283" s="21"/>
      <c r="K283" s="21"/>
      <c r="L283" s="67"/>
      <c r="M283" s="67"/>
      <c r="N283" s="67"/>
      <c r="O283" s="67"/>
      <c r="P283" s="67"/>
      <c r="Q283" s="67"/>
      <c r="R283" s="67"/>
      <c r="S283" s="67"/>
      <c r="T283" s="67"/>
      <c r="U283" s="67"/>
      <c r="V283" s="67"/>
      <c r="W283" s="67"/>
      <c r="X283" s="67"/>
      <c r="Y283" s="67"/>
      <c r="Z283" s="67"/>
      <c r="AA283" s="67"/>
      <c r="AB283" s="21"/>
      <c r="AC283" s="20"/>
    </row>
    <row r="284" spans="1:29" x14ac:dyDescent="0.3">
      <c r="A284" s="18"/>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0"/>
    </row>
    <row r="285" spans="1:29" x14ac:dyDescent="0.3">
      <c r="A285" s="18"/>
      <c r="B285" s="21"/>
      <c r="C285" s="21"/>
      <c r="D285" s="21"/>
      <c r="E285" s="21"/>
      <c r="F285" s="21"/>
      <c r="G285" s="21"/>
      <c r="H285" s="21"/>
      <c r="I285" s="21"/>
      <c r="J285" s="21"/>
      <c r="K285" s="21"/>
      <c r="L285" s="492" t="s">
        <v>3397</v>
      </c>
      <c r="M285" s="529"/>
      <c r="N285" s="529"/>
      <c r="O285" s="529"/>
      <c r="P285" s="529"/>
      <c r="Q285" s="529"/>
      <c r="R285" s="529"/>
      <c r="S285" s="493"/>
      <c r="T285" s="21"/>
      <c r="U285" s="21"/>
      <c r="V285" s="475" t="s">
        <v>125</v>
      </c>
      <c r="W285" s="475"/>
      <c r="X285" s="21"/>
      <c r="Y285" s="21"/>
      <c r="Z285" s="21"/>
      <c r="AA285" s="21"/>
      <c r="AB285" s="21"/>
      <c r="AC285" s="20"/>
    </row>
    <row r="286" spans="1:29" x14ac:dyDescent="0.3">
      <c r="A286" s="18"/>
      <c r="B286" s="21"/>
      <c r="C286" s="21"/>
      <c r="D286" s="21"/>
      <c r="E286" s="21"/>
      <c r="F286" s="21"/>
      <c r="G286" s="21"/>
      <c r="H286" s="21"/>
      <c r="I286" s="21"/>
      <c r="J286" s="21"/>
      <c r="K286" s="21"/>
      <c r="L286" s="3" t="str">
        <f t="array" ref="L286:S291">_xll.U.VFILTER(B215:I228,V287:W291)</f>
        <v>Symbol</v>
      </c>
      <c r="M286" s="3" t="str">
        <v>Broker</v>
      </c>
      <c r="N286" s="3" t="str">
        <v>Side</v>
      </c>
      <c r="O286" s="3" t="str">
        <v>Quantity</v>
      </c>
      <c r="P286" s="3" t="str">
        <v>Trade Price</v>
      </c>
      <c r="Q286" s="3" t="str">
        <v>Current Price</v>
      </c>
      <c r="R286" s="3" t="str">
        <v>P&amp;L</v>
      </c>
      <c r="S286" s="3" t="str">
        <v>Current Delta</v>
      </c>
      <c r="T286" s="21"/>
      <c r="U286" s="21"/>
      <c r="V286" s="9" t="s">
        <v>126</v>
      </c>
      <c r="W286" s="9" t="s">
        <v>17</v>
      </c>
      <c r="X286" s="21"/>
      <c r="Y286" s="21"/>
      <c r="Z286" s="21"/>
      <c r="AA286" s="21"/>
      <c r="AB286" s="21"/>
      <c r="AC286" s="20"/>
    </row>
    <row r="287" spans="1:29" x14ac:dyDescent="0.3">
      <c r="A287" s="18"/>
      <c r="B287" s="21"/>
      <c r="C287" s="21"/>
      <c r="D287" s="21"/>
      <c r="E287" s="21"/>
      <c r="F287" s="21"/>
      <c r="G287" s="21"/>
      <c r="H287" s="21"/>
      <c r="I287" s="21"/>
      <c r="J287" s="21"/>
      <c r="K287" s="21"/>
      <c r="L287" s="30" t="str">
        <v>AAPL</v>
      </c>
      <c r="M287" s="30" t="str">
        <v/>
      </c>
      <c r="N287" s="30" t="str">
        <v>B</v>
      </c>
      <c r="O287" s="36">
        <v>1500</v>
      </c>
      <c r="P287" s="35">
        <v>142.02000000000001</v>
      </c>
      <c r="Q287" s="35">
        <v>141.97</v>
      </c>
      <c r="R287" s="66">
        <v>-75</v>
      </c>
      <c r="S287" s="36">
        <v>1500</v>
      </c>
      <c r="T287" s="21"/>
      <c r="U287" s="21"/>
      <c r="V287" s="79" t="s">
        <v>986</v>
      </c>
      <c r="W287" s="79">
        <v>142</v>
      </c>
      <c r="X287" s="21"/>
      <c r="Y287" s="21"/>
      <c r="Z287" s="21"/>
      <c r="AA287" s="21"/>
      <c r="AB287" s="21"/>
      <c r="AC287" s="20"/>
    </row>
    <row r="288" spans="1:29" x14ac:dyDescent="0.3">
      <c r="A288" s="18"/>
      <c r="B288" s="21"/>
      <c r="C288" s="21"/>
      <c r="D288" s="21"/>
      <c r="E288" s="21"/>
      <c r="F288" s="21"/>
      <c r="G288" s="21"/>
      <c r="H288" s="21"/>
      <c r="I288" s="21"/>
      <c r="J288" s="21"/>
      <c r="K288" s="21"/>
      <c r="L288" s="30" t="str">
        <v>AAPL</v>
      </c>
      <c r="M288" s="30" t="str">
        <v/>
      </c>
      <c r="N288" s="30" t="str">
        <v>B</v>
      </c>
      <c r="O288" s="36">
        <v>100</v>
      </c>
      <c r="P288" s="35">
        <v>142.02000000000001</v>
      </c>
      <c r="Q288" s="35">
        <v>141.97</v>
      </c>
      <c r="R288" s="66">
        <v>-5</v>
      </c>
      <c r="S288" s="36">
        <v>100</v>
      </c>
      <c r="T288" s="21"/>
      <c r="U288" s="21"/>
      <c r="V288" s="79"/>
      <c r="W288" s="79"/>
      <c r="X288" s="21"/>
      <c r="Y288" s="21"/>
      <c r="Z288" s="21"/>
      <c r="AA288" s="21"/>
      <c r="AB288" s="21"/>
      <c r="AC288" s="20"/>
    </row>
    <row r="289" spans="1:29" x14ac:dyDescent="0.3">
      <c r="A289" s="18"/>
      <c r="B289" s="21"/>
      <c r="C289" s="21"/>
      <c r="D289" s="21"/>
      <c r="E289" s="21"/>
      <c r="F289" s="21"/>
      <c r="G289" s="21"/>
      <c r="H289" s="21"/>
      <c r="I289" s="21"/>
      <c r="J289" s="21"/>
      <c r="K289" s="21"/>
      <c r="L289" s="30" t="str">
        <v>AAPL</v>
      </c>
      <c r="M289" s="30" t="str">
        <v>BROKER_B</v>
      </c>
      <c r="N289" s="30" t="str">
        <v>B</v>
      </c>
      <c r="O289" s="36">
        <v>300</v>
      </c>
      <c r="P289" s="35">
        <v>142.02000000000001</v>
      </c>
      <c r="Q289" s="35">
        <v>141.97</v>
      </c>
      <c r="R289" s="66">
        <v>-15</v>
      </c>
      <c r="S289" s="36">
        <v>300</v>
      </c>
      <c r="T289" s="21"/>
      <c r="U289" s="21"/>
      <c r="V289" s="79"/>
      <c r="W289" s="79"/>
      <c r="X289" s="21"/>
      <c r="Y289" s="21"/>
      <c r="Z289" s="21"/>
      <c r="AA289" s="21"/>
      <c r="AB289" s="21"/>
      <c r="AC289" s="20"/>
    </row>
    <row r="290" spans="1:29" x14ac:dyDescent="0.3">
      <c r="A290" s="18"/>
      <c r="B290" s="21"/>
      <c r="C290" s="21"/>
      <c r="D290" s="21"/>
      <c r="E290" s="21"/>
      <c r="F290" s="21"/>
      <c r="G290" s="21"/>
      <c r="H290" s="21"/>
      <c r="I290" s="21"/>
      <c r="J290" s="21"/>
      <c r="K290" s="21"/>
      <c r="L290" s="30" t="e">
        <v>#N/A</v>
      </c>
      <c r="M290" s="30" t="e">
        <v>#N/A</v>
      </c>
      <c r="N290" s="30" t="e">
        <v>#N/A</v>
      </c>
      <c r="O290" s="36" t="e">
        <v>#N/A</v>
      </c>
      <c r="P290" s="35" t="e">
        <v>#N/A</v>
      </c>
      <c r="Q290" s="35" t="e">
        <v>#N/A</v>
      </c>
      <c r="R290" s="66" t="e">
        <v>#N/A</v>
      </c>
      <c r="S290" s="36" t="e">
        <v>#N/A</v>
      </c>
      <c r="T290" s="21"/>
      <c r="U290" s="21"/>
      <c r="V290" s="79"/>
      <c r="W290" s="79"/>
      <c r="X290" s="21"/>
      <c r="Y290" s="21"/>
      <c r="Z290" s="21"/>
      <c r="AA290" s="21"/>
      <c r="AB290" s="21"/>
      <c r="AC290" s="20"/>
    </row>
    <row r="291" spans="1:29" x14ac:dyDescent="0.3">
      <c r="A291" s="18"/>
      <c r="B291" s="21"/>
      <c r="C291" s="21"/>
      <c r="D291" s="21"/>
      <c r="E291" s="21"/>
      <c r="F291" s="21"/>
      <c r="G291" s="21"/>
      <c r="H291" s="21"/>
      <c r="I291" s="21"/>
      <c r="J291" s="21"/>
      <c r="K291" s="21"/>
      <c r="L291" s="30" t="e">
        <v>#N/A</v>
      </c>
      <c r="M291" s="30" t="e">
        <v>#N/A</v>
      </c>
      <c r="N291" s="30" t="e">
        <v>#N/A</v>
      </c>
      <c r="O291" s="36" t="e">
        <v>#N/A</v>
      </c>
      <c r="P291" s="35" t="e">
        <v>#N/A</v>
      </c>
      <c r="Q291" s="35" t="e">
        <v>#N/A</v>
      </c>
      <c r="R291" s="66" t="e">
        <v>#N/A</v>
      </c>
      <c r="S291" s="36" t="e">
        <v>#N/A</v>
      </c>
      <c r="T291" s="21"/>
      <c r="U291" s="21"/>
      <c r="V291" s="79"/>
      <c r="W291" s="79"/>
      <c r="X291" s="21"/>
      <c r="Y291" s="21"/>
      <c r="Z291" s="21"/>
      <c r="AA291" s="21"/>
      <c r="AB291" s="21"/>
      <c r="AC291" s="20"/>
    </row>
    <row r="292" spans="1:29" x14ac:dyDescent="0.3">
      <c r="A292" s="18"/>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0"/>
    </row>
    <row r="293" spans="1:29" x14ac:dyDescent="0.3">
      <c r="A293" s="18"/>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0"/>
    </row>
    <row r="294" spans="1:29" x14ac:dyDescent="0.3">
      <c r="A294" s="18"/>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0"/>
    </row>
    <row r="295" spans="1:29" x14ac:dyDescent="0.3">
      <c r="A295" s="18"/>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0"/>
    </row>
    <row r="296" spans="1:29" x14ac:dyDescent="0.3">
      <c r="A296" s="18"/>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0"/>
    </row>
    <row r="297" spans="1:29" x14ac:dyDescent="0.3">
      <c r="A297" s="18"/>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0"/>
    </row>
    <row r="298" spans="1:29" x14ac:dyDescent="0.3">
      <c r="A298" s="18"/>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0"/>
    </row>
    <row r="299" spans="1:29" x14ac:dyDescent="0.3">
      <c r="A299" s="18"/>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0"/>
    </row>
    <row r="300" spans="1:29" x14ac:dyDescent="0.3">
      <c r="A300" s="18"/>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0"/>
    </row>
    <row r="301" spans="1:29" x14ac:dyDescent="0.3">
      <c r="A301" s="18"/>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0"/>
    </row>
    <row r="302" spans="1:29" x14ac:dyDescent="0.3">
      <c r="A302" s="18"/>
      <c r="B302" s="21"/>
      <c r="C302" s="21"/>
      <c r="D302" s="21"/>
      <c r="E302" s="21"/>
      <c r="F302" s="21"/>
      <c r="G302" s="21"/>
      <c r="H302" s="21"/>
      <c r="I302" s="21"/>
      <c r="J302" s="21"/>
      <c r="K302" s="21"/>
      <c r="L302" s="67"/>
      <c r="M302" s="67"/>
      <c r="N302" s="67"/>
      <c r="O302" s="67"/>
      <c r="P302" s="67"/>
      <c r="Q302" s="67"/>
      <c r="R302" s="67"/>
      <c r="S302" s="67"/>
      <c r="T302" s="67"/>
      <c r="U302" s="67"/>
      <c r="V302" s="67"/>
      <c r="W302" s="67"/>
      <c r="X302" s="67"/>
      <c r="Y302" s="67"/>
      <c r="Z302" s="67"/>
      <c r="AA302" s="67"/>
      <c r="AB302" s="21"/>
      <c r="AC302" s="20"/>
    </row>
    <row r="303" spans="1:29" x14ac:dyDescent="0.3">
      <c r="A303" s="18"/>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0"/>
    </row>
    <row r="304" spans="1:29" x14ac:dyDescent="0.3">
      <c r="A304" s="18"/>
      <c r="B304" s="21"/>
      <c r="C304" s="21"/>
      <c r="D304" s="21"/>
      <c r="E304" s="21"/>
      <c r="F304" s="21"/>
      <c r="G304" s="21"/>
      <c r="H304" s="21"/>
      <c r="I304" s="21"/>
      <c r="J304" s="21"/>
      <c r="K304" s="21"/>
      <c r="L304" s="21"/>
      <c r="M304" s="21"/>
      <c r="N304" s="21"/>
      <c r="O304" s="21"/>
      <c r="P304" s="21"/>
      <c r="Q304" s="21"/>
      <c r="R304" s="21"/>
      <c r="S304" s="101" t="s">
        <v>3397</v>
      </c>
      <c r="T304" s="21"/>
      <c r="U304" s="21"/>
      <c r="V304" s="475" t="s">
        <v>125</v>
      </c>
      <c r="W304" s="475"/>
      <c r="X304" s="21"/>
      <c r="Y304" s="21"/>
      <c r="Z304" s="21"/>
      <c r="AA304" s="21"/>
      <c r="AB304" s="21"/>
      <c r="AC304" s="20"/>
    </row>
    <row r="305" spans="1:29" x14ac:dyDescent="0.3">
      <c r="A305" s="18"/>
      <c r="B305" s="21"/>
      <c r="C305" s="21"/>
      <c r="D305" s="21"/>
      <c r="E305" s="21"/>
      <c r="F305" s="21"/>
      <c r="G305" s="21"/>
      <c r="H305" s="21"/>
      <c r="I305" s="21"/>
      <c r="J305" s="21"/>
      <c r="K305" s="21"/>
      <c r="L305" s="21"/>
      <c r="M305" s="21"/>
      <c r="N305" s="21"/>
      <c r="O305" s="21"/>
      <c r="P305" s="21"/>
      <c r="Q305" s="21"/>
      <c r="R305" s="21"/>
      <c r="S305" s="30">
        <f t="array" ref="S305:S310">_xll.U.VFILTER(B215:I228,V306:W310)</f>
        <v>6</v>
      </c>
      <c r="T305" s="21"/>
      <c r="U305" s="21"/>
      <c r="V305" s="9" t="s">
        <v>126</v>
      </c>
      <c r="W305" s="9" t="s">
        <v>17</v>
      </c>
      <c r="X305" s="21"/>
      <c r="Y305" s="21"/>
      <c r="Z305" s="21"/>
      <c r="AA305" s="21"/>
      <c r="AB305" s="21"/>
      <c r="AC305" s="20"/>
    </row>
    <row r="306" spans="1:29" x14ac:dyDescent="0.3">
      <c r="A306" s="18"/>
      <c r="B306" s="21"/>
      <c r="C306" s="21"/>
      <c r="D306" s="21"/>
      <c r="E306" s="21"/>
      <c r="F306" s="21"/>
      <c r="G306" s="21"/>
      <c r="H306" s="21"/>
      <c r="I306" s="21"/>
      <c r="J306" s="21"/>
      <c r="K306" s="21"/>
      <c r="L306" s="21"/>
      <c r="M306" s="21"/>
      <c r="N306" s="21"/>
      <c r="O306" s="21"/>
      <c r="P306" s="21"/>
      <c r="Q306" s="21"/>
      <c r="R306" s="21"/>
      <c r="S306" s="30">
        <v>7</v>
      </c>
      <c r="T306" s="21"/>
      <c r="U306" s="21"/>
      <c r="V306" s="79" t="s">
        <v>1096</v>
      </c>
      <c r="W306" s="79"/>
      <c r="X306" s="21"/>
      <c r="Y306" s="21"/>
      <c r="Z306" s="21"/>
      <c r="AA306" s="21"/>
      <c r="AB306" s="21"/>
      <c r="AC306" s="20"/>
    </row>
    <row r="307" spans="1:29" x14ac:dyDescent="0.3">
      <c r="A307" s="18"/>
      <c r="B307" s="21"/>
      <c r="C307" s="21"/>
      <c r="D307" s="21"/>
      <c r="E307" s="21"/>
      <c r="F307" s="21"/>
      <c r="G307" s="21"/>
      <c r="H307" s="21"/>
      <c r="I307" s="21"/>
      <c r="J307" s="21"/>
      <c r="K307" s="21"/>
      <c r="L307" s="21"/>
      <c r="M307" s="21"/>
      <c r="N307" s="21"/>
      <c r="O307" s="21"/>
      <c r="P307" s="21"/>
      <c r="Q307" s="21"/>
      <c r="R307" s="21"/>
      <c r="S307" s="30">
        <v>8</v>
      </c>
      <c r="T307" s="21"/>
      <c r="U307" s="21"/>
      <c r="V307" s="79" t="s">
        <v>986</v>
      </c>
      <c r="W307" s="79">
        <v>142</v>
      </c>
      <c r="X307" s="21"/>
      <c r="Y307" s="21"/>
      <c r="Z307" s="21"/>
      <c r="AA307" s="21"/>
      <c r="AB307" s="21"/>
      <c r="AC307" s="20"/>
    </row>
    <row r="308" spans="1:29" x14ac:dyDescent="0.3">
      <c r="A308" s="18"/>
      <c r="B308" s="21"/>
      <c r="C308" s="21"/>
      <c r="D308" s="21"/>
      <c r="E308" s="21"/>
      <c r="F308" s="21"/>
      <c r="G308" s="21"/>
      <c r="H308" s="21"/>
      <c r="I308" s="21"/>
      <c r="J308" s="21"/>
      <c r="K308" s="21"/>
      <c r="L308" s="21"/>
      <c r="M308" s="21"/>
      <c r="N308" s="21"/>
      <c r="O308" s="21"/>
      <c r="P308" s="21"/>
      <c r="Q308" s="21"/>
      <c r="R308" s="21"/>
      <c r="S308" s="30" t="e">
        <v>#N/A</v>
      </c>
      <c r="T308" s="21"/>
      <c r="U308" s="21"/>
      <c r="V308" s="79"/>
      <c r="W308" s="79"/>
      <c r="X308" s="21"/>
      <c r="Y308" s="21"/>
      <c r="Z308" s="21"/>
      <c r="AA308" s="21"/>
      <c r="AB308" s="21"/>
      <c r="AC308" s="20"/>
    </row>
    <row r="309" spans="1:29" x14ac:dyDescent="0.3">
      <c r="A309" s="18"/>
      <c r="B309" s="21"/>
      <c r="C309" s="21"/>
      <c r="D309" s="21"/>
      <c r="E309" s="21"/>
      <c r="F309" s="21"/>
      <c r="G309" s="21"/>
      <c r="H309" s="21"/>
      <c r="I309" s="21"/>
      <c r="J309" s="21"/>
      <c r="K309" s="21"/>
      <c r="L309" s="21"/>
      <c r="M309" s="21"/>
      <c r="N309" s="21"/>
      <c r="O309" s="21"/>
      <c r="P309" s="21"/>
      <c r="Q309" s="21"/>
      <c r="R309" s="21"/>
      <c r="S309" s="30" t="e">
        <v>#N/A</v>
      </c>
      <c r="T309" s="21"/>
      <c r="U309" s="21"/>
      <c r="V309" s="79"/>
      <c r="W309" s="79"/>
      <c r="X309" s="21"/>
      <c r="Y309" s="21"/>
      <c r="Z309" s="21"/>
      <c r="AA309" s="21"/>
      <c r="AB309" s="21"/>
      <c r="AC309" s="20"/>
    </row>
    <row r="310" spans="1:29" x14ac:dyDescent="0.3">
      <c r="A310" s="18"/>
      <c r="B310" s="21"/>
      <c r="C310" s="21"/>
      <c r="D310" s="21"/>
      <c r="E310" s="21"/>
      <c r="F310" s="21"/>
      <c r="G310" s="21"/>
      <c r="H310" s="21"/>
      <c r="I310" s="21"/>
      <c r="J310" s="21"/>
      <c r="K310" s="21"/>
      <c r="L310" s="21"/>
      <c r="M310" s="21"/>
      <c r="N310" s="21"/>
      <c r="O310" s="21"/>
      <c r="P310" s="21"/>
      <c r="Q310" s="21"/>
      <c r="R310" s="21"/>
      <c r="S310" s="30" t="e">
        <v>#N/A</v>
      </c>
      <c r="T310" s="21"/>
      <c r="U310" s="21"/>
      <c r="V310" s="79"/>
      <c r="W310" s="79"/>
      <c r="X310" s="21"/>
      <c r="Y310" s="21"/>
      <c r="Z310" s="21"/>
      <c r="AA310" s="21"/>
      <c r="AB310" s="21"/>
      <c r="AC310" s="20"/>
    </row>
    <row r="311" spans="1:29" x14ac:dyDescent="0.3">
      <c r="A311" s="18"/>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0"/>
    </row>
    <row r="312" spans="1:29" x14ac:dyDescent="0.3">
      <c r="A312" s="18"/>
      <c r="B312" s="21"/>
      <c r="C312" s="21"/>
      <c r="D312" s="21"/>
      <c r="E312" s="21"/>
      <c r="F312" s="21"/>
      <c r="G312" s="21"/>
      <c r="H312" s="21"/>
      <c r="I312" s="21"/>
      <c r="J312" s="21"/>
      <c r="K312" s="492" t="s">
        <v>3397</v>
      </c>
      <c r="L312" s="529"/>
      <c r="M312" s="529"/>
      <c r="N312" s="529"/>
      <c r="O312" s="529"/>
      <c r="P312" s="529"/>
      <c r="Q312" s="529"/>
      <c r="R312" s="529"/>
      <c r="S312" s="493"/>
      <c r="T312" s="21"/>
      <c r="U312" s="21"/>
      <c r="V312" s="475" t="s">
        <v>125</v>
      </c>
      <c r="W312" s="475"/>
      <c r="X312" s="21"/>
      <c r="Y312" s="21"/>
      <c r="Z312" s="21"/>
      <c r="AA312" s="21"/>
      <c r="AB312" s="21"/>
      <c r="AC312" s="20"/>
    </row>
    <row r="313" spans="1:29" x14ac:dyDescent="0.3">
      <c r="A313" s="18"/>
      <c r="B313" s="21"/>
      <c r="C313" s="21"/>
      <c r="D313" s="21"/>
      <c r="E313" s="21"/>
      <c r="F313" s="21"/>
      <c r="G313" s="21"/>
      <c r="H313" s="21"/>
      <c r="I313" s="21"/>
      <c r="J313" s="21"/>
      <c r="K313" s="3">
        <f t="array" ref="K313:S318">_xll.U.VFILTER(B215:I228,V314:W318)</f>
        <v>1</v>
      </c>
      <c r="L313" s="3" t="str">
        <v>Symbol</v>
      </c>
      <c r="M313" s="3" t="str">
        <v>Broker</v>
      </c>
      <c r="N313" s="3" t="str">
        <v>Side</v>
      </c>
      <c r="O313" s="3" t="str">
        <v>Quantity</v>
      </c>
      <c r="P313" s="3" t="str">
        <v>Trade Price</v>
      </c>
      <c r="Q313" s="3" t="str">
        <v>Current Price</v>
      </c>
      <c r="R313" s="3" t="str">
        <v>P&amp;L</v>
      </c>
      <c r="S313" s="3" t="str">
        <v>Current Delta</v>
      </c>
      <c r="T313" s="21"/>
      <c r="U313" s="21"/>
      <c r="V313" s="9" t="s">
        <v>126</v>
      </c>
      <c r="W313" s="9" t="s">
        <v>17</v>
      </c>
      <c r="X313" s="21"/>
      <c r="Y313" s="21"/>
      <c r="Z313" s="21"/>
      <c r="AA313" s="21"/>
      <c r="AB313" s="21"/>
      <c r="AC313" s="20"/>
    </row>
    <row r="314" spans="1:29" x14ac:dyDescent="0.3">
      <c r="A314" s="18"/>
      <c r="B314" s="21"/>
      <c r="C314" s="21"/>
      <c r="D314" s="21"/>
      <c r="E314" s="21"/>
      <c r="F314" s="21"/>
      <c r="G314" s="21"/>
      <c r="H314" s="21"/>
      <c r="I314" s="21"/>
      <c r="J314" s="21"/>
      <c r="K314" s="30">
        <v>6</v>
      </c>
      <c r="L314" s="30" t="str">
        <v>AAPL</v>
      </c>
      <c r="M314" s="30" t="str">
        <v/>
      </c>
      <c r="N314" s="36" t="str">
        <v>B</v>
      </c>
      <c r="O314" s="35">
        <v>1500</v>
      </c>
      <c r="P314" s="35">
        <v>142.02000000000001</v>
      </c>
      <c r="Q314" s="66">
        <v>141.97</v>
      </c>
      <c r="R314" s="36">
        <v>-75</v>
      </c>
      <c r="S314" s="36">
        <v>1500</v>
      </c>
      <c r="T314" s="21"/>
      <c r="U314" s="21"/>
      <c r="V314" s="79" t="s">
        <v>3138</v>
      </c>
      <c r="W314" s="79"/>
      <c r="X314" s="21"/>
      <c r="Y314" s="21"/>
      <c r="Z314" s="21"/>
      <c r="AA314" s="21"/>
      <c r="AB314" s="21"/>
      <c r="AC314" s="20"/>
    </row>
    <row r="315" spans="1:29" x14ac:dyDescent="0.3">
      <c r="A315" s="18"/>
      <c r="B315" s="21"/>
      <c r="C315" s="21"/>
      <c r="D315" s="21"/>
      <c r="E315" s="21"/>
      <c r="F315" s="21"/>
      <c r="G315" s="21"/>
      <c r="H315" s="21"/>
      <c r="I315" s="21"/>
      <c r="J315" s="21"/>
      <c r="K315" s="30">
        <v>7</v>
      </c>
      <c r="L315" s="30" t="str">
        <v>AAPL</v>
      </c>
      <c r="M315" s="30" t="str">
        <v/>
      </c>
      <c r="N315" s="36" t="str">
        <v>B</v>
      </c>
      <c r="O315" s="35">
        <v>100</v>
      </c>
      <c r="P315" s="35">
        <v>142.02000000000001</v>
      </c>
      <c r="Q315" s="66">
        <v>141.97</v>
      </c>
      <c r="R315" s="36">
        <v>-5</v>
      </c>
      <c r="S315" s="36">
        <v>100</v>
      </c>
      <c r="T315" s="21"/>
      <c r="U315" s="21"/>
      <c r="V315" s="79" t="s">
        <v>986</v>
      </c>
      <c r="W315" s="79">
        <v>142</v>
      </c>
      <c r="X315" s="21"/>
      <c r="Y315" s="21"/>
      <c r="Z315" s="21"/>
      <c r="AA315" s="21"/>
      <c r="AB315" s="21"/>
      <c r="AC315" s="20"/>
    </row>
    <row r="316" spans="1:29" x14ac:dyDescent="0.3">
      <c r="A316" s="18"/>
      <c r="B316" s="21"/>
      <c r="C316" s="21"/>
      <c r="D316" s="21"/>
      <c r="E316" s="21"/>
      <c r="F316" s="21"/>
      <c r="G316" s="21"/>
      <c r="H316" s="21"/>
      <c r="I316" s="21"/>
      <c r="J316" s="21"/>
      <c r="K316" s="30">
        <v>8</v>
      </c>
      <c r="L316" s="30" t="str">
        <v>AAPL</v>
      </c>
      <c r="M316" s="30" t="str">
        <v>BROKER_B</v>
      </c>
      <c r="N316" s="36" t="str">
        <v>B</v>
      </c>
      <c r="O316" s="35">
        <v>300</v>
      </c>
      <c r="P316" s="35">
        <v>142.02000000000001</v>
      </c>
      <c r="Q316" s="66">
        <v>141.97</v>
      </c>
      <c r="R316" s="36">
        <v>-15</v>
      </c>
      <c r="S316" s="36">
        <v>300</v>
      </c>
      <c r="T316" s="21"/>
      <c r="U316" s="21"/>
      <c r="V316" s="79"/>
      <c r="W316" s="79"/>
      <c r="X316" s="21"/>
      <c r="Y316" s="21"/>
      <c r="Z316" s="21"/>
      <c r="AA316" s="21"/>
      <c r="AB316" s="21"/>
      <c r="AC316" s="20"/>
    </row>
    <row r="317" spans="1:29" x14ac:dyDescent="0.3">
      <c r="A317" s="18"/>
      <c r="B317" s="21"/>
      <c r="C317" s="21"/>
      <c r="D317" s="21"/>
      <c r="E317" s="21"/>
      <c r="F317" s="21"/>
      <c r="G317" s="21"/>
      <c r="H317" s="21"/>
      <c r="I317" s="21"/>
      <c r="J317" s="21"/>
      <c r="K317" s="30" t="e">
        <v>#N/A</v>
      </c>
      <c r="L317" s="30" t="e">
        <v>#N/A</v>
      </c>
      <c r="M317" s="30" t="e">
        <v>#N/A</v>
      </c>
      <c r="N317" s="36" t="e">
        <v>#N/A</v>
      </c>
      <c r="O317" s="35" t="e">
        <v>#N/A</v>
      </c>
      <c r="P317" s="35" t="e">
        <v>#N/A</v>
      </c>
      <c r="Q317" s="66" t="e">
        <v>#N/A</v>
      </c>
      <c r="R317" s="36" t="e">
        <v>#N/A</v>
      </c>
      <c r="S317" s="36" t="e">
        <v>#N/A</v>
      </c>
      <c r="T317" s="21"/>
      <c r="U317" s="21"/>
      <c r="V317" s="79"/>
      <c r="W317" s="79"/>
      <c r="X317" s="21"/>
      <c r="Y317" s="21"/>
      <c r="Z317" s="21"/>
      <c r="AA317" s="21"/>
      <c r="AB317" s="21"/>
      <c r="AC317" s="20"/>
    </row>
    <row r="318" spans="1:29" x14ac:dyDescent="0.3">
      <c r="A318" s="18"/>
      <c r="B318" s="21"/>
      <c r="C318" s="21"/>
      <c r="D318" s="21"/>
      <c r="E318" s="21"/>
      <c r="F318" s="21"/>
      <c r="G318" s="21"/>
      <c r="H318" s="21"/>
      <c r="I318" s="21"/>
      <c r="J318" s="21"/>
      <c r="K318" s="30" t="e">
        <v>#N/A</v>
      </c>
      <c r="L318" s="30" t="e">
        <v>#N/A</v>
      </c>
      <c r="M318" s="30" t="e">
        <v>#N/A</v>
      </c>
      <c r="N318" s="36" t="e">
        <v>#N/A</v>
      </c>
      <c r="O318" s="35" t="e">
        <v>#N/A</v>
      </c>
      <c r="P318" s="35" t="e">
        <v>#N/A</v>
      </c>
      <c r="Q318" s="66" t="e">
        <v>#N/A</v>
      </c>
      <c r="R318" s="36" t="e">
        <v>#N/A</v>
      </c>
      <c r="S318" s="36" t="e">
        <v>#N/A</v>
      </c>
      <c r="T318" s="21"/>
      <c r="U318" s="21"/>
      <c r="V318" s="79"/>
      <c r="W318" s="79"/>
      <c r="X318" s="21"/>
      <c r="Y318" s="21"/>
      <c r="Z318" s="21"/>
      <c r="AA318" s="21"/>
      <c r="AB318" s="21"/>
      <c r="AC318" s="20"/>
    </row>
    <row r="319" spans="1:29" x14ac:dyDescent="0.3">
      <c r="A319" s="18"/>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0"/>
    </row>
    <row r="320" spans="1:29" x14ac:dyDescent="0.3">
      <c r="A320" s="18"/>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0"/>
    </row>
    <row r="321" spans="1:29" x14ac:dyDescent="0.3">
      <c r="A321" s="18"/>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0"/>
    </row>
    <row r="322" spans="1:29" x14ac:dyDescent="0.3">
      <c r="A322" s="18"/>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0"/>
    </row>
    <row r="323" spans="1:29" x14ac:dyDescent="0.3">
      <c r="A323" s="18"/>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0"/>
    </row>
    <row r="324" spans="1:29" x14ac:dyDescent="0.3">
      <c r="A324" s="18"/>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0"/>
    </row>
    <row r="325" spans="1:29" x14ac:dyDescent="0.3">
      <c r="A325" s="18"/>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0"/>
    </row>
    <row r="326" spans="1:29" x14ac:dyDescent="0.3">
      <c r="A326" s="18"/>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0"/>
    </row>
    <row r="327" spans="1:29" x14ac:dyDescent="0.3">
      <c r="A327" s="18"/>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0"/>
    </row>
    <row r="328" spans="1:29" x14ac:dyDescent="0.3">
      <c r="A328" s="490" t="s">
        <v>139</v>
      </c>
      <c r="B328" s="491"/>
      <c r="C328" s="491"/>
      <c r="D328" s="491"/>
      <c r="E328" s="491"/>
      <c r="F328" s="491"/>
      <c r="G328" s="491"/>
      <c r="H328" s="491"/>
      <c r="I328" s="491"/>
      <c r="J328" s="491"/>
      <c r="K328" s="491"/>
      <c r="L328" s="491"/>
      <c r="M328" s="491"/>
      <c r="N328" s="491"/>
      <c r="O328" s="491"/>
      <c r="P328" s="491"/>
      <c r="Q328" s="491"/>
      <c r="R328" s="491"/>
      <c r="S328" s="491"/>
      <c r="T328" s="491"/>
      <c r="U328" s="491"/>
      <c r="V328" s="491"/>
      <c r="W328" s="491"/>
      <c r="X328" s="491"/>
      <c r="Y328" s="491"/>
      <c r="Z328" s="491"/>
      <c r="AA328" s="491"/>
      <c r="AB328" s="21"/>
      <c r="AC328" s="20"/>
    </row>
    <row r="329" spans="1:29" x14ac:dyDescent="0.3">
      <c r="A329" s="18"/>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0"/>
    </row>
    <row r="330" spans="1:29" x14ac:dyDescent="0.3">
      <c r="A330" s="18"/>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0"/>
    </row>
    <row r="331" spans="1:29" x14ac:dyDescent="0.3">
      <c r="A331" s="18"/>
      <c r="B331" s="535" t="s">
        <v>121</v>
      </c>
      <c r="C331" s="45" t="str">
        <f t="array" ref="C331:P338">TRANSPOSE(B7:I20)</f>
        <v>Symbol</v>
      </c>
      <c r="D331" s="79" t="str">
        <v>AAPL Jun17 140P</v>
      </c>
      <c r="E331" s="79" t="str">
        <v>IBM Jun17 160C</v>
      </c>
      <c r="F331" s="79" t="str">
        <v>IBM</v>
      </c>
      <c r="G331" s="79" t="str">
        <v>IBM</v>
      </c>
      <c r="H331" s="79" t="str">
        <v>AAPL</v>
      </c>
      <c r="I331" s="79" t="str">
        <v>AAPL</v>
      </c>
      <c r="J331" s="79" t="str">
        <v>AAPL</v>
      </c>
      <c r="K331" s="79" t="str">
        <v>IBM</v>
      </c>
      <c r="L331" s="79" t="str">
        <v>AAPL</v>
      </c>
      <c r="M331" s="79" t="str">
        <v>IBM</v>
      </c>
      <c r="N331" s="79" t="str">
        <v>IBM Jun17 160C</v>
      </c>
      <c r="O331" s="79" t="str">
        <v>AAPL</v>
      </c>
      <c r="P331" s="79" t="str">
        <v>IBM Jun17 160C</v>
      </c>
      <c r="Q331" s="21"/>
      <c r="R331" s="21"/>
      <c r="S331" s="21"/>
      <c r="T331" s="21"/>
      <c r="U331" s="21"/>
      <c r="V331" s="21"/>
      <c r="W331" s="21"/>
      <c r="X331" s="21"/>
      <c r="Y331" s="21"/>
      <c r="Z331" s="21"/>
      <c r="AA331" s="21"/>
      <c r="AB331" s="21"/>
      <c r="AC331" s="20"/>
    </row>
    <row r="332" spans="1:29" x14ac:dyDescent="0.3">
      <c r="A332" s="18"/>
      <c r="B332" s="535"/>
      <c r="C332" s="45" t="str">
        <v>Broker</v>
      </c>
      <c r="D332" s="79" t="str">
        <v>BROKER_B</v>
      </c>
      <c r="E332" s="79" t="str">
        <v>BOB_THE_BROKER</v>
      </c>
      <c r="F332" s="79" t="str">
        <v>BROKER_A</v>
      </c>
      <c r="G332" s="79" t="str">
        <v>BROKER_A</v>
      </c>
      <c r="H332" s="79" t="str">
        <v>BROKER_B</v>
      </c>
      <c r="I332" s="79" t="str">
        <v>BROKER_B</v>
      </c>
      <c r="J332" s="79" t="str">
        <v>BROKER_B</v>
      </c>
      <c r="K332" s="79" t="str">
        <v>BROKER_A</v>
      </c>
      <c r="L332" s="79" t="str">
        <v>BROKER_B</v>
      </c>
      <c r="M332" s="79" t="str">
        <v>BROKER_A</v>
      </c>
      <c r="N332" s="79" t="str">
        <v>BOB_THE_BROKER</v>
      </c>
      <c r="O332" s="79" t="str">
        <v>BROKER_B</v>
      </c>
      <c r="P332" s="79" t="str">
        <v>BOB_THE_BROKER</v>
      </c>
      <c r="Q332" s="21"/>
      <c r="R332" s="21"/>
      <c r="S332" s="21"/>
      <c r="T332" s="21"/>
      <c r="U332" s="21"/>
      <c r="V332" s="21"/>
      <c r="W332" s="21"/>
      <c r="X332" s="21"/>
      <c r="Y332" s="21"/>
      <c r="Z332" s="21"/>
      <c r="AA332" s="21"/>
      <c r="AB332" s="21"/>
      <c r="AC332" s="20"/>
    </row>
    <row r="333" spans="1:29" x14ac:dyDescent="0.3">
      <c r="A333" s="18"/>
      <c r="B333" s="535"/>
      <c r="C333" s="45" t="str">
        <v>Side</v>
      </c>
      <c r="D333" s="79" t="str">
        <v>B</v>
      </c>
      <c r="E333" s="79" t="str">
        <v>B</v>
      </c>
      <c r="F333" s="79" t="str">
        <v>S</v>
      </c>
      <c r="G333" s="79" t="str">
        <v>S</v>
      </c>
      <c r="H333" s="79" t="str">
        <v>B</v>
      </c>
      <c r="I333" s="79" t="str">
        <v>B</v>
      </c>
      <c r="J333" s="79" t="str">
        <v>B</v>
      </c>
      <c r="K333" s="79" t="str">
        <v>B</v>
      </c>
      <c r="L333" s="79" t="str">
        <v>B</v>
      </c>
      <c r="M333" s="79" t="str">
        <v>B</v>
      </c>
      <c r="N333" s="79" t="str">
        <v>S</v>
      </c>
      <c r="O333" s="79" t="str">
        <v>B</v>
      </c>
      <c r="P333" s="79" t="str">
        <v>S</v>
      </c>
      <c r="Q333" s="21"/>
      <c r="R333" s="21"/>
      <c r="S333" s="21"/>
      <c r="T333" s="21"/>
      <c r="U333" s="21"/>
      <c r="V333" s="21"/>
      <c r="W333" s="21"/>
      <c r="X333" s="21"/>
      <c r="Y333" s="21"/>
      <c r="Z333" s="21"/>
      <c r="AA333" s="21"/>
      <c r="AB333" s="21"/>
      <c r="AC333" s="20"/>
    </row>
    <row r="334" spans="1:29" x14ac:dyDescent="0.3">
      <c r="A334" s="18"/>
      <c r="B334" s="535"/>
      <c r="C334" s="45" t="str">
        <v>Quantity</v>
      </c>
      <c r="D334" s="80">
        <v>100</v>
      </c>
      <c r="E334" s="80">
        <v>50</v>
      </c>
      <c r="F334" s="80">
        <v>-3000</v>
      </c>
      <c r="G334" s="80">
        <v>-100</v>
      </c>
      <c r="H334" s="80">
        <v>1500</v>
      </c>
      <c r="I334" s="80">
        <v>100</v>
      </c>
      <c r="J334" s="80">
        <v>300</v>
      </c>
      <c r="K334" s="80">
        <v>100</v>
      </c>
      <c r="L334" s="80">
        <v>600</v>
      </c>
      <c r="M334" s="80">
        <v>100</v>
      </c>
      <c r="N334" s="80">
        <v>-10</v>
      </c>
      <c r="O334" s="80">
        <v>700</v>
      </c>
      <c r="P334" s="80">
        <v>-40</v>
      </c>
      <c r="Q334" s="21"/>
      <c r="R334" s="21"/>
      <c r="S334" s="21"/>
      <c r="T334" s="21"/>
      <c r="U334" s="21"/>
      <c r="V334" s="21"/>
      <c r="W334" s="21"/>
      <c r="X334" s="21"/>
      <c r="Y334" s="21"/>
      <c r="Z334" s="21"/>
      <c r="AA334" s="21"/>
      <c r="AB334" s="21"/>
      <c r="AC334" s="20"/>
    </row>
    <row r="335" spans="1:29" x14ac:dyDescent="0.3">
      <c r="A335" s="18"/>
      <c r="B335" s="535"/>
      <c r="C335" s="45" t="str">
        <v>Trade Price</v>
      </c>
      <c r="D335" s="81">
        <v>4.3</v>
      </c>
      <c r="E335" s="81">
        <v>2.65</v>
      </c>
      <c r="F335" s="81">
        <v>159.49</v>
      </c>
      <c r="G335" s="81">
        <v>159.5</v>
      </c>
      <c r="H335" s="81">
        <v>142.02000000000001</v>
      </c>
      <c r="I335" s="81">
        <v>142.02000000000001</v>
      </c>
      <c r="J335" s="81">
        <v>142.02000000000001</v>
      </c>
      <c r="K335" s="81">
        <v>159.4</v>
      </c>
      <c r="L335" s="81">
        <v>142.02000000000001</v>
      </c>
      <c r="M335" s="81">
        <v>159.4</v>
      </c>
      <c r="N335" s="81">
        <v>2.62</v>
      </c>
      <c r="O335" s="81">
        <v>141.97999999999999</v>
      </c>
      <c r="P335" s="81">
        <v>2.61</v>
      </c>
      <c r="Q335" s="21"/>
      <c r="R335" s="21"/>
      <c r="S335" s="21"/>
      <c r="T335" s="21"/>
      <c r="U335" s="21"/>
      <c r="V335" s="21"/>
      <c r="W335" s="21"/>
      <c r="X335" s="21"/>
      <c r="Y335" s="21"/>
      <c r="Z335" s="21"/>
      <c r="AA335" s="21"/>
      <c r="AB335" s="21"/>
      <c r="AC335" s="20"/>
    </row>
    <row r="336" spans="1:29" x14ac:dyDescent="0.3">
      <c r="A336" s="18"/>
      <c r="B336" s="535"/>
      <c r="C336" s="45" t="str">
        <v>Current Price</v>
      </c>
      <c r="D336" s="81">
        <v>4.3099999999999996</v>
      </c>
      <c r="E336" s="81">
        <v>2.6</v>
      </c>
      <c r="F336" s="81">
        <v>159.37</v>
      </c>
      <c r="G336" s="81">
        <v>159.37</v>
      </c>
      <c r="H336" s="81">
        <v>141.97</v>
      </c>
      <c r="I336" s="81">
        <v>141.97</v>
      </c>
      <c r="J336" s="81">
        <v>141.97</v>
      </c>
      <c r="K336" s="81">
        <v>159.37</v>
      </c>
      <c r="L336" s="81">
        <v>141.97</v>
      </c>
      <c r="M336" s="81">
        <v>159.37</v>
      </c>
      <c r="N336" s="81">
        <v>2.6</v>
      </c>
      <c r="O336" s="81">
        <v>141.97</v>
      </c>
      <c r="P336" s="81">
        <v>2.6</v>
      </c>
      <c r="Q336" s="21"/>
      <c r="R336" s="21"/>
      <c r="S336" s="21"/>
      <c r="T336" s="21"/>
      <c r="U336" s="21"/>
      <c r="V336" s="21"/>
      <c r="W336" s="21"/>
      <c r="X336" s="21"/>
      <c r="Y336" s="21"/>
      <c r="Z336" s="21"/>
      <c r="AA336" s="21"/>
      <c r="AB336" s="21"/>
      <c r="AC336" s="20"/>
    </row>
    <row r="337" spans="1:29" x14ac:dyDescent="0.3">
      <c r="A337" s="18"/>
      <c r="B337" s="535"/>
      <c r="C337" s="45" t="str">
        <v>P&amp;L</v>
      </c>
      <c r="D337" s="80">
        <v>100</v>
      </c>
      <c r="E337" s="80">
        <v>-250</v>
      </c>
      <c r="F337" s="80">
        <v>360</v>
      </c>
      <c r="G337" s="80">
        <v>13</v>
      </c>
      <c r="H337" s="80">
        <v>-75</v>
      </c>
      <c r="I337" s="80">
        <v>-5</v>
      </c>
      <c r="J337" s="80">
        <v>-15</v>
      </c>
      <c r="K337" s="80">
        <v>-3</v>
      </c>
      <c r="L337" s="80">
        <v>-30</v>
      </c>
      <c r="M337" s="80">
        <v>-3</v>
      </c>
      <c r="N337" s="80">
        <v>20</v>
      </c>
      <c r="O337" s="80">
        <v>-7</v>
      </c>
      <c r="P337" s="80">
        <v>40</v>
      </c>
      <c r="Q337" s="21"/>
      <c r="R337" s="21"/>
      <c r="S337" s="21"/>
      <c r="T337" s="21"/>
      <c r="U337" s="21"/>
      <c r="V337" s="21"/>
      <c r="W337" s="21"/>
      <c r="X337" s="21"/>
      <c r="Y337" s="21"/>
      <c r="Z337" s="21"/>
      <c r="AA337" s="21"/>
      <c r="AB337" s="21"/>
      <c r="AC337" s="20"/>
    </row>
    <row r="338" spans="1:29" x14ac:dyDescent="0.3">
      <c r="A338" s="18"/>
      <c r="B338" s="535"/>
      <c r="C338" s="45" t="str">
        <v>Current Delta</v>
      </c>
      <c r="D338" s="80">
        <v>-3215</v>
      </c>
      <c r="E338" s="80">
        <v>2879</v>
      </c>
      <c r="F338" s="80">
        <v>-3000</v>
      </c>
      <c r="G338" s="80">
        <v>-3000</v>
      </c>
      <c r="H338" s="80">
        <v>1500</v>
      </c>
      <c r="I338" s="80">
        <v>100</v>
      </c>
      <c r="J338" s="80">
        <v>300</v>
      </c>
      <c r="K338" s="80">
        <v>100</v>
      </c>
      <c r="L338" s="80">
        <v>600</v>
      </c>
      <c r="M338" s="80">
        <v>100</v>
      </c>
      <c r="N338" s="80">
        <v>-576</v>
      </c>
      <c r="O338" s="80">
        <v>600</v>
      </c>
      <c r="P338" s="80">
        <v>-2303</v>
      </c>
      <c r="Q338" s="21"/>
      <c r="R338" s="21"/>
      <c r="S338" s="21"/>
      <c r="T338" s="21"/>
      <c r="U338" s="21"/>
      <c r="V338" s="21"/>
      <c r="W338" s="21"/>
      <c r="X338" s="21"/>
      <c r="Y338" s="21"/>
      <c r="Z338" s="21"/>
      <c r="AA338" s="21"/>
      <c r="AB338" s="21"/>
      <c r="AC338" s="20"/>
    </row>
    <row r="339" spans="1:29" x14ac:dyDescent="0.3">
      <c r="A339" s="18"/>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0"/>
    </row>
    <row r="340" spans="1:29" x14ac:dyDescent="0.3">
      <c r="A340" s="18"/>
      <c r="B340" s="21"/>
      <c r="C340" s="21"/>
      <c r="D340" s="21"/>
      <c r="E340" s="21"/>
      <c r="F340" s="21"/>
      <c r="G340" s="21"/>
      <c r="H340" s="21"/>
      <c r="I340" s="21"/>
      <c r="J340" s="21"/>
      <c r="K340" s="21"/>
      <c r="L340" s="492" t="s">
        <v>3399</v>
      </c>
      <c r="M340" s="529"/>
      <c r="N340" s="529"/>
      <c r="O340" s="493"/>
      <c r="P340" s="21"/>
      <c r="Q340" s="21"/>
      <c r="R340" s="21"/>
      <c r="S340" s="21"/>
      <c r="T340" s="21"/>
      <c r="U340" s="21"/>
      <c r="V340" s="475" t="s">
        <v>125</v>
      </c>
      <c r="W340" s="475"/>
      <c r="X340" s="21"/>
      <c r="Y340" s="21"/>
      <c r="Z340" s="21"/>
      <c r="AA340" s="21"/>
      <c r="AB340" s="21"/>
      <c r="AC340" s="20"/>
    </row>
    <row r="341" spans="1:29" x14ac:dyDescent="0.3">
      <c r="A341" s="18"/>
      <c r="B341" s="21"/>
      <c r="C341" s="21"/>
      <c r="D341" s="21"/>
      <c r="E341" s="21"/>
      <c r="F341" s="21"/>
      <c r="G341" s="21"/>
      <c r="H341" s="21"/>
      <c r="I341" s="21"/>
      <c r="J341" s="21"/>
      <c r="K341" s="21"/>
      <c r="L341" s="3" t="str">
        <f t="array" ref="L341:O348">_xll.U.HFILTER(C331:P338,V342:W346)</f>
        <v>Symbol</v>
      </c>
      <c r="M341" s="30" t="str">
        <v>IBM</v>
      </c>
      <c r="N341" s="30" t="str">
        <v>IBM</v>
      </c>
      <c r="O341" s="30" t="e">
        <v>#N/A</v>
      </c>
      <c r="P341" s="21"/>
      <c r="Q341" s="21"/>
      <c r="R341" s="21"/>
      <c r="S341" s="21"/>
      <c r="T341" s="21"/>
      <c r="U341" s="21"/>
      <c r="V341" s="9" t="s">
        <v>126</v>
      </c>
      <c r="W341" s="9" t="s">
        <v>17</v>
      </c>
      <c r="X341" s="21"/>
      <c r="Y341" s="21"/>
      <c r="Z341" s="21"/>
      <c r="AA341" s="21"/>
      <c r="AB341" s="21"/>
      <c r="AC341" s="20"/>
    </row>
    <row r="342" spans="1:29" x14ac:dyDescent="0.3">
      <c r="A342" s="18"/>
      <c r="B342" s="21"/>
      <c r="C342" s="21"/>
      <c r="D342" s="21"/>
      <c r="E342" s="21"/>
      <c r="F342" s="21"/>
      <c r="G342" s="21"/>
      <c r="H342" s="21"/>
      <c r="I342" s="21"/>
      <c r="J342" s="21"/>
      <c r="K342" s="21"/>
      <c r="L342" s="3" t="str">
        <v>Broker</v>
      </c>
      <c r="M342" s="30" t="str">
        <v>BROKER_A</v>
      </c>
      <c r="N342" s="30" t="str">
        <v>BROKER_A</v>
      </c>
      <c r="O342" s="36" t="e">
        <v>#N/A</v>
      </c>
      <c r="P342" s="21"/>
      <c r="Q342" s="21"/>
      <c r="R342" s="21"/>
      <c r="S342" s="21"/>
      <c r="T342" s="21"/>
      <c r="U342" s="21"/>
      <c r="V342" s="79" t="s">
        <v>2</v>
      </c>
      <c r="W342" s="79" t="s">
        <v>107</v>
      </c>
      <c r="X342" s="21"/>
      <c r="Y342" s="21"/>
      <c r="Z342" s="21"/>
      <c r="AA342" s="21"/>
      <c r="AB342" s="21"/>
      <c r="AC342" s="20"/>
    </row>
    <row r="343" spans="1:29" x14ac:dyDescent="0.3">
      <c r="A343" s="18"/>
      <c r="B343" s="21"/>
      <c r="C343" s="21"/>
      <c r="D343" s="21"/>
      <c r="E343" s="21"/>
      <c r="F343" s="21"/>
      <c r="G343" s="21"/>
      <c r="H343" s="21"/>
      <c r="I343" s="21"/>
      <c r="J343" s="21"/>
      <c r="K343" s="21"/>
      <c r="L343" s="3" t="str">
        <v>Side</v>
      </c>
      <c r="M343" s="30" t="str">
        <v>S</v>
      </c>
      <c r="N343" s="30" t="str">
        <v>S</v>
      </c>
      <c r="O343" s="36" t="e">
        <v>#N/A</v>
      </c>
      <c r="P343" s="21"/>
      <c r="Q343" s="21"/>
      <c r="R343" s="21"/>
      <c r="S343" s="21"/>
      <c r="T343" s="21"/>
      <c r="U343" s="21"/>
      <c r="V343" s="79" t="s">
        <v>111</v>
      </c>
      <c r="W343" s="79" t="s">
        <v>127</v>
      </c>
      <c r="X343" s="21"/>
      <c r="Y343" s="21"/>
      <c r="Z343" s="21"/>
      <c r="AA343" s="21"/>
      <c r="AB343" s="21"/>
      <c r="AC343" s="20"/>
    </row>
    <row r="344" spans="1:29" x14ac:dyDescent="0.3">
      <c r="A344" s="18"/>
      <c r="B344" s="21"/>
      <c r="C344" s="21"/>
      <c r="D344" s="21"/>
      <c r="E344" s="21"/>
      <c r="F344" s="21"/>
      <c r="G344" s="21"/>
      <c r="H344" s="21"/>
      <c r="I344" s="21"/>
      <c r="J344" s="21"/>
      <c r="K344" s="21"/>
      <c r="L344" s="3" t="str">
        <v>Quantity</v>
      </c>
      <c r="M344" s="36">
        <v>-3000</v>
      </c>
      <c r="N344" s="36">
        <v>-100</v>
      </c>
      <c r="O344" s="36" t="e">
        <v>#N/A</v>
      </c>
      <c r="P344" s="21"/>
      <c r="Q344" s="21"/>
      <c r="R344" s="21"/>
      <c r="S344" s="21"/>
      <c r="T344" s="21"/>
      <c r="U344" s="21"/>
      <c r="V344" s="79"/>
      <c r="W344" s="79"/>
      <c r="X344" s="21"/>
      <c r="Y344" s="21"/>
      <c r="Z344" s="21"/>
      <c r="AA344" s="21"/>
      <c r="AB344" s="21"/>
      <c r="AC344" s="20"/>
    </row>
    <row r="345" spans="1:29" x14ac:dyDescent="0.3">
      <c r="A345" s="18"/>
      <c r="B345" s="21"/>
      <c r="C345" s="21"/>
      <c r="D345" s="21"/>
      <c r="E345" s="21"/>
      <c r="F345" s="21"/>
      <c r="G345" s="21"/>
      <c r="H345" s="21"/>
      <c r="I345" s="21"/>
      <c r="J345" s="21"/>
      <c r="K345" s="21"/>
      <c r="L345" s="3" t="str">
        <v>Trade Price</v>
      </c>
      <c r="M345" s="35">
        <v>159.49</v>
      </c>
      <c r="N345" s="35">
        <v>159.5</v>
      </c>
      <c r="O345" s="36" t="e">
        <v>#N/A</v>
      </c>
      <c r="P345" s="21"/>
      <c r="Q345" s="21"/>
      <c r="R345" s="21"/>
      <c r="S345" s="21"/>
      <c r="T345" s="21"/>
      <c r="U345" s="21"/>
      <c r="V345" s="79"/>
      <c r="W345" s="79"/>
      <c r="X345" s="21"/>
      <c r="Y345" s="21"/>
      <c r="Z345" s="21"/>
      <c r="AA345" s="21"/>
      <c r="AB345" s="21"/>
      <c r="AC345" s="20"/>
    </row>
    <row r="346" spans="1:29" x14ac:dyDescent="0.3">
      <c r="A346" s="18"/>
      <c r="B346" s="21"/>
      <c r="C346" s="21"/>
      <c r="D346" s="21"/>
      <c r="E346" s="21"/>
      <c r="F346" s="21"/>
      <c r="G346" s="21"/>
      <c r="H346" s="21"/>
      <c r="I346" s="21"/>
      <c r="J346" s="21"/>
      <c r="K346" s="21"/>
      <c r="L346" s="3" t="str">
        <v>Current Price</v>
      </c>
      <c r="M346" s="35">
        <v>159.37</v>
      </c>
      <c r="N346" s="35">
        <v>159.37</v>
      </c>
      <c r="O346" s="36" t="e">
        <v>#N/A</v>
      </c>
      <c r="P346" s="21"/>
      <c r="Q346" s="21"/>
      <c r="R346" s="21"/>
      <c r="S346" s="21"/>
      <c r="T346" s="21"/>
      <c r="U346" s="21"/>
      <c r="V346" s="79"/>
      <c r="W346" s="79"/>
      <c r="X346" s="21"/>
      <c r="Y346" s="21"/>
      <c r="Z346" s="21"/>
      <c r="AA346" s="21"/>
      <c r="AB346" s="21"/>
      <c r="AC346" s="20"/>
    </row>
    <row r="347" spans="1:29" x14ac:dyDescent="0.3">
      <c r="A347" s="18"/>
      <c r="B347" s="21"/>
      <c r="C347" s="21"/>
      <c r="D347" s="21"/>
      <c r="E347" s="21"/>
      <c r="F347" s="21"/>
      <c r="G347" s="21"/>
      <c r="H347" s="21"/>
      <c r="I347" s="21"/>
      <c r="J347" s="21"/>
      <c r="K347" s="21"/>
      <c r="L347" s="3" t="str">
        <v>P&amp;L</v>
      </c>
      <c r="M347" s="36">
        <v>360</v>
      </c>
      <c r="N347" s="36">
        <v>13</v>
      </c>
      <c r="O347" s="36" t="e">
        <v>#N/A</v>
      </c>
      <c r="P347" s="21"/>
      <c r="Q347" s="21"/>
      <c r="R347" s="21"/>
      <c r="S347" s="21"/>
      <c r="T347" s="21"/>
      <c r="U347" s="21"/>
      <c r="V347" s="21"/>
      <c r="W347" s="21"/>
      <c r="X347" s="21"/>
      <c r="Y347" s="21"/>
      <c r="Z347" s="21"/>
      <c r="AA347" s="21"/>
      <c r="AB347" s="21"/>
      <c r="AC347" s="20"/>
    </row>
    <row r="348" spans="1:29" x14ac:dyDescent="0.3">
      <c r="A348" s="18"/>
      <c r="B348" s="21"/>
      <c r="C348" s="21"/>
      <c r="D348" s="21"/>
      <c r="E348" s="21"/>
      <c r="F348" s="21"/>
      <c r="G348" s="21"/>
      <c r="H348" s="21"/>
      <c r="I348" s="21"/>
      <c r="J348" s="21"/>
      <c r="K348" s="21"/>
      <c r="L348" s="3" t="str">
        <v>Current Delta</v>
      </c>
      <c r="M348" s="36">
        <v>-3000</v>
      </c>
      <c r="N348" s="36">
        <v>-3000</v>
      </c>
      <c r="O348" s="36" t="e">
        <v>#N/A</v>
      </c>
      <c r="P348" s="21"/>
      <c r="Q348" s="21"/>
      <c r="R348" s="21"/>
      <c r="S348" s="21"/>
      <c r="T348" s="21"/>
      <c r="U348" s="21"/>
      <c r="V348" s="21"/>
      <c r="W348" s="21"/>
      <c r="X348" s="21"/>
      <c r="Y348" s="21"/>
      <c r="Z348" s="21"/>
      <c r="AA348" s="21"/>
      <c r="AB348" s="21"/>
      <c r="AC348" s="20"/>
    </row>
    <row r="349" spans="1:29" x14ac:dyDescent="0.3">
      <c r="A349" s="18"/>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0"/>
    </row>
    <row r="350" spans="1:29" x14ac:dyDescent="0.3">
      <c r="A350" s="18"/>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0"/>
    </row>
    <row r="351" spans="1:29" x14ac:dyDescent="0.3">
      <c r="A351" s="18"/>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0"/>
    </row>
    <row r="352" spans="1:29" x14ac:dyDescent="0.3">
      <c r="A352" s="490" t="s">
        <v>627</v>
      </c>
      <c r="B352" s="491"/>
      <c r="C352" s="491"/>
      <c r="D352" s="491"/>
      <c r="E352" s="491"/>
      <c r="F352" s="491"/>
      <c r="G352" s="491"/>
      <c r="H352" s="491"/>
      <c r="I352" s="491"/>
      <c r="J352" s="491"/>
      <c r="K352" s="491"/>
      <c r="L352" s="491"/>
      <c r="M352" s="491"/>
      <c r="N352" s="491"/>
      <c r="O352" s="491"/>
      <c r="P352" s="491"/>
      <c r="Q352" s="491"/>
      <c r="R352" s="491"/>
      <c r="S352" s="491"/>
      <c r="T352" s="491"/>
      <c r="U352" s="491"/>
      <c r="V352" s="491"/>
      <c r="W352" s="491"/>
      <c r="X352" s="491"/>
      <c r="Y352" s="491"/>
      <c r="Z352" s="491"/>
      <c r="AA352" s="491"/>
      <c r="AB352" s="21"/>
      <c r="AC352" s="20"/>
    </row>
    <row r="353" spans="1:29" x14ac:dyDescent="0.3">
      <c r="A353" s="18"/>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0"/>
    </row>
    <row r="354" spans="1:29" x14ac:dyDescent="0.3">
      <c r="A354" s="18"/>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0"/>
    </row>
    <row r="355" spans="1:29" x14ac:dyDescent="0.3">
      <c r="A355" s="18"/>
      <c r="B355" s="21"/>
      <c r="C355" s="492" t="s">
        <v>631</v>
      </c>
      <c r="D355" s="529"/>
      <c r="E355" s="529"/>
      <c r="F355" s="529"/>
      <c r="G355" s="529"/>
      <c r="H355" s="493"/>
      <c r="I355" s="21"/>
      <c r="J355" s="21"/>
      <c r="K355" s="492" t="s">
        <v>3398</v>
      </c>
      <c r="L355" s="529"/>
      <c r="M355" s="529"/>
      <c r="N355" s="529"/>
      <c r="O355" s="529"/>
      <c r="P355" s="493"/>
      <c r="Q355" s="21"/>
      <c r="R355" s="21"/>
      <c r="S355" s="21"/>
      <c r="T355" s="21"/>
      <c r="U355" s="21"/>
      <c r="V355" s="21"/>
      <c r="W355" s="21"/>
      <c r="X355" s="21"/>
      <c r="Y355" s="21"/>
      <c r="Z355" s="21"/>
      <c r="AA355" s="21"/>
      <c r="AB355" s="21"/>
      <c r="AC355" s="20"/>
    </row>
    <row r="356" spans="1:29" x14ac:dyDescent="0.3">
      <c r="A356" s="18"/>
      <c r="B356" s="21"/>
      <c r="C356" s="155">
        <v>43157</v>
      </c>
      <c r="D356" s="155">
        <v>43158</v>
      </c>
      <c r="E356" s="155">
        <v>43159</v>
      </c>
      <c r="F356" s="155">
        <v>43160</v>
      </c>
      <c r="G356" s="155">
        <v>43161</v>
      </c>
      <c r="H356" s="155">
        <v>43164</v>
      </c>
      <c r="I356" s="21"/>
      <c r="J356" s="21"/>
      <c r="K356" s="3" t="str">
        <f t="array" ref="K356:P363">_xll.U.GRID_FILTER(B356:H361,1,X361:Z361,,W358:W359)</f>
        <v/>
      </c>
      <c r="L356" s="154">
        <v>43158</v>
      </c>
      <c r="M356" s="154">
        <v>43159</v>
      </c>
      <c r="N356" s="154">
        <v>43160</v>
      </c>
      <c r="O356" s="154">
        <v>43161</v>
      </c>
      <c r="P356" s="154" t="e">
        <v>#N/A</v>
      </c>
      <c r="Q356" s="21"/>
      <c r="R356" s="21"/>
      <c r="S356" s="21"/>
      <c r="T356" s="21"/>
      <c r="U356" s="21"/>
      <c r="V356" s="21"/>
      <c r="W356" s="101" t="s">
        <v>125</v>
      </c>
      <c r="X356" s="21"/>
      <c r="Y356" s="21"/>
      <c r="Z356" s="21"/>
      <c r="AA356" s="21"/>
      <c r="AB356" s="21"/>
      <c r="AC356" s="20"/>
    </row>
    <row r="357" spans="1:29" x14ac:dyDescent="0.3">
      <c r="A357" s="18"/>
      <c r="B357" s="59" t="s">
        <v>106</v>
      </c>
      <c r="C357" s="61">
        <v>175.4</v>
      </c>
      <c r="D357" s="61">
        <v>175.9</v>
      </c>
      <c r="E357" s="61">
        <v>176.04000000000002</v>
      </c>
      <c r="F357" s="61">
        <v>176.84000000000003</v>
      </c>
      <c r="G357" s="61">
        <v>176.64000000000004</v>
      </c>
      <c r="H357" s="61">
        <v>176.05000000000004</v>
      </c>
      <c r="I357" s="21"/>
      <c r="J357" s="21"/>
      <c r="K357" s="3" t="str">
        <v>IBM</v>
      </c>
      <c r="L357" s="35">
        <v>152.54</v>
      </c>
      <c r="M357" s="35">
        <v>154.51</v>
      </c>
      <c r="N357" s="35">
        <v>154.64999999999998</v>
      </c>
      <c r="O357" s="35">
        <v>151.65999999999997</v>
      </c>
      <c r="P357" s="35" t="e">
        <v>#N/A</v>
      </c>
      <c r="Q357" s="21"/>
      <c r="R357" s="21"/>
      <c r="S357" s="21"/>
      <c r="T357" s="21"/>
      <c r="U357" s="21"/>
      <c r="V357" s="21"/>
      <c r="W357" s="9" t="s">
        <v>632</v>
      </c>
      <c r="Y357" s="21"/>
      <c r="Z357" s="21"/>
      <c r="AA357" s="21"/>
      <c r="AB357" s="21"/>
      <c r="AC357" s="20"/>
    </row>
    <row r="358" spans="1:29" x14ac:dyDescent="0.3">
      <c r="A358" s="18"/>
      <c r="B358" s="59" t="s">
        <v>107</v>
      </c>
      <c r="C358" s="61">
        <v>154.79</v>
      </c>
      <c r="D358" s="61">
        <v>152.54</v>
      </c>
      <c r="E358" s="61">
        <v>154.51</v>
      </c>
      <c r="F358" s="61">
        <v>154.64999999999998</v>
      </c>
      <c r="G358" s="61">
        <v>151.65999999999997</v>
      </c>
      <c r="H358" s="61">
        <v>153.88999999999996</v>
      </c>
      <c r="I358" s="21"/>
      <c r="J358" s="21"/>
      <c r="K358" s="3" t="str">
        <v>FB</v>
      </c>
      <c r="L358" s="35">
        <v>185.12</v>
      </c>
      <c r="M358" s="35">
        <v>187.81</v>
      </c>
      <c r="N358" s="35">
        <v>185.59</v>
      </c>
      <c r="O358" s="35">
        <v>185.98</v>
      </c>
      <c r="P358" s="35" t="e">
        <v>#N/A</v>
      </c>
      <c r="Q358" s="21"/>
      <c r="R358" s="21"/>
      <c r="S358" s="21"/>
      <c r="T358" s="21"/>
      <c r="U358" s="21"/>
      <c r="V358" s="21"/>
      <c r="W358" s="79" t="s">
        <v>107</v>
      </c>
      <c r="X358" s="21"/>
      <c r="Y358" s="21"/>
      <c r="Z358" s="21"/>
      <c r="AA358" s="21"/>
      <c r="AB358" s="21"/>
      <c r="AC358" s="20"/>
    </row>
    <row r="359" spans="1:29" x14ac:dyDescent="0.3">
      <c r="A359" s="18"/>
      <c r="B359" s="59" t="s">
        <v>256</v>
      </c>
      <c r="C359" s="61">
        <v>94.06</v>
      </c>
      <c r="D359" s="61">
        <v>95.54</v>
      </c>
      <c r="E359" s="61">
        <v>94.81</v>
      </c>
      <c r="F359" s="61">
        <v>94.43</v>
      </c>
      <c r="G359" s="61">
        <v>91.64</v>
      </c>
      <c r="H359" s="61">
        <v>93.8</v>
      </c>
      <c r="I359" s="21"/>
      <c r="J359" s="21"/>
      <c r="K359" s="3" t="e">
        <v>#N/A</v>
      </c>
      <c r="L359" s="35" t="e">
        <v>#N/A</v>
      </c>
      <c r="M359" s="35" t="e">
        <v>#N/A</v>
      </c>
      <c r="N359" s="35" t="e">
        <v>#N/A</v>
      </c>
      <c r="O359" s="35" t="e">
        <v>#N/A</v>
      </c>
      <c r="P359" s="35" t="e">
        <v>#N/A</v>
      </c>
      <c r="Q359" s="21"/>
      <c r="R359" s="21"/>
      <c r="S359" s="21"/>
      <c r="T359" s="21"/>
      <c r="U359" s="21"/>
      <c r="V359" s="21"/>
      <c r="W359" s="79" t="s">
        <v>183</v>
      </c>
      <c r="X359" s="21"/>
      <c r="Y359" s="21"/>
      <c r="Z359" s="21"/>
      <c r="AA359" s="21"/>
      <c r="AB359" s="21"/>
      <c r="AC359" s="20"/>
    </row>
    <row r="360" spans="1:29" x14ac:dyDescent="0.3">
      <c r="A360" s="18"/>
      <c r="B360" s="59" t="s">
        <v>183</v>
      </c>
      <c r="C360" s="61">
        <v>183.3</v>
      </c>
      <c r="D360" s="61">
        <v>185.12</v>
      </c>
      <c r="E360" s="61">
        <v>187.81</v>
      </c>
      <c r="F360" s="61">
        <v>185.59</v>
      </c>
      <c r="G360" s="61">
        <v>185.98</v>
      </c>
      <c r="H360" s="61">
        <v>186.98</v>
      </c>
      <c r="I360" s="21"/>
      <c r="J360" s="21"/>
      <c r="K360" s="3" t="e">
        <v>#N/A</v>
      </c>
      <c r="L360" s="35" t="e">
        <v>#N/A</v>
      </c>
      <c r="M360" s="35" t="e">
        <v>#N/A</v>
      </c>
      <c r="N360" s="35" t="e">
        <v>#N/A</v>
      </c>
      <c r="O360" s="35" t="e">
        <v>#N/A</v>
      </c>
      <c r="P360" s="35" t="e">
        <v>#N/A</v>
      </c>
      <c r="Q360" s="21"/>
      <c r="R360" s="21"/>
      <c r="S360" s="21"/>
      <c r="T360" s="21"/>
      <c r="U360" s="21"/>
      <c r="V360" s="21"/>
      <c r="W360" s="21"/>
      <c r="X360" s="21"/>
      <c r="Y360" s="21"/>
      <c r="Z360" s="21"/>
      <c r="AA360" s="21"/>
      <c r="AB360" s="21"/>
      <c r="AC360" s="20"/>
    </row>
    <row r="361" spans="1:29" x14ac:dyDescent="0.3">
      <c r="A361" s="18"/>
      <c r="B361" s="59" t="s">
        <v>628</v>
      </c>
      <c r="C361" s="61">
        <v>40.909999999999997</v>
      </c>
      <c r="D361" s="61">
        <v>43.76</v>
      </c>
      <c r="E361" s="61">
        <v>44.01</v>
      </c>
      <c r="F361" s="61">
        <v>42.78</v>
      </c>
      <c r="G361" s="61">
        <v>44.21</v>
      </c>
      <c r="H361" s="61">
        <v>45.7</v>
      </c>
      <c r="I361" s="21"/>
      <c r="J361" s="21"/>
      <c r="K361" s="3" t="e">
        <v>#N/A</v>
      </c>
      <c r="L361" s="35" t="e">
        <v>#N/A</v>
      </c>
      <c r="M361" s="35" t="e">
        <v>#N/A</v>
      </c>
      <c r="N361" s="35" t="e">
        <v>#N/A</v>
      </c>
      <c r="O361" s="35" t="e">
        <v>#N/A</v>
      </c>
      <c r="P361" s="35" t="e">
        <v>#N/A</v>
      </c>
      <c r="Q361" s="21"/>
      <c r="R361" s="21"/>
      <c r="S361" s="21"/>
      <c r="T361" s="21"/>
      <c r="U361" s="21"/>
      <c r="V361" s="21"/>
      <c r="W361" s="9" t="s">
        <v>630</v>
      </c>
      <c r="X361" s="80">
        <v>1</v>
      </c>
      <c r="Y361" s="153">
        <v>43158</v>
      </c>
      <c r="Z361" s="153">
        <v>43161</v>
      </c>
      <c r="AA361" s="21"/>
      <c r="AB361" s="21"/>
      <c r="AC361" s="20"/>
    </row>
    <row r="362" spans="1:29" x14ac:dyDescent="0.3">
      <c r="A362" s="18"/>
      <c r="B362" s="21"/>
      <c r="C362" s="21"/>
      <c r="D362" s="21"/>
      <c r="E362" s="21"/>
      <c r="F362" s="21"/>
      <c r="G362" s="21"/>
      <c r="H362" s="21"/>
      <c r="I362" s="21"/>
      <c r="J362" s="21"/>
      <c r="K362" s="3" t="e">
        <v>#N/A</v>
      </c>
      <c r="L362" s="35" t="e">
        <v>#N/A</v>
      </c>
      <c r="M362" s="35" t="e">
        <v>#N/A</v>
      </c>
      <c r="N362" s="35" t="e">
        <v>#N/A</v>
      </c>
      <c r="O362" s="35" t="e">
        <v>#N/A</v>
      </c>
      <c r="P362" s="35" t="e">
        <v>#N/A</v>
      </c>
      <c r="Q362" s="21"/>
      <c r="R362" s="21"/>
      <c r="S362" s="21"/>
      <c r="T362" s="21"/>
      <c r="U362" s="21"/>
      <c r="V362" s="21"/>
      <c r="W362" s="21"/>
      <c r="X362" s="21"/>
      <c r="Y362" s="21"/>
      <c r="Z362" s="21"/>
      <c r="AA362" s="21"/>
      <c r="AB362" s="21"/>
      <c r="AC362" s="20"/>
    </row>
    <row r="363" spans="1:29" x14ac:dyDescent="0.3">
      <c r="A363" s="18"/>
      <c r="B363" s="21"/>
      <c r="C363" s="21"/>
      <c r="D363" s="21"/>
      <c r="E363" s="21"/>
      <c r="F363" s="21"/>
      <c r="G363" s="21"/>
      <c r="H363" s="21"/>
      <c r="I363" s="21"/>
      <c r="J363" s="21"/>
      <c r="K363" s="3" t="e">
        <v>#N/A</v>
      </c>
      <c r="L363" s="35" t="e">
        <v>#N/A</v>
      </c>
      <c r="M363" s="35" t="e">
        <v>#N/A</v>
      </c>
      <c r="N363" s="35" t="e">
        <v>#N/A</v>
      </c>
      <c r="O363" s="35" t="e">
        <v>#N/A</v>
      </c>
      <c r="P363" s="35" t="e">
        <v>#N/A</v>
      </c>
      <c r="Q363" s="21"/>
      <c r="R363" s="21"/>
      <c r="S363" s="21"/>
      <c r="T363" s="21"/>
      <c r="U363" s="21"/>
      <c r="V363" s="21"/>
      <c r="W363" s="21"/>
      <c r="X363" s="21"/>
      <c r="Y363" s="21"/>
      <c r="Z363" s="21"/>
      <c r="AA363" s="21"/>
      <c r="AB363" s="21"/>
      <c r="AC363" s="20"/>
    </row>
    <row r="364" spans="1:29" x14ac:dyDescent="0.3">
      <c r="A364" s="18"/>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0"/>
    </row>
    <row r="365" spans="1:29" x14ac:dyDescent="0.3">
      <c r="A365" s="18"/>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0"/>
    </row>
    <row r="366" spans="1:29" x14ac:dyDescent="0.3">
      <c r="A366" s="18"/>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0"/>
    </row>
    <row r="367" spans="1:29" x14ac:dyDescent="0.3">
      <c r="A367" s="18"/>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0"/>
    </row>
    <row r="368" spans="1:29" x14ac:dyDescent="0.3">
      <c r="A368" s="18"/>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0"/>
    </row>
    <row r="369" spans="1:29" x14ac:dyDescent="0.3">
      <c r="A369" s="18"/>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0"/>
    </row>
    <row r="370" spans="1:29" x14ac:dyDescent="0.3">
      <c r="A370" s="18"/>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0"/>
    </row>
    <row r="371" spans="1:29" x14ac:dyDescent="0.3">
      <c r="A371" s="18"/>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0"/>
    </row>
    <row r="372" spans="1:29" x14ac:dyDescent="0.3">
      <c r="A372" s="18"/>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0"/>
    </row>
    <row r="373" spans="1:29" x14ac:dyDescent="0.3">
      <c r="A373" s="18"/>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0"/>
    </row>
    <row r="374" spans="1:29" x14ac:dyDescent="0.3">
      <c r="A374" s="18"/>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0"/>
    </row>
    <row r="375" spans="1:29" x14ac:dyDescent="0.3">
      <c r="A375" s="18"/>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0"/>
    </row>
    <row r="376" spans="1:29" x14ac:dyDescent="0.3">
      <c r="A376" s="18"/>
      <c r="B376" s="21"/>
      <c r="C376" s="21"/>
      <c r="D376" s="21"/>
      <c r="E376" s="21"/>
      <c r="F376" s="21"/>
      <c r="G376" s="21"/>
      <c r="H376" s="21"/>
      <c r="I376" s="21"/>
      <c r="J376" s="21"/>
      <c r="K376" s="492" t="s">
        <v>3398</v>
      </c>
      <c r="L376" s="529"/>
      <c r="M376" s="529"/>
      <c r="N376" s="529"/>
      <c r="O376" s="529"/>
      <c r="P376" s="493"/>
      <c r="Q376" s="21"/>
      <c r="R376" s="21"/>
      <c r="S376" s="21"/>
      <c r="T376" s="21"/>
      <c r="U376" s="21"/>
      <c r="V376" s="21"/>
      <c r="W376" s="9" t="s">
        <v>183</v>
      </c>
      <c r="X376" s="80">
        <v>185</v>
      </c>
      <c r="Y376" s="80">
        <v>186</v>
      </c>
      <c r="Z376" s="21"/>
      <c r="AA376" s="21"/>
      <c r="AB376" s="21"/>
      <c r="AC376" s="20"/>
    </row>
    <row r="377" spans="1:29" x14ac:dyDescent="0.3">
      <c r="A377" s="18"/>
      <c r="B377" s="21"/>
      <c r="C377" s="21"/>
      <c r="D377" s="21"/>
      <c r="E377" s="21"/>
      <c r="F377" s="21"/>
      <c r="G377" s="21"/>
      <c r="H377" s="21"/>
      <c r="I377" s="21"/>
      <c r="J377" s="21"/>
      <c r="K377" s="3" t="str">
        <f t="array" ref="K377:P384">_xll.U.GRID_FILTER(B356:H361,,W376:Y376)</f>
        <v/>
      </c>
      <c r="L377" s="154">
        <v>43158</v>
      </c>
      <c r="M377" s="154">
        <v>43160</v>
      </c>
      <c r="N377" s="154">
        <v>43161</v>
      </c>
      <c r="O377" s="154" t="e">
        <v>#N/A</v>
      </c>
      <c r="P377" s="154" t="e">
        <v>#N/A</v>
      </c>
      <c r="Q377" s="21"/>
      <c r="R377" s="21"/>
      <c r="S377" s="21"/>
      <c r="T377" s="21"/>
      <c r="U377" s="21"/>
      <c r="V377" s="21"/>
      <c r="W377" s="21"/>
      <c r="X377" s="21"/>
      <c r="Y377" s="21"/>
      <c r="Z377" s="21"/>
      <c r="AA377" s="21"/>
      <c r="AB377" s="21"/>
      <c r="AC377" s="20"/>
    </row>
    <row r="378" spans="1:29" x14ac:dyDescent="0.3">
      <c r="A378" s="18"/>
      <c r="B378" s="21"/>
      <c r="C378" s="21"/>
      <c r="D378" s="21"/>
      <c r="E378" s="21"/>
      <c r="F378" s="21"/>
      <c r="G378" s="21"/>
      <c r="H378" s="21"/>
      <c r="I378" s="21"/>
      <c r="J378" s="21"/>
      <c r="K378" s="3" t="str">
        <v>AAPL</v>
      </c>
      <c r="L378" s="35">
        <v>175.9</v>
      </c>
      <c r="M378" s="35">
        <v>176.84000000000003</v>
      </c>
      <c r="N378" s="35">
        <v>176.64000000000004</v>
      </c>
      <c r="O378" s="35" t="e">
        <v>#N/A</v>
      </c>
      <c r="P378" s="35" t="e">
        <v>#N/A</v>
      </c>
      <c r="Q378" s="21"/>
      <c r="R378" s="21"/>
      <c r="S378" s="21"/>
      <c r="T378" s="21"/>
      <c r="U378" s="21"/>
      <c r="V378" s="21"/>
      <c r="W378" s="21"/>
      <c r="X378" s="21"/>
      <c r="Y378" s="21"/>
      <c r="Z378" s="21"/>
      <c r="AA378" s="21"/>
      <c r="AB378" s="21"/>
      <c r="AC378" s="20"/>
    </row>
    <row r="379" spans="1:29" x14ac:dyDescent="0.3">
      <c r="A379" s="18"/>
      <c r="B379" s="21"/>
      <c r="C379" s="21"/>
      <c r="D379" s="21"/>
      <c r="E379" s="21"/>
      <c r="F379" s="21"/>
      <c r="G379" s="21"/>
      <c r="H379" s="21"/>
      <c r="I379" s="21"/>
      <c r="J379" s="21"/>
      <c r="K379" s="3" t="str">
        <v>IBM</v>
      </c>
      <c r="L379" s="35">
        <v>152.54</v>
      </c>
      <c r="M379" s="35">
        <v>154.64999999999998</v>
      </c>
      <c r="N379" s="35">
        <v>151.65999999999997</v>
      </c>
      <c r="O379" s="35" t="e">
        <v>#N/A</v>
      </c>
      <c r="P379" s="35" t="e">
        <v>#N/A</v>
      </c>
      <c r="Q379" s="21"/>
      <c r="R379" s="21"/>
      <c r="S379" s="21"/>
      <c r="T379" s="21"/>
      <c r="U379" s="21"/>
      <c r="V379" s="21"/>
      <c r="W379" s="21"/>
      <c r="X379" s="21"/>
      <c r="Y379" s="21"/>
      <c r="Z379" s="21"/>
      <c r="AA379" s="21"/>
      <c r="AB379" s="21"/>
      <c r="AC379" s="20"/>
    </row>
    <row r="380" spans="1:29" x14ac:dyDescent="0.3">
      <c r="A380" s="18"/>
      <c r="B380" s="21"/>
      <c r="C380" s="21"/>
      <c r="D380" s="21"/>
      <c r="E380" s="21"/>
      <c r="F380" s="21"/>
      <c r="G380" s="21"/>
      <c r="H380" s="21"/>
      <c r="I380" s="21"/>
      <c r="J380" s="21"/>
      <c r="K380" s="3" t="str">
        <v>MSFT</v>
      </c>
      <c r="L380" s="35">
        <v>95.54</v>
      </c>
      <c r="M380" s="35">
        <v>94.43</v>
      </c>
      <c r="N380" s="35">
        <v>91.64</v>
      </c>
      <c r="O380" s="35" t="e">
        <v>#N/A</v>
      </c>
      <c r="P380" s="35" t="e">
        <v>#N/A</v>
      </c>
      <c r="Q380" s="21"/>
      <c r="R380" s="21"/>
      <c r="S380" s="21"/>
      <c r="T380" s="21"/>
      <c r="U380" s="21"/>
      <c r="V380" s="21"/>
      <c r="W380" s="21"/>
      <c r="X380" s="21"/>
      <c r="Y380" s="21"/>
      <c r="Z380" s="21"/>
      <c r="AA380" s="21"/>
      <c r="AB380" s="21"/>
      <c r="AC380" s="20"/>
    </row>
    <row r="381" spans="1:29" x14ac:dyDescent="0.3">
      <c r="A381" s="18"/>
      <c r="B381" s="21"/>
      <c r="C381" s="21"/>
      <c r="D381" s="21"/>
      <c r="E381" s="21"/>
      <c r="F381" s="21"/>
      <c r="G381" s="21"/>
      <c r="H381" s="21"/>
      <c r="I381" s="21"/>
      <c r="J381" s="21"/>
      <c r="K381" s="3" t="str">
        <v>FB</v>
      </c>
      <c r="L381" s="35">
        <v>185.12</v>
      </c>
      <c r="M381" s="35">
        <v>185.59</v>
      </c>
      <c r="N381" s="35">
        <v>185.98</v>
      </c>
      <c r="O381" s="35" t="e">
        <v>#N/A</v>
      </c>
      <c r="P381" s="35" t="e">
        <v>#N/A</v>
      </c>
      <c r="Q381" s="21"/>
      <c r="R381" s="21"/>
      <c r="S381" s="21"/>
      <c r="T381" s="21"/>
      <c r="U381" s="21"/>
      <c r="V381" s="21"/>
      <c r="W381" s="21"/>
      <c r="X381" s="21"/>
      <c r="Y381" s="21"/>
      <c r="Z381" s="21"/>
      <c r="AA381" s="21"/>
      <c r="AB381" s="21"/>
      <c r="AC381" s="20"/>
    </row>
    <row r="382" spans="1:29" x14ac:dyDescent="0.3">
      <c r="A382" s="18"/>
      <c r="B382" s="21"/>
      <c r="C382" s="21"/>
      <c r="D382" s="21"/>
      <c r="E382" s="21"/>
      <c r="F382" s="21"/>
      <c r="G382" s="21"/>
      <c r="H382" s="21"/>
      <c r="I382" s="21"/>
      <c r="J382" s="21"/>
      <c r="K382" s="3" t="str">
        <v>GM</v>
      </c>
      <c r="L382" s="35">
        <v>43.76</v>
      </c>
      <c r="M382" s="35">
        <v>42.78</v>
      </c>
      <c r="N382" s="35">
        <v>44.21</v>
      </c>
      <c r="O382" s="35" t="e">
        <v>#N/A</v>
      </c>
      <c r="P382" s="35" t="e">
        <v>#N/A</v>
      </c>
      <c r="Q382" s="21"/>
      <c r="R382" s="21"/>
      <c r="S382" s="21"/>
      <c r="T382" s="21"/>
      <c r="U382" s="21"/>
      <c r="V382" s="21"/>
      <c r="W382" s="21"/>
      <c r="X382" s="21"/>
      <c r="Y382" s="21"/>
      <c r="Z382" s="21"/>
      <c r="AA382" s="21"/>
      <c r="AB382" s="21"/>
      <c r="AC382" s="20"/>
    </row>
    <row r="383" spans="1:29" x14ac:dyDescent="0.3">
      <c r="A383" s="18"/>
      <c r="B383" s="21"/>
      <c r="C383" s="21"/>
      <c r="D383" s="21"/>
      <c r="E383" s="21"/>
      <c r="F383" s="21"/>
      <c r="G383" s="21"/>
      <c r="H383" s="21"/>
      <c r="I383" s="21"/>
      <c r="J383" s="21"/>
      <c r="K383" s="3" t="e">
        <v>#N/A</v>
      </c>
      <c r="L383" s="35" t="e">
        <v>#N/A</v>
      </c>
      <c r="M383" s="35" t="e">
        <v>#N/A</v>
      </c>
      <c r="N383" s="35" t="e">
        <v>#N/A</v>
      </c>
      <c r="O383" s="35" t="e">
        <v>#N/A</v>
      </c>
      <c r="P383" s="35" t="e">
        <v>#N/A</v>
      </c>
      <c r="Q383" s="21"/>
      <c r="R383" s="21"/>
      <c r="S383" s="21"/>
      <c r="T383" s="21"/>
      <c r="U383" s="21"/>
      <c r="V383" s="21"/>
      <c r="W383" s="21"/>
      <c r="X383" s="21"/>
      <c r="Y383" s="21"/>
      <c r="Z383" s="21"/>
      <c r="AA383" s="21"/>
      <c r="AB383" s="21"/>
      <c r="AC383" s="20"/>
    </row>
    <row r="384" spans="1:29" x14ac:dyDescent="0.3">
      <c r="A384" s="18"/>
      <c r="B384" s="21"/>
      <c r="C384" s="21"/>
      <c r="D384" s="21"/>
      <c r="E384" s="21"/>
      <c r="F384" s="21"/>
      <c r="G384" s="21"/>
      <c r="H384" s="21"/>
      <c r="I384" s="21"/>
      <c r="J384" s="21"/>
      <c r="K384" s="3" t="e">
        <v>#N/A</v>
      </c>
      <c r="L384" s="35" t="e">
        <v>#N/A</v>
      </c>
      <c r="M384" s="35" t="e">
        <v>#N/A</v>
      </c>
      <c r="N384" s="35" t="e">
        <v>#N/A</v>
      </c>
      <c r="O384" s="35" t="e">
        <v>#N/A</v>
      </c>
      <c r="P384" s="35" t="e">
        <v>#N/A</v>
      </c>
      <c r="Q384" s="21"/>
      <c r="R384" s="21"/>
      <c r="S384" s="21"/>
      <c r="T384" s="21"/>
      <c r="U384" s="21"/>
      <c r="V384" s="21"/>
      <c r="W384" s="21"/>
      <c r="X384" s="21"/>
      <c r="Y384" s="21"/>
      <c r="Z384" s="21"/>
      <c r="AA384" s="21"/>
      <c r="AB384" s="21"/>
      <c r="AC384" s="20"/>
    </row>
    <row r="385" spans="1:29" x14ac:dyDescent="0.3">
      <c r="A385" s="18"/>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0"/>
    </row>
    <row r="386" spans="1:29" x14ac:dyDescent="0.3">
      <c r="A386" s="18"/>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0"/>
    </row>
    <row r="387" spans="1:29" x14ac:dyDescent="0.3">
      <c r="A387" s="18"/>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0"/>
    </row>
    <row r="388" spans="1:29" x14ac:dyDescent="0.3">
      <c r="A388" s="18"/>
      <c r="B388" s="21"/>
      <c r="C388" s="21"/>
      <c r="D388" s="21"/>
      <c r="E388" s="21"/>
      <c r="F388" s="21"/>
      <c r="G388" s="21"/>
      <c r="H388" s="21"/>
      <c r="I388" s="21"/>
      <c r="J388" s="21"/>
      <c r="K388" s="492" t="s">
        <v>3398</v>
      </c>
      <c r="L388" s="529"/>
      <c r="M388" s="529"/>
      <c r="N388" s="529"/>
      <c r="O388" s="529"/>
      <c r="P388" s="493"/>
      <c r="Q388" s="21"/>
      <c r="R388" s="21"/>
      <c r="S388" s="21"/>
      <c r="T388" s="21"/>
      <c r="U388" s="21"/>
      <c r="V388" s="21"/>
      <c r="W388" s="492" t="s">
        <v>1062</v>
      </c>
      <c r="X388" s="493"/>
      <c r="Y388" s="21"/>
      <c r="Z388" s="21"/>
      <c r="AA388" s="21"/>
      <c r="AB388" s="21"/>
      <c r="AC388" s="20"/>
    </row>
    <row r="389" spans="1:29" x14ac:dyDescent="0.3">
      <c r="A389" s="18"/>
      <c r="B389" s="21"/>
      <c r="C389" s="21"/>
      <c r="D389" s="21"/>
      <c r="E389" s="21"/>
      <c r="F389" s="21"/>
      <c r="G389" s="21"/>
      <c r="H389" s="21"/>
      <c r="I389" s="21"/>
      <c r="J389" s="21"/>
      <c r="K389" s="3" t="str">
        <f t="array" ref="K389:P394">_xll.U.GRID_FILTER(B356:H361,,W390:X390)</f>
        <v/>
      </c>
      <c r="L389" s="154">
        <v>43157</v>
      </c>
      <c r="M389" s="154">
        <v>43159</v>
      </c>
      <c r="N389" s="154">
        <v>43164</v>
      </c>
      <c r="O389" s="154" t="e">
        <v>#N/A</v>
      </c>
      <c r="P389" s="154" t="e">
        <v>#N/A</v>
      </c>
      <c r="Q389" s="21"/>
      <c r="R389" s="21"/>
      <c r="S389" s="21"/>
      <c r="T389" s="21"/>
      <c r="U389" s="21"/>
      <c r="V389" s="21"/>
      <c r="W389" s="9" t="s">
        <v>1063</v>
      </c>
      <c r="X389" s="9" t="s">
        <v>17</v>
      </c>
      <c r="Y389" s="21"/>
      <c r="Z389" s="21"/>
      <c r="AA389" s="21"/>
      <c r="AB389" s="21"/>
      <c r="AC389" s="20"/>
    </row>
    <row r="390" spans="1:29" x14ac:dyDescent="0.3">
      <c r="A390" s="18"/>
      <c r="B390" s="21"/>
      <c r="C390" s="21"/>
      <c r="D390" s="21"/>
      <c r="E390" s="21"/>
      <c r="F390" s="21"/>
      <c r="G390" s="21"/>
      <c r="H390" s="21"/>
      <c r="I390" s="21"/>
      <c r="J390" s="21"/>
      <c r="K390" s="3" t="str">
        <v>AAPL</v>
      </c>
      <c r="L390" s="207">
        <v>175.4</v>
      </c>
      <c r="M390" s="207">
        <v>176.04000000000002</v>
      </c>
      <c r="N390" s="207">
        <v>176.05000000000004</v>
      </c>
      <c r="O390" s="207" t="e">
        <v>#N/A</v>
      </c>
      <c r="P390" s="207" t="e">
        <v>#N/A</v>
      </c>
      <c r="Q390" s="21"/>
      <c r="R390" s="21"/>
      <c r="S390" s="21"/>
      <c r="T390" s="21"/>
      <c r="U390" s="21"/>
      <c r="V390" s="21"/>
      <c r="W390" s="80" t="s">
        <v>1809</v>
      </c>
      <c r="X390" s="79" t="s">
        <v>1808</v>
      </c>
      <c r="Y390" s="21"/>
      <c r="Z390" s="21"/>
      <c r="AA390" s="21"/>
      <c r="AB390" s="21"/>
      <c r="AC390" s="20"/>
    </row>
    <row r="391" spans="1:29" x14ac:dyDescent="0.3">
      <c r="A391" s="18"/>
      <c r="B391" s="21"/>
      <c r="C391" s="21"/>
      <c r="D391" s="21"/>
      <c r="E391" s="21"/>
      <c r="F391" s="21"/>
      <c r="G391" s="21"/>
      <c r="H391" s="21"/>
      <c r="I391" s="21"/>
      <c r="J391" s="21"/>
      <c r="K391" s="3" t="str">
        <v>IBM</v>
      </c>
      <c r="L391" s="207">
        <v>154.79</v>
      </c>
      <c r="M391" s="207">
        <v>154.51</v>
      </c>
      <c r="N391" s="207">
        <v>153.88999999999996</v>
      </c>
      <c r="O391" s="207" t="e">
        <v>#N/A</v>
      </c>
      <c r="P391" s="207" t="e">
        <v>#N/A</v>
      </c>
      <c r="Q391" s="21"/>
      <c r="R391" s="21"/>
      <c r="S391" s="21"/>
      <c r="T391" s="21"/>
      <c r="U391" s="21"/>
      <c r="V391" s="21"/>
      <c r="W391" s="21"/>
      <c r="X391" s="21"/>
      <c r="Y391" s="21"/>
      <c r="Z391" s="21"/>
      <c r="AA391" s="21"/>
      <c r="AB391" s="21"/>
      <c r="AC391" s="20"/>
    </row>
    <row r="392" spans="1:29" x14ac:dyDescent="0.3">
      <c r="A392" s="18"/>
      <c r="B392" s="21"/>
      <c r="C392" s="21"/>
      <c r="D392" s="21"/>
      <c r="E392" s="21"/>
      <c r="F392" s="21"/>
      <c r="G392" s="21"/>
      <c r="H392" s="21"/>
      <c r="I392" s="21"/>
      <c r="J392" s="21"/>
      <c r="K392" s="3" t="str">
        <v>MSFT</v>
      </c>
      <c r="L392" s="207">
        <v>94.06</v>
      </c>
      <c r="M392" s="207">
        <v>94.81</v>
      </c>
      <c r="N392" s="207">
        <v>93.8</v>
      </c>
      <c r="O392" s="207" t="e">
        <v>#N/A</v>
      </c>
      <c r="P392" s="207" t="e">
        <v>#N/A</v>
      </c>
      <c r="Q392" s="21"/>
      <c r="R392" s="21"/>
      <c r="S392" s="21"/>
      <c r="T392" s="21"/>
      <c r="U392" s="21"/>
      <c r="V392" s="21"/>
      <c r="W392" s="21"/>
      <c r="X392" s="21"/>
      <c r="Y392" s="21"/>
      <c r="Z392" s="21"/>
      <c r="AA392" s="21"/>
      <c r="AB392" s="21"/>
      <c r="AC392" s="20"/>
    </row>
    <row r="393" spans="1:29" x14ac:dyDescent="0.3">
      <c r="A393" s="18"/>
      <c r="B393" s="21"/>
      <c r="C393" s="21"/>
      <c r="D393" s="21"/>
      <c r="E393" s="21"/>
      <c r="F393" s="21"/>
      <c r="G393" s="21"/>
      <c r="H393" s="21"/>
      <c r="I393" s="21"/>
      <c r="J393" s="21"/>
      <c r="K393" s="3" t="str">
        <v>FB</v>
      </c>
      <c r="L393" s="207">
        <v>183.3</v>
      </c>
      <c r="M393" s="207">
        <v>187.81</v>
      </c>
      <c r="N393" s="207">
        <v>186.98</v>
      </c>
      <c r="O393" s="207" t="e">
        <v>#N/A</v>
      </c>
      <c r="P393" s="207" t="e">
        <v>#N/A</v>
      </c>
      <c r="Q393" s="21"/>
      <c r="R393" s="21"/>
      <c r="S393" s="21"/>
      <c r="T393" s="21"/>
      <c r="U393" s="21"/>
      <c r="V393" s="21"/>
      <c r="W393" s="21"/>
      <c r="X393" s="21"/>
      <c r="Y393" s="21"/>
      <c r="Z393" s="21"/>
      <c r="AA393" s="21"/>
      <c r="AB393" s="21"/>
      <c r="AC393" s="20"/>
    </row>
    <row r="394" spans="1:29" x14ac:dyDescent="0.3">
      <c r="A394" s="18"/>
      <c r="B394" s="21"/>
      <c r="C394" s="21"/>
      <c r="D394" s="21"/>
      <c r="E394" s="21"/>
      <c r="F394" s="21"/>
      <c r="G394" s="21"/>
      <c r="H394" s="21"/>
      <c r="I394" s="21"/>
      <c r="J394" s="21"/>
      <c r="K394" s="3" t="str">
        <v>GM</v>
      </c>
      <c r="L394" s="207">
        <v>40.909999999999997</v>
      </c>
      <c r="M394" s="207">
        <v>44.01</v>
      </c>
      <c r="N394" s="207">
        <v>45.7</v>
      </c>
      <c r="O394" s="207" t="e">
        <v>#N/A</v>
      </c>
      <c r="P394" s="207" t="e">
        <v>#N/A</v>
      </c>
      <c r="Q394" s="21"/>
      <c r="R394" s="21"/>
      <c r="S394" s="21"/>
      <c r="T394" s="21"/>
      <c r="U394" s="21"/>
      <c r="V394" s="21"/>
      <c r="W394" s="21"/>
      <c r="X394" s="21"/>
      <c r="Y394" s="21"/>
      <c r="Z394" s="21"/>
      <c r="AA394" s="21"/>
      <c r="AB394" s="21"/>
      <c r="AC394" s="20"/>
    </row>
    <row r="395" spans="1:29" x14ac:dyDescent="0.3">
      <c r="A395" s="18"/>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0"/>
    </row>
    <row r="396" spans="1:29" x14ac:dyDescent="0.3">
      <c r="A396" s="18"/>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0"/>
    </row>
    <row r="397" spans="1:29" x14ac:dyDescent="0.3">
      <c r="A397" s="18"/>
      <c r="B397" s="21"/>
      <c r="C397" s="21"/>
      <c r="D397" s="21"/>
      <c r="E397" s="21"/>
      <c r="F397" s="21"/>
      <c r="G397" s="21"/>
      <c r="H397" s="21"/>
      <c r="I397" s="21"/>
      <c r="J397" s="21"/>
      <c r="K397" s="492" t="s">
        <v>3398</v>
      </c>
      <c r="L397" s="529"/>
      <c r="M397" s="529"/>
      <c r="N397" s="529"/>
      <c r="O397" s="529"/>
      <c r="P397" s="493"/>
      <c r="Q397" s="21"/>
      <c r="R397" s="21"/>
      <c r="S397" s="21"/>
      <c r="T397" s="21"/>
      <c r="U397" s="21"/>
      <c r="V397" s="21"/>
      <c r="W397" s="475" t="s">
        <v>1060</v>
      </c>
      <c r="X397" s="475"/>
      <c r="Y397" s="475"/>
      <c r="Z397" s="21"/>
      <c r="AA397" s="492" t="s">
        <v>1062</v>
      </c>
      <c r="AB397" s="493"/>
      <c r="AC397" s="20"/>
    </row>
    <row r="398" spans="1:29" x14ac:dyDescent="0.3">
      <c r="A398" s="18"/>
      <c r="B398" s="21"/>
      <c r="C398" s="21"/>
      <c r="D398" s="21"/>
      <c r="E398" s="21"/>
      <c r="F398" s="21"/>
      <c r="G398" s="21"/>
      <c r="H398" s="21"/>
      <c r="I398" s="21"/>
      <c r="J398" s="21"/>
      <c r="K398" s="3" t="str">
        <f t="array" ref="K398:P403">_xll.U.GRID_FILTER(B356:H361,W399:Y399,AA399:AB399)</f>
        <v/>
      </c>
      <c r="L398" s="154">
        <v>43157</v>
      </c>
      <c r="M398" s="154">
        <v>43159</v>
      </c>
      <c r="N398" s="154">
        <v>43164</v>
      </c>
      <c r="O398" s="154" t="e">
        <v>#N/A</v>
      </c>
      <c r="P398" s="154" t="e">
        <v>#N/A</v>
      </c>
      <c r="Q398" s="21"/>
      <c r="R398" s="21"/>
      <c r="S398" s="21"/>
      <c r="T398" s="21"/>
      <c r="U398" s="21"/>
      <c r="V398" s="21"/>
      <c r="W398" s="9" t="s">
        <v>126</v>
      </c>
      <c r="X398" s="9" t="s">
        <v>1739</v>
      </c>
      <c r="Y398" s="9" t="s">
        <v>1740</v>
      </c>
      <c r="Z398" s="21"/>
      <c r="AA398" s="9" t="s">
        <v>1063</v>
      </c>
      <c r="AB398" s="9" t="s">
        <v>17</v>
      </c>
      <c r="AC398" s="20"/>
    </row>
    <row r="399" spans="1:29" x14ac:dyDescent="0.3">
      <c r="A399" s="18"/>
      <c r="B399" s="21"/>
      <c r="C399" s="21"/>
      <c r="D399" s="21"/>
      <c r="E399" s="21"/>
      <c r="F399" s="21"/>
      <c r="G399" s="21"/>
      <c r="H399" s="21"/>
      <c r="I399" s="21"/>
      <c r="J399" s="21"/>
      <c r="K399" s="3" t="str">
        <v>IBM</v>
      </c>
      <c r="L399" s="207">
        <v>154.79</v>
      </c>
      <c r="M399" s="207">
        <v>154.51</v>
      </c>
      <c r="N399" s="207">
        <v>153.88999999999996</v>
      </c>
      <c r="O399" s="207" t="e">
        <v>#N/A</v>
      </c>
      <c r="P399" s="207" t="e">
        <v>#N/A</v>
      </c>
      <c r="Q399" s="21"/>
      <c r="R399" s="21"/>
      <c r="S399" s="21"/>
      <c r="T399" s="21"/>
      <c r="U399" s="21"/>
      <c r="V399" s="21"/>
      <c r="W399" s="80" t="s">
        <v>208</v>
      </c>
      <c r="X399" s="79">
        <v>44</v>
      </c>
      <c r="Y399" s="79">
        <v>152</v>
      </c>
      <c r="Z399" s="21"/>
      <c r="AA399" s="80" t="s">
        <v>1809</v>
      </c>
      <c r="AB399" s="79" t="s">
        <v>1808</v>
      </c>
      <c r="AC399" s="20"/>
    </row>
    <row r="400" spans="1:29" x14ac:dyDescent="0.3">
      <c r="A400" s="18"/>
      <c r="B400" s="21"/>
      <c r="C400" s="21"/>
      <c r="D400" s="21"/>
      <c r="E400" s="21"/>
      <c r="F400" s="21"/>
      <c r="G400" s="21"/>
      <c r="H400" s="21"/>
      <c r="I400" s="21"/>
      <c r="J400" s="21"/>
      <c r="K400" s="3" t="str">
        <v>MSFT</v>
      </c>
      <c r="L400" s="207">
        <v>94.06</v>
      </c>
      <c r="M400" s="207">
        <v>94.81</v>
      </c>
      <c r="N400" s="207">
        <v>93.8</v>
      </c>
      <c r="O400" s="207" t="e">
        <v>#N/A</v>
      </c>
      <c r="P400" s="207" t="e">
        <v>#N/A</v>
      </c>
      <c r="Q400" s="21"/>
      <c r="R400" s="21"/>
      <c r="S400" s="21"/>
      <c r="T400" s="21"/>
      <c r="U400" s="21"/>
      <c r="V400" s="21"/>
      <c r="W400" s="21"/>
      <c r="X400" s="21"/>
      <c r="Y400" s="21"/>
      <c r="Z400" s="21"/>
      <c r="AA400" s="21"/>
      <c r="AB400" s="21"/>
      <c r="AC400" s="20"/>
    </row>
    <row r="401" spans="1:29" x14ac:dyDescent="0.3">
      <c r="A401" s="18"/>
      <c r="B401" s="21"/>
      <c r="C401" s="21"/>
      <c r="D401" s="21"/>
      <c r="E401" s="21"/>
      <c r="F401" s="21"/>
      <c r="G401" s="21"/>
      <c r="H401" s="21"/>
      <c r="I401" s="21"/>
      <c r="J401" s="21"/>
      <c r="K401" s="3" t="str">
        <v>GM</v>
      </c>
      <c r="L401" s="207">
        <v>40.909999999999997</v>
      </c>
      <c r="M401" s="207">
        <v>44.01</v>
      </c>
      <c r="N401" s="207">
        <v>45.7</v>
      </c>
      <c r="O401" s="207" t="e">
        <v>#N/A</v>
      </c>
      <c r="P401" s="207" t="e">
        <v>#N/A</v>
      </c>
      <c r="Q401" s="21"/>
      <c r="R401" s="21"/>
      <c r="S401" s="21"/>
      <c r="T401" s="21"/>
      <c r="U401" s="21"/>
      <c r="V401" s="21"/>
      <c r="W401" s="21"/>
      <c r="X401" s="21"/>
      <c r="Y401" s="21"/>
      <c r="Z401" s="21"/>
      <c r="AA401" s="21"/>
      <c r="AB401" s="21"/>
      <c r="AC401" s="20"/>
    </row>
    <row r="402" spans="1:29" x14ac:dyDescent="0.3">
      <c r="A402" s="18"/>
      <c r="B402" s="21"/>
      <c r="C402" s="21"/>
      <c r="D402" s="21"/>
      <c r="E402" s="21"/>
      <c r="F402" s="21"/>
      <c r="G402" s="21"/>
      <c r="H402" s="21"/>
      <c r="I402" s="21"/>
      <c r="J402" s="21"/>
      <c r="K402" s="3" t="e">
        <v>#N/A</v>
      </c>
      <c r="L402" s="207" t="e">
        <v>#N/A</v>
      </c>
      <c r="M402" s="207" t="e">
        <v>#N/A</v>
      </c>
      <c r="N402" s="207" t="e">
        <v>#N/A</v>
      </c>
      <c r="O402" s="207" t="e">
        <v>#N/A</v>
      </c>
      <c r="P402" s="207" t="e">
        <v>#N/A</v>
      </c>
      <c r="Q402" s="21"/>
      <c r="R402" s="21"/>
      <c r="S402" s="21"/>
      <c r="T402" s="21"/>
      <c r="U402" s="21"/>
      <c r="V402" s="21"/>
      <c r="W402" s="21"/>
      <c r="X402" s="21"/>
      <c r="Y402" s="21"/>
      <c r="Z402" s="21"/>
      <c r="AA402" s="21"/>
      <c r="AB402" s="21"/>
      <c r="AC402" s="20"/>
    </row>
    <row r="403" spans="1:29" x14ac:dyDescent="0.3">
      <c r="A403" s="18"/>
      <c r="B403" s="21"/>
      <c r="C403" s="21"/>
      <c r="D403" s="21"/>
      <c r="E403" s="21"/>
      <c r="F403" s="21"/>
      <c r="G403" s="21"/>
      <c r="H403" s="21"/>
      <c r="I403" s="21"/>
      <c r="J403" s="21"/>
      <c r="K403" s="3" t="e">
        <v>#N/A</v>
      </c>
      <c r="L403" s="207" t="e">
        <v>#N/A</v>
      </c>
      <c r="M403" s="207" t="e">
        <v>#N/A</v>
      </c>
      <c r="N403" s="207" t="e">
        <v>#N/A</v>
      </c>
      <c r="O403" s="207" t="e">
        <v>#N/A</v>
      </c>
      <c r="P403" s="207" t="e">
        <v>#N/A</v>
      </c>
      <c r="Q403" s="21"/>
      <c r="R403" s="21"/>
      <c r="S403" s="21"/>
      <c r="T403" s="21"/>
      <c r="U403" s="21"/>
      <c r="V403" s="21"/>
      <c r="W403" s="21"/>
      <c r="X403" s="21"/>
      <c r="Y403" s="21"/>
      <c r="Z403" s="21"/>
      <c r="AA403" s="21"/>
      <c r="AB403" s="21"/>
      <c r="AC403" s="20"/>
    </row>
    <row r="404" spans="1:29" x14ac:dyDescent="0.3">
      <c r="A404" s="18"/>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0"/>
    </row>
    <row r="405" spans="1:29" x14ac:dyDescent="0.3">
      <c r="A405" s="18"/>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0"/>
    </row>
    <row r="406" spans="1:29" x14ac:dyDescent="0.3">
      <c r="A406" s="18"/>
      <c r="B406" s="21"/>
      <c r="C406" s="492" t="s">
        <v>906</v>
      </c>
      <c r="D406" s="529"/>
      <c r="E406" s="529"/>
      <c r="F406" s="529"/>
      <c r="G406" s="493"/>
      <c r="H406" s="21"/>
      <c r="I406" s="21"/>
      <c r="J406" s="21"/>
      <c r="K406" s="492" t="s">
        <v>3398</v>
      </c>
      <c r="L406" s="529"/>
      <c r="M406" s="529"/>
      <c r="N406" s="529"/>
      <c r="O406" s="529"/>
      <c r="P406" s="493"/>
      <c r="Q406" s="21"/>
      <c r="R406" s="21"/>
      <c r="S406" s="21"/>
      <c r="T406" s="21"/>
      <c r="U406" s="21"/>
      <c r="V406" s="21"/>
      <c r="W406" s="21"/>
      <c r="X406" s="21"/>
      <c r="Y406" s="21"/>
      <c r="Z406" s="21"/>
      <c r="AA406" s="21"/>
      <c r="AB406" s="21"/>
      <c r="AC406" s="20"/>
    </row>
    <row r="407" spans="1:29" x14ac:dyDescent="0.3">
      <c r="A407" s="18"/>
      <c r="B407" s="21"/>
      <c r="C407" s="155">
        <v>43100</v>
      </c>
      <c r="D407" s="155">
        <v>43190</v>
      </c>
      <c r="E407" s="155">
        <v>43281</v>
      </c>
      <c r="F407" s="155">
        <v>43373</v>
      </c>
      <c r="G407" s="155">
        <v>43465</v>
      </c>
      <c r="H407" s="21"/>
      <c r="I407" s="21"/>
      <c r="J407" s="21"/>
      <c r="K407" s="3" t="str">
        <f t="array" ref="K407:P411">_xll.U.GRID_FILTER(B407:G411)</f>
        <v/>
      </c>
      <c r="L407" s="154">
        <v>43100</v>
      </c>
      <c r="M407" s="154">
        <v>43190</v>
      </c>
      <c r="N407" s="154">
        <v>43281</v>
      </c>
      <c r="O407" s="154">
        <v>43465</v>
      </c>
      <c r="P407" s="154" t="e">
        <v>#N/A</v>
      </c>
      <c r="Q407" s="21"/>
      <c r="R407" s="21"/>
      <c r="S407" s="21"/>
      <c r="T407" s="21"/>
      <c r="U407" s="21"/>
      <c r="V407" s="21"/>
      <c r="W407" s="21"/>
      <c r="X407" s="21"/>
      <c r="Y407" s="21"/>
      <c r="Z407" s="21"/>
      <c r="AA407" s="21"/>
      <c r="AB407" s="21"/>
      <c r="AC407" s="20"/>
    </row>
    <row r="408" spans="1:29" x14ac:dyDescent="0.3">
      <c r="A408" s="18"/>
      <c r="B408" s="59" t="s">
        <v>107</v>
      </c>
      <c r="C408" s="44">
        <v>-35</v>
      </c>
      <c r="D408" s="44">
        <v>-30</v>
      </c>
      <c r="E408" s="44">
        <v>-25</v>
      </c>
      <c r="F408" s="44"/>
      <c r="G408" s="44">
        <v>-20</v>
      </c>
      <c r="H408" s="21"/>
      <c r="I408" s="21"/>
      <c r="J408" s="21"/>
      <c r="K408" s="3" t="str">
        <v>IBM</v>
      </c>
      <c r="L408" s="313">
        <v>-35</v>
      </c>
      <c r="M408" s="313">
        <v>-30</v>
      </c>
      <c r="N408" s="313">
        <v>-25</v>
      </c>
      <c r="O408" s="313">
        <v>-20</v>
      </c>
      <c r="P408" s="313" t="e">
        <v>#N/A</v>
      </c>
      <c r="Q408" s="21"/>
      <c r="R408" s="21"/>
      <c r="S408" s="21"/>
      <c r="T408" s="21"/>
      <c r="U408" s="21"/>
      <c r="V408" s="21"/>
      <c r="W408" s="21"/>
      <c r="X408" s="21"/>
      <c r="Y408" s="21"/>
      <c r="Z408" s="21"/>
      <c r="AA408" s="21"/>
      <c r="AB408" s="21"/>
      <c r="AC408" s="20"/>
    </row>
    <row r="409" spans="1:29" x14ac:dyDescent="0.3">
      <c r="A409" s="18"/>
      <c r="B409" s="59" t="s">
        <v>903</v>
      </c>
      <c r="C409" s="44"/>
      <c r="D409" s="44"/>
      <c r="E409" s="44"/>
      <c r="F409" s="44"/>
      <c r="G409" s="44"/>
      <c r="H409" s="21"/>
      <c r="I409" s="21"/>
      <c r="J409" s="21"/>
      <c r="K409" s="3" t="str">
        <v>MSFT</v>
      </c>
      <c r="L409" s="313">
        <v>25</v>
      </c>
      <c r="M409" s="313">
        <v>20</v>
      </c>
      <c r="N409" s="313">
        <v>15</v>
      </c>
      <c r="O409" s="313">
        <v>20</v>
      </c>
      <c r="P409" s="313" t="e">
        <v>#N/A</v>
      </c>
      <c r="Q409" s="21"/>
      <c r="R409" s="21"/>
      <c r="S409" s="21"/>
      <c r="T409" s="21"/>
      <c r="U409" s="21"/>
      <c r="V409" s="21"/>
      <c r="W409" s="21"/>
      <c r="X409" s="21"/>
      <c r="Y409" s="21"/>
      <c r="Z409" s="21"/>
      <c r="AA409" s="21"/>
      <c r="AB409" s="21"/>
      <c r="AC409" s="20"/>
    </row>
    <row r="410" spans="1:29" x14ac:dyDescent="0.3">
      <c r="A410" s="18"/>
      <c r="B410" s="59" t="s">
        <v>256</v>
      </c>
      <c r="C410" s="44">
        <v>25</v>
      </c>
      <c r="D410" s="44">
        <v>20</v>
      </c>
      <c r="E410" s="44">
        <v>15</v>
      </c>
      <c r="F410" s="44"/>
      <c r="G410" s="44">
        <v>20</v>
      </c>
      <c r="H410" s="21"/>
      <c r="I410" s="21"/>
      <c r="J410" s="21"/>
      <c r="K410" s="3" t="str">
        <v>FB</v>
      </c>
      <c r="L410" s="313" t="str">
        <v/>
      </c>
      <c r="M410" s="313">
        <v>-70</v>
      </c>
      <c r="N410" s="313">
        <v>-100</v>
      </c>
      <c r="O410" s="313">
        <v>-80</v>
      </c>
      <c r="P410" s="313" t="e">
        <v>#N/A</v>
      </c>
      <c r="Q410" s="21"/>
      <c r="R410" s="21"/>
      <c r="S410" s="21"/>
      <c r="T410" s="21"/>
      <c r="U410" s="21"/>
      <c r="V410" s="21"/>
      <c r="W410" s="21"/>
      <c r="X410" s="21"/>
      <c r="Y410" s="21"/>
      <c r="Z410" s="21"/>
      <c r="AA410" s="21"/>
      <c r="AB410" s="21"/>
      <c r="AC410" s="20"/>
    </row>
    <row r="411" spans="1:29" x14ac:dyDescent="0.3">
      <c r="A411" s="18"/>
      <c r="B411" s="59" t="s">
        <v>183</v>
      </c>
      <c r="C411" s="44"/>
      <c r="D411" s="44">
        <v>-70</v>
      </c>
      <c r="E411" s="44">
        <v>-100</v>
      </c>
      <c r="F411" s="44"/>
      <c r="G411" s="44">
        <v>-80</v>
      </c>
      <c r="H411" s="21"/>
      <c r="I411" s="21"/>
      <c r="J411" s="21"/>
      <c r="K411" s="3" t="e">
        <v>#N/A</v>
      </c>
      <c r="L411" s="313" t="e">
        <v>#N/A</v>
      </c>
      <c r="M411" s="313" t="e">
        <v>#N/A</v>
      </c>
      <c r="N411" s="313" t="e">
        <v>#N/A</v>
      </c>
      <c r="O411" s="313" t="e">
        <v>#N/A</v>
      </c>
      <c r="P411" s="313" t="e">
        <v>#N/A</v>
      </c>
      <c r="Q411" s="21"/>
      <c r="R411" s="21"/>
      <c r="S411" s="21"/>
      <c r="T411" s="21"/>
      <c r="U411" s="21"/>
      <c r="V411" s="21"/>
      <c r="W411" s="21"/>
      <c r="X411" s="21"/>
      <c r="Y411" s="21"/>
      <c r="Z411" s="21"/>
      <c r="AA411" s="21"/>
      <c r="AB411" s="21"/>
      <c r="AC411" s="20"/>
    </row>
    <row r="412" spans="1:29" x14ac:dyDescent="0.3">
      <c r="A412" s="18"/>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0"/>
    </row>
    <row r="413" spans="1:29" x14ac:dyDescent="0.3">
      <c r="A413" s="18"/>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0"/>
    </row>
    <row r="414" spans="1:29" x14ac:dyDescent="0.3">
      <c r="A414" s="18"/>
      <c r="B414" s="21"/>
      <c r="C414" s="21"/>
      <c r="D414" s="21"/>
      <c r="E414" s="21"/>
      <c r="F414" s="21"/>
      <c r="G414" s="21"/>
      <c r="H414" s="21"/>
      <c r="I414" s="21"/>
      <c r="J414" s="21"/>
      <c r="K414" s="492" t="s">
        <v>3398</v>
      </c>
      <c r="L414" s="529"/>
      <c r="M414" s="529"/>
      <c r="N414" s="529"/>
      <c r="O414" s="529"/>
      <c r="P414" s="493"/>
      <c r="Q414" s="21"/>
      <c r="R414" s="21"/>
      <c r="S414" s="21"/>
      <c r="T414" s="21"/>
      <c r="U414" s="21"/>
      <c r="V414" s="21"/>
      <c r="W414" s="21"/>
      <c r="X414" s="21"/>
      <c r="Y414" s="21"/>
      <c r="Z414" s="21"/>
      <c r="AA414" s="21"/>
      <c r="AB414" s="21"/>
      <c r="AC414" s="20"/>
    </row>
    <row r="415" spans="1:29" x14ac:dyDescent="0.3">
      <c r="A415" s="18"/>
      <c r="B415" s="21"/>
      <c r="C415" s="21"/>
      <c r="D415" s="21"/>
      <c r="E415" s="21"/>
      <c r="F415" s="21"/>
      <c r="G415" s="21"/>
      <c r="H415" s="21"/>
      <c r="I415" s="21"/>
      <c r="J415" s="21"/>
      <c r="K415" s="3" t="str">
        <f t="array" ref="K415:P419">_xll.U.GRID_FILTER(B407:G411,,,TRUE)</f>
        <v/>
      </c>
      <c r="L415" s="154">
        <v>43373</v>
      </c>
      <c r="M415" s="154" t="e">
        <v>#N/A</v>
      </c>
      <c r="N415" s="154" t="e">
        <v>#N/A</v>
      </c>
      <c r="O415" s="154" t="e">
        <v>#N/A</v>
      </c>
      <c r="P415" s="154" t="e">
        <v>#N/A</v>
      </c>
      <c r="Q415" s="21"/>
      <c r="R415" s="21"/>
      <c r="S415" s="21"/>
      <c r="T415" s="21"/>
      <c r="U415" s="21"/>
      <c r="V415" s="21"/>
      <c r="W415" s="21"/>
      <c r="X415" s="21"/>
      <c r="Y415" s="21"/>
      <c r="Z415" s="21"/>
      <c r="AA415" s="21"/>
      <c r="AB415" s="21"/>
      <c r="AC415" s="20"/>
    </row>
    <row r="416" spans="1:29" x14ac:dyDescent="0.3">
      <c r="A416" s="18"/>
      <c r="B416" s="21"/>
      <c r="C416" s="21"/>
      <c r="D416" s="21"/>
      <c r="E416" s="21"/>
      <c r="F416" s="21"/>
      <c r="G416" s="21"/>
      <c r="H416" s="21"/>
      <c r="I416" s="21"/>
      <c r="J416" s="21"/>
      <c r="K416" s="3" t="str">
        <v>SPX</v>
      </c>
      <c r="L416" s="313" t="str">
        <v/>
      </c>
      <c r="M416" s="313" t="e">
        <v>#N/A</v>
      </c>
      <c r="N416" s="313" t="e">
        <v>#N/A</v>
      </c>
      <c r="O416" s="313" t="e">
        <v>#N/A</v>
      </c>
      <c r="P416" s="313" t="e">
        <v>#N/A</v>
      </c>
      <c r="Q416" s="21"/>
      <c r="R416" s="21"/>
      <c r="S416" s="21"/>
      <c r="T416" s="21"/>
      <c r="U416" s="21"/>
      <c r="V416" s="21"/>
      <c r="W416" s="21"/>
      <c r="X416" s="21"/>
      <c r="Y416" s="21"/>
      <c r="Z416" s="21"/>
      <c r="AA416" s="21"/>
      <c r="AB416" s="21"/>
      <c r="AC416" s="20"/>
    </row>
    <row r="417" spans="1:29" x14ac:dyDescent="0.3">
      <c r="A417" s="18"/>
      <c r="B417" s="21"/>
      <c r="C417" s="21"/>
      <c r="D417" s="21"/>
      <c r="E417" s="21"/>
      <c r="F417" s="21"/>
      <c r="G417" s="21"/>
      <c r="H417" s="21"/>
      <c r="I417" s="21"/>
      <c r="J417" s="21"/>
      <c r="K417" s="3" t="e">
        <v>#N/A</v>
      </c>
      <c r="L417" s="313" t="e">
        <v>#N/A</v>
      </c>
      <c r="M417" s="313" t="e">
        <v>#N/A</v>
      </c>
      <c r="N417" s="313" t="e">
        <v>#N/A</v>
      </c>
      <c r="O417" s="313" t="e">
        <v>#N/A</v>
      </c>
      <c r="P417" s="313" t="e">
        <v>#N/A</v>
      </c>
      <c r="Q417" s="21"/>
      <c r="R417" s="21"/>
      <c r="S417" s="21"/>
      <c r="T417" s="21"/>
      <c r="U417" s="21"/>
      <c r="V417" s="21"/>
      <c r="W417" s="21"/>
      <c r="X417" s="21"/>
      <c r="Y417" s="21"/>
      <c r="Z417" s="21"/>
      <c r="AA417" s="21"/>
      <c r="AB417" s="21"/>
      <c r="AC417" s="20"/>
    </row>
    <row r="418" spans="1:29" x14ac:dyDescent="0.3">
      <c r="A418" s="18"/>
      <c r="B418" s="21"/>
      <c r="C418" s="21"/>
      <c r="D418" s="21"/>
      <c r="E418" s="21"/>
      <c r="F418" s="21"/>
      <c r="G418" s="21"/>
      <c r="H418" s="21"/>
      <c r="I418" s="21"/>
      <c r="J418" s="21"/>
      <c r="K418" s="3" t="e">
        <v>#N/A</v>
      </c>
      <c r="L418" s="313" t="e">
        <v>#N/A</v>
      </c>
      <c r="M418" s="313" t="e">
        <v>#N/A</v>
      </c>
      <c r="N418" s="313" t="e">
        <v>#N/A</v>
      </c>
      <c r="O418" s="313" t="e">
        <v>#N/A</v>
      </c>
      <c r="P418" s="313" t="e">
        <v>#N/A</v>
      </c>
      <c r="Q418" s="21"/>
      <c r="R418" s="21"/>
      <c r="S418" s="21"/>
      <c r="T418" s="21"/>
      <c r="U418" s="21"/>
      <c r="V418" s="21"/>
      <c r="W418" s="21"/>
      <c r="X418" s="21"/>
      <c r="Y418" s="21"/>
      <c r="Z418" s="21"/>
      <c r="AA418" s="21"/>
      <c r="AB418" s="21"/>
      <c r="AC418" s="20"/>
    </row>
    <row r="419" spans="1:29" x14ac:dyDescent="0.3">
      <c r="A419" s="18"/>
      <c r="B419" s="21"/>
      <c r="C419" s="21"/>
      <c r="D419" s="21"/>
      <c r="E419" s="21"/>
      <c r="F419" s="21"/>
      <c r="G419" s="21"/>
      <c r="H419" s="21"/>
      <c r="I419" s="21"/>
      <c r="J419" s="21"/>
      <c r="K419" s="3" t="e">
        <v>#N/A</v>
      </c>
      <c r="L419" s="313" t="e">
        <v>#N/A</v>
      </c>
      <c r="M419" s="313" t="e">
        <v>#N/A</v>
      </c>
      <c r="N419" s="313" t="e">
        <v>#N/A</v>
      </c>
      <c r="O419" s="313" t="e">
        <v>#N/A</v>
      </c>
      <c r="P419" s="313" t="e">
        <v>#N/A</v>
      </c>
      <c r="Q419" s="21"/>
      <c r="R419" s="21"/>
      <c r="S419" s="21"/>
      <c r="T419" s="21"/>
      <c r="U419" s="21"/>
      <c r="V419" s="21"/>
      <c r="W419" s="21"/>
      <c r="X419" s="21"/>
      <c r="Y419" s="21"/>
      <c r="Z419" s="21"/>
      <c r="AA419" s="21"/>
      <c r="AB419" s="21"/>
      <c r="AC419" s="20"/>
    </row>
    <row r="420" spans="1:29" x14ac:dyDescent="0.3">
      <c r="A420" s="18"/>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0"/>
    </row>
    <row r="421" spans="1:29" x14ac:dyDescent="0.3">
      <c r="A421" s="18"/>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0"/>
    </row>
    <row r="422" spans="1:29" x14ac:dyDescent="0.3">
      <c r="A422" s="18"/>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0"/>
    </row>
    <row r="423" spans="1:29" x14ac:dyDescent="0.3">
      <c r="A423" s="18"/>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0"/>
    </row>
    <row r="424" spans="1:29" x14ac:dyDescent="0.3">
      <c r="A424" s="18"/>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0"/>
    </row>
    <row r="425" spans="1:29" x14ac:dyDescent="0.3">
      <c r="A425" s="18"/>
      <c r="B425" s="21"/>
      <c r="C425" s="492" t="s">
        <v>906</v>
      </c>
      <c r="D425" s="529"/>
      <c r="E425" s="529"/>
      <c r="F425" s="529"/>
      <c r="G425" s="493"/>
      <c r="H425" s="21"/>
      <c r="I425" s="21"/>
      <c r="J425" s="21"/>
      <c r="K425" s="492" t="s">
        <v>3398</v>
      </c>
      <c r="L425" s="529"/>
      <c r="M425" s="529"/>
      <c r="N425" s="529"/>
      <c r="O425" s="529"/>
      <c r="P425" s="493"/>
      <c r="Q425" s="21"/>
      <c r="R425" s="21"/>
      <c r="S425" s="21"/>
      <c r="T425" s="21"/>
      <c r="U425" s="21"/>
      <c r="V425" s="21"/>
      <c r="W425" s="21"/>
      <c r="X425" s="21"/>
      <c r="Y425" s="21"/>
      <c r="Z425" s="21"/>
      <c r="AA425" s="21"/>
      <c r="AB425" s="21"/>
      <c r="AC425" s="20"/>
    </row>
    <row r="426" spans="1:29" x14ac:dyDescent="0.3">
      <c r="A426" s="18"/>
      <c r="B426" s="21"/>
      <c r="C426" s="155">
        <v>43100</v>
      </c>
      <c r="D426" s="155">
        <v>43190</v>
      </c>
      <c r="E426" s="155">
        <v>43281</v>
      </c>
      <c r="F426" s="155">
        <v>43373</v>
      </c>
      <c r="G426" s="155">
        <v>43465</v>
      </c>
      <c r="H426" s="21"/>
      <c r="I426" s="21"/>
      <c r="J426" s="21"/>
      <c r="K426" s="3" t="str">
        <f t="array" ref="K426:P433">_xll.U.GRID_FILTER(B426:G430,W428,X428)</f>
        <v/>
      </c>
      <c r="L426" s="154">
        <v>43281</v>
      </c>
      <c r="M426" s="154">
        <v>43373</v>
      </c>
      <c r="N426" s="154">
        <v>43465</v>
      </c>
      <c r="O426" s="154" t="e">
        <v>#N/A</v>
      </c>
      <c r="P426" s="154" t="e">
        <v>#N/A</v>
      </c>
      <c r="Q426" s="21"/>
      <c r="R426" s="21"/>
      <c r="S426" s="21"/>
      <c r="T426" s="21"/>
      <c r="U426" s="21"/>
      <c r="V426" s="21"/>
      <c r="W426" s="492" t="s">
        <v>125</v>
      </c>
      <c r="X426" s="493"/>
      <c r="Y426" s="21"/>
      <c r="Z426" s="21"/>
      <c r="AA426" s="21"/>
      <c r="AB426" s="21"/>
      <c r="AC426" s="20"/>
    </row>
    <row r="427" spans="1:29" x14ac:dyDescent="0.3">
      <c r="A427" s="18"/>
      <c r="B427" s="59" t="s">
        <v>107</v>
      </c>
      <c r="C427" s="44">
        <v>-35</v>
      </c>
      <c r="D427" s="44">
        <v>-30</v>
      </c>
      <c r="E427" s="44">
        <v>-25</v>
      </c>
      <c r="F427" s="44">
        <v>-25</v>
      </c>
      <c r="G427" s="44">
        <v>-20</v>
      </c>
      <c r="H427" s="21"/>
      <c r="I427" s="21"/>
      <c r="J427" s="21"/>
      <c r="K427" s="3" t="str">
        <v>IBM</v>
      </c>
      <c r="L427" s="35">
        <v>-25</v>
      </c>
      <c r="M427" s="35">
        <v>-25</v>
      </c>
      <c r="N427" s="35">
        <v>-20</v>
      </c>
      <c r="O427" s="35" t="e">
        <v>#N/A</v>
      </c>
      <c r="P427" s="35" t="e">
        <v>#N/A</v>
      </c>
      <c r="Q427" s="21"/>
      <c r="R427" s="21"/>
      <c r="S427" s="21"/>
      <c r="T427" s="21"/>
      <c r="U427" s="21"/>
      <c r="V427" s="21"/>
      <c r="W427" s="9" t="s">
        <v>905</v>
      </c>
      <c r="X427" s="9" t="s">
        <v>904</v>
      </c>
      <c r="Y427" s="21"/>
      <c r="Z427" s="21"/>
      <c r="AA427" s="21"/>
      <c r="AB427" s="21"/>
      <c r="AC427" s="20"/>
    </row>
    <row r="428" spans="1:29" x14ac:dyDescent="0.3">
      <c r="A428" s="18"/>
      <c r="B428" s="59" t="s">
        <v>903</v>
      </c>
      <c r="C428" s="44"/>
      <c r="D428" s="44"/>
      <c r="E428" s="44">
        <v>75</v>
      </c>
      <c r="F428" s="44">
        <v>60</v>
      </c>
      <c r="G428" s="44">
        <v>65</v>
      </c>
      <c r="H428" s="21"/>
      <c r="I428" s="21"/>
      <c r="J428" s="21"/>
      <c r="K428" s="3" t="str">
        <v>MSFT</v>
      </c>
      <c r="L428" s="35">
        <v>15</v>
      </c>
      <c r="M428" s="35">
        <v>10</v>
      </c>
      <c r="N428" s="35">
        <v>20</v>
      </c>
      <c r="O428" s="35" t="e">
        <v>#N/A</v>
      </c>
      <c r="P428" s="35" t="e">
        <v>#N/A</v>
      </c>
      <c r="Q428" s="21"/>
      <c r="R428" s="21"/>
      <c r="S428" s="21"/>
      <c r="T428" s="21"/>
      <c r="U428" s="21"/>
      <c r="V428" s="21"/>
      <c r="W428" s="153">
        <v>43100</v>
      </c>
      <c r="X428" s="79" t="s">
        <v>903</v>
      </c>
      <c r="Y428" s="21"/>
      <c r="Z428" s="21"/>
      <c r="AA428" s="21"/>
      <c r="AB428" s="21"/>
      <c r="AC428" s="20"/>
    </row>
    <row r="429" spans="1:29" x14ac:dyDescent="0.3">
      <c r="A429" s="18"/>
      <c r="B429" s="59" t="s">
        <v>256</v>
      </c>
      <c r="C429" s="44">
        <v>25</v>
      </c>
      <c r="D429" s="44">
        <v>20</v>
      </c>
      <c r="E429" s="44">
        <v>15</v>
      </c>
      <c r="F429" s="44">
        <v>10</v>
      </c>
      <c r="G429" s="44">
        <v>20</v>
      </c>
      <c r="H429" s="21"/>
      <c r="I429" s="21"/>
      <c r="J429" s="21"/>
      <c r="K429" s="3" t="e">
        <v>#N/A</v>
      </c>
      <c r="L429" s="35" t="e">
        <v>#N/A</v>
      </c>
      <c r="M429" s="35" t="e">
        <v>#N/A</v>
      </c>
      <c r="N429" s="35" t="e">
        <v>#N/A</v>
      </c>
      <c r="O429" s="35" t="e">
        <v>#N/A</v>
      </c>
      <c r="P429" s="35" t="e">
        <v>#N/A</v>
      </c>
      <c r="Q429" s="21"/>
      <c r="R429" s="21"/>
      <c r="S429" s="21"/>
      <c r="T429" s="21"/>
      <c r="U429" s="21"/>
      <c r="V429" s="21"/>
      <c r="W429" s="21"/>
      <c r="X429" s="21"/>
      <c r="Y429" s="21"/>
      <c r="Z429" s="21"/>
      <c r="AA429" s="21"/>
      <c r="AB429" s="21"/>
      <c r="AC429" s="20"/>
    </row>
    <row r="430" spans="1:29" x14ac:dyDescent="0.3">
      <c r="A430" s="18"/>
      <c r="B430" s="59" t="s">
        <v>183</v>
      </c>
      <c r="C430" s="44"/>
      <c r="D430" s="44">
        <v>-70</v>
      </c>
      <c r="E430" s="44">
        <v>-100</v>
      </c>
      <c r="F430" s="44">
        <v>-90</v>
      </c>
      <c r="G430" s="44">
        <v>-80</v>
      </c>
      <c r="H430" s="21"/>
      <c r="I430" s="21"/>
      <c r="J430" s="21"/>
      <c r="K430" s="3" t="e">
        <v>#N/A</v>
      </c>
      <c r="L430" s="35" t="e">
        <v>#N/A</v>
      </c>
      <c r="M430" s="35" t="e">
        <v>#N/A</v>
      </c>
      <c r="N430" s="35" t="e">
        <v>#N/A</v>
      </c>
      <c r="O430" s="35" t="e">
        <v>#N/A</v>
      </c>
      <c r="P430" s="35" t="e">
        <v>#N/A</v>
      </c>
      <c r="Q430" s="21"/>
      <c r="R430" s="21"/>
      <c r="S430" s="21"/>
      <c r="T430" s="21"/>
      <c r="U430" s="21"/>
      <c r="V430" s="21"/>
      <c r="W430" s="21"/>
      <c r="X430" s="21"/>
      <c r="Y430" s="21"/>
      <c r="Z430" s="21"/>
      <c r="AA430" s="21"/>
      <c r="AB430" s="21"/>
      <c r="AC430" s="20"/>
    </row>
    <row r="431" spans="1:29" x14ac:dyDescent="0.3">
      <c r="A431" s="18"/>
      <c r="B431" s="21"/>
      <c r="C431" s="21"/>
      <c r="D431" s="21"/>
      <c r="E431" s="21"/>
      <c r="F431" s="21"/>
      <c r="G431" s="21"/>
      <c r="H431" s="21"/>
      <c r="I431" s="21"/>
      <c r="J431" s="21"/>
      <c r="K431" s="3" t="e">
        <v>#N/A</v>
      </c>
      <c r="L431" s="35" t="e">
        <v>#N/A</v>
      </c>
      <c r="M431" s="35" t="e">
        <v>#N/A</v>
      </c>
      <c r="N431" s="35" t="e">
        <v>#N/A</v>
      </c>
      <c r="O431" s="35" t="e">
        <v>#N/A</v>
      </c>
      <c r="P431" s="35" t="e">
        <v>#N/A</v>
      </c>
      <c r="Q431" s="21"/>
      <c r="R431" s="21"/>
      <c r="S431" s="21"/>
      <c r="T431" s="21"/>
      <c r="U431" s="21"/>
      <c r="V431" s="21"/>
      <c r="W431" s="21"/>
      <c r="X431" s="21"/>
      <c r="Y431" s="21"/>
      <c r="Z431" s="21"/>
      <c r="AA431" s="21"/>
      <c r="AB431" s="21"/>
      <c r="AC431" s="20"/>
    </row>
    <row r="432" spans="1:29" x14ac:dyDescent="0.3">
      <c r="A432" s="18"/>
      <c r="B432" s="21"/>
      <c r="C432" s="21"/>
      <c r="D432" s="21"/>
      <c r="E432" s="21"/>
      <c r="F432" s="21"/>
      <c r="G432" s="21"/>
      <c r="H432" s="21"/>
      <c r="I432" s="21"/>
      <c r="J432" s="21"/>
      <c r="K432" s="3" t="e">
        <v>#N/A</v>
      </c>
      <c r="L432" s="35" t="e">
        <v>#N/A</v>
      </c>
      <c r="M432" s="35" t="e">
        <v>#N/A</v>
      </c>
      <c r="N432" s="35" t="e">
        <v>#N/A</v>
      </c>
      <c r="O432" s="35" t="e">
        <v>#N/A</v>
      </c>
      <c r="P432" s="35" t="e">
        <v>#N/A</v>
      </c>
      <c r="Q432" s="21"/>
      <c r="R432" s="21"/>
      <c r="S432" s="21"/>
      <c r="T432" s="21"/>
      <c r="U432" s="21"/>
      <c r="V432" s="21"/>
      <c r="W432" s="21"/>
      <c r="X432" s="21"/>
      <c r="Y432" s="21"/>
      <c r="Z432" s="21"/>
      <c r="AA432" s="21"/>
      <c r="AB432" s="21"/>
      <c r="AC432" s="20"/>
    </row>
    <row r="433" spans="1:29" x14ac:dyDescent="0.3">
      <c r="A433" s="18"/>
      <c r="B433" s="21"/>
      <c r="C433" s="21"/>
      <c r="D433" s="21"/>
      <c r="E433" s="21"/>
      <c r="F433" s="21"/>
      <c r="G433" s="21"/>
      <c r="H433" s="21"/>
      <c r="I433" s="21"/>
      <c r="J433" s="21"/>
      <c r="K433" s="3" t="e">
        <v>#N/A</v>
      </c>
      <c r="L433" s="35" t="e">
        <v>#N/A</v>
      </c>
      <c r="M433" s="35" t="e">
        <v>#N/A</v>
      </c>
      <c r="N433" s="35" t="e">
        <v>#N/A</v>
      </c>
      <c r="O433" s="35" t="e">
        <v>#N/A</v>
      </c>
      <c r="P433" s="35" t="e">
        <v>#N/A</v>
      </c>
      <c r="Q433" s="21"/>
      <c r="R433" s="21"/>
      <c r="S433" s="21"/>
      <c r="T433" s="21"/>
      <c r="U433" s="21"/>
      <c r="V433" s="21"/>
      <c r="W433" s="21"/>
      <c r="X433" s="21"/>
      <c r="Y433" s="21"/>
      <c r="Z433" s="21"/>
      <c r="AA433" s="21"/>
      <c r="AB433" s="21"/>
      <c r="AC433" s="20"/>
    </row>
    <row r="434" spans="1:29" x14ac:dyDescent="0.3">
      <c r="A434" s="18"/>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0"/>
    </row>
    <row r="435" spans="1:29" x14ac:dyDescent="0.3">
      <c r="A435" s="18"/>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0"/>
    </row>
    <row r="436" spans="1:29" x14ac:dyDescent="0.3">
      <c r="A436" s="18"/>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0"/>
    </row>
    <row r="437" spans="1:29" x14ac:dyDescent="0.3">
      <c r="A437" s="18"/>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0"/>
    </row>
    <row r="438" spans="1:29" x14ac:dyDescent="0.3">
      <c r="A438" s="18"/>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0"/>
    </row>
    <row r="439" spans="1:29" x14ac:dyDescent="0.3">
      <c r="A439" s="18"/>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0"/>
    </row>
    <row r="440" spans="1:29" x14ac:dyDescent="0.3">
      <c r="A440" s="18"/>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0"/>
    </row>
    <row r="441" spans="1:29" x14ac:dyDescent="0.3">
      <c r="A441" s="18"/>
      <c r="B441" s="21"/>
      <c r="C441" s="21"/>
      <c r="D441" s="475" t="s">
        <v>1015</v>
      </c>
      <c r="E441" s="475"/>
      <c r="F441" s="475"/>
      <c r="G441" s="475"/>
      <c r="H441" s="475"/>
      <c r="I441" s="475"/>
      <c r="J441" s="21"/>
      <c r="K441" s="492" t="s">
        <v>3398</v>
      </c>
      <c r="L441" s="529"/>
      <c r="M441" s="529"/>
      <c r="N441" s="529"/>
      <c r="O441" s="529"/>
      <c r="P441" s="493"/>
      <c r="Q441" s="21"/>
      <c r="R441" s="21"/>
      <c r="S441" s="21"/>
      <c r="T441" s="21"/>
      <c r="U441" s="21"/>
      <c r="V441" s="21"/>
      <c r="W441" s="492" t="s">
        <v>1060</v>
      </c>
      <c r="X441" s="493"/>
      <c r="Y441" s="21"/>
      <c r="Z441" s="492" t="s">
        <v>1062</v>
      </c>
      <c r="AA441" s="493"/>
      <c r="AB441" s="21"/>
      <c r="AC441" s="20"/>
    </row>
    <row r="442" spans="1:29" x14ac:dyDescent="0.3">
      <c r="A442" s="18"/>
      <c r="B442" s="21"/>
      <c r="C442" s="21"/>
      <c r="D442" s="155" t="s">
        <v>778</v>
      </c>
      <c r="E442" s="155" t="s">
        <v>778</v>
      </c>
      <c r="F442" s="155" t="s">
        <v>778</v>
      </c>
      <c r="G442" s="155" t="s">
        <v>779</v>
      </c>
      <c r="H442" s="155" t="s">
        <v>779</v>
      </c>
      <c r="I442" s="155" t="s">
        <v>779</v>
      </c>
      <c r="J442" s="21"/>
      <c r="K442" s="3" t="str">
        <f t="array" ref="K442:P449">_xll.U.GRID_FILTER(B442:I449,W443:X444,Z443:AA443)</f>
        <v/>
      </c>
      <c r="L442" s="154" t="str">
        <v/>
      </c>
      <c r="M442" s="154" t="str">
        <v>HSBC</v>
      </c>
      <c r="N442" s="154" t="str">
        <v>HSBC</v>
      </c>
      <c r="O442" s="154" t="str">
        <v>HSBC</v>
      </c>
      <c r="P442" s="154" t="e">
        <v>#N/A</v>
      </c>
      <c r="Q442" s="21"/>
      <c r="R442" s="21"/>
      <c r="S442" s="21"/>
      <c r="T442" s="21"/>
      <c r="U442" s="21"/>
      <c r="V442" s="21"/>
      <c r="W442" s="9" t="s">
        <v>126</v>
      </c>
      <c r="X442" s="9" t="s">
        <v>17</v>
      </c>
      <c r="Y442" s="21"/>
      <c r="Z442" s="9" t="s">
        <v>1063</v>
      </c>
      <c r="AA442" s="9" t="s">
        <v>17</v>
      </c>
      <c r="AB442" s="21"/>
      <c r="AC442" s="20"/>
    </row>
    <row r="443" spans="1:29" x14ac:dyDescent="0.3">
      <c r="A443" s="18"/>
      <c r="B443" s="21"/>
      <c r="C443" s="21"/>
      <c r="D443" s="155">
        <v>43101</v>
      </c>
      <c r="E443" s="155">
        <v>43160</v>
      </c>
      <c r="F443" s="155">
        <v>43252</v>
      </c>
      <c r="G443" s="155">
        <v>43101</v>
      </c>
      <c r="H443" s="155">
        <v>43160</v>
      </c>
      <c r="I443" s="155">
        <v>43252</v>
      </c>
      <c r="J443" s="21"/>
      <c r="K443" s="3" t="str">
        <v/>
      </c>
      <c r="L443" s="5" t="str">
        <v/>
      </c>
      <c r="M443" s="206">
        <v>43101</v>
      </c>
      <c r="N443" s="206">
        <v>43160</v>
      </c>
      <c r="O443" s="206">
        <v>43252</v>
      </c>
      <c r="P443" s="206" t="e">
        <v>#N/A</v>
      </c>
      <c r="Q443" s="21"/>
      <c r="R443" s="21"/>
      <c r="S443" s="21"/>
      <c r="T443" s="21"/>
      <c r="U443" s="21"/>
      <c r="V443" s="21"/>
      <c r="W443" s="80">
        <v>1</v>
      </c>
      <c r="X443" s="79" t="s">
        <v>1061</v>
      </c>
      <c r="Y443" s="21"/>
      <c r="Z443" s="80">
        <v>1</v>
      </c>
      <c r="AA443" s="79" t="s">
        <v>779</v>
      </c>
      <c r="AB443" s="21"/>
      <c r="AC443" s="20"/>
    </row>
    <row r="444" spans="1:29" x14ac:dyDescent="0.3">
      <c r="A444" s="18"/>
      <c r="B444" s="59" t="s">
        <v>106</v>
      </c>
      <c r="C444" s="59" t="s">
        <v>780</v>
      </c>
      <c r="D444" s="61">
        <v>0.25</v>
      </c>
      <c r="E444" s="61">
        <v>0.37</v>
      </c>
      <c r="F444" s="61">
        <v>0.41</v>
      </c>
      <c r="G444" s="61">
        <v>0.24</v>
      </c>
      <c r="H444" s="61">
        <v>0.36</v>
      </c>
      <c r="I444" s="61">
        <v>0.42</v>
      </c>
      <c r="J444" s="21"/>
      <c r="K444" s="3" t="str">
        <v>AAPL</v>
      </c>
      <c r="L444" s="5" t="str">
        <v>early</v>
      </c>
      <c r="M444" s="35">
        <v>0.24</v>
      </c>
      <c r="N444" s="35">
        <v>0.36</v>
      </c>
      <c r="O444" s="35">
        <v>0.42</v>
      </c>
      <c r="P444" s="35" t="e">
        <v>#N/A</v>
      </c>
      <c r="Q444" s="21"/>
      <c r="R444" s="21"/>
      <c r="S444" s="21"/>
      <c r="T444" s="21"/>
      <c r="U444" s="21"/>
      <c r="V444" s="21"/>
      <c r="W444" s="80">
        <v>2</v>
      </c>
      <c r="X444" s="79" t="s">
        <v>1064</v>
      </c>
      <c r="Y444" s="21"/>
      <c r="Z444" s="21"/>
      <c r="AA444" s="21"/>
      <c r="AB444" s="21"/>
      <c r="AC444" s="20"/>
    </row>
    <row r="445" spans="1:29" x14ac:dyDescent="0.3">
      <c r="A445" s="18"/>
      <c r="B445" s="59" t="s">
        <v>106</v>
      </c>
      <c r="C445" s="59" t="s">
        <v>781</v>
      </c>
      <c r="D445" s="61">
        <v>0.27</v>
      </c>
      <c r="E445" s="61">
        <v>0.39</v>
      </c>
      <c r="F445" s="61">
        <v>0.43</v>
      </c>
      <c r="G445" s="61">
        <v>0.23</v>
      </c>
      <c r="H445" s="61">
        <v>0.28000000000000003</v>
      </c>
      <c r="I445" s="61">
        <v>0.4</v>
      </c>
      <c r="J445" s="21"/>
      <c r="K445" s="3" t="str">
        <v>IBM</v>
      </c>
      <c r="L445" s="5" t="str">
        <v>early</v>
      </c>
      <c r="M445" s="35">
        <v>0.74</v>
      </c>
      <c r="N445" s="35">
        <v>0.86</v>
      </c>
      <c r="O445" s="35">
        <v>0.92</v>
      </c>
      <c r="P445" s="35" t="e">
        <v>#N/A</v>
      </c>
      <c r="Q445" s="21"/>
      <c r="R445" s="21"/>
      <c r="S445" s="21"/>
      <c r="T445" s="21"/>
      <c r="U445" s="21"/>
      <c r="V445" s="21"/>
      <c r="W445" s="21"/>
      <c r="X445" s="21"/>
      <c r="Y445" s="21"/>
      <c r="Z445" s="21"/>
      <c r="AA445" s="21"/>
      <c r="AB445" s="21"/>
      <c r="AC445" s="20"/>
    </row>
    <row r="446" spans="1:29" x14ac:dyDescent="0.3">
      <c r="A446" s="18"/>
      <c r="B446" s="59" t="s">
        <v>256</v>
      </c>
      <c r="C446" s="59" t="s">
        <v>780</v>
      </c>
      <c r="D446" s="61">
        <v>1.25</v>
      </c>
      <c r="E446" s="61">
        <v>1.37</v>
      </c>
      <c r="F446" s="61">
        <v>1.41</v>
      </c>
      <c r="G446" s="61">
        <v>1.24</v>
      </c>
      <c r="H446" s="61">
        <v>1.36</v>
      </c>
      <c r="I446" s="61">
        <v>1.42</v>
      </c>
      <c r="J446" s="21"/>
      <c r="K446" s="3" t="e">
        <v>#N/A</v>
      </c>
      <c r="L446" s="5" t="e">
        <v>#N/A</v>
      </c>
      <c r="M446" s="35" t="e">
        <v>#N/A</v>
      </c>
      <c r="N446" s="35" t="e">
        <v>#N/A</v>
      </c>
      <c r="O446" s="35" t="e">
        <v>#N/A</v>
      </c>
      <c r="P446" s="35" t="e">
        <v>#N/A</v>
      </c>
      <c r="Q446" s="21"/>
      <c r="R446" s="21"/>
      <c r="S446" s="21"/>
      <c r="T446" s="21"/>
      <c r="U446" s="21"/>
      <c r="V446" s="21"/>
      <c r="W446" s="21"/>
      <c r="X446" s="21"/>
      <c r="Y446" s="21"/>
      <c r="Z446" s="21"/>
      <c r="AA446" s="21"/>
      <c r="AB446" s="21"/>
      <c r="AC446" s="20"/>
    </row>
    <row r="447" spans="1:29" x14ac:dyDescent="0.3">
      <c r="A447" s="18"/>
      <c r="B447" s="59" t="s">
        <v>256</v>
      </c>
      <c r="C447" s="59" t="s">
        <v>781</v>
      </c>
      <c r="D447" s="61">
        <v>1.27</v>
      </c>
      <c r="E447" s="61">
        <v>1.39</v>
      </c>
      <c r="F447" s="61">
        <v>1.43</v>
      </c>
      <c r="G447" s="61">
        <v>1.23</v>
      </c>
      <c r="H447" s="61">
        <v>1.28</v>
      </c>
      <c r="I447" s="61">
        <v>1.4</v>
      </c>
      <c r="J447" s="21"/>
      <c r="K447" s="3" t="e">
        <v>#N/A</v>
      </c>
      <c r="L447" s="5" t="e">
        <v>#N/A</v>
      </c>
      <c r="M447" s="35" t="e">
        <v>#N/A</v>
      </c>
      <c r="N447" s="35" t="e">
        <v>#N/A</v>
      </c>
      <c r="O447" s="35" t="e">
        <v>#N/A</v>
      </c>
      <c r="P447" s="35" t="e">
        <v>#N/A</v>
      </c>
      <c r="Q447" s="21"/>
      <c r="R447" s="21"/>
      <c r="S447" s="21"/>
      <c r="T447" s="21"/>
      <c r="U447" s="21"/>
      <c r="V447" s="21"/>
      <c r="W447" s="21"/>
      <c r="X447" s="21"/>
      <c r="Y447" s="21"/>
      <c r="Z447" s="21"/>
      <c r="AA447" s="21"/>
      <c r="AB447" s="21"/>
      <c r="AC447" s="20"/>
    </row>
    <row r="448" spans="1:29" x14ac:dyDescent="0.3">
      <c r="A448" s="18"/>
      <c r="B448" s="59" t="s">
        <v>107</v>
      </c>
      <c r="C448" s="59" t="s">
        <v>780</v>
      </c>
      <c r="D448" s="61">
        <v>0.75</v>
      </c>
      <c r="E448" s="61">
        <v>0.87</v>
      </c>
      <c r="F448" s="61">
        <v>0.91</v>
      </c>
      <c r="G448" s="61">
        <v>0.74</v>
      </c>
      <c r="H448" s="61">
        <v>0.86</v>
      </c>
      <c r="I448" s="61">
        <v>0.92</v>
      </c>
      <c r="J448" s="21"/>
      <c r="K448" s="3" t="e">
        <v>#N/A</v>
      </c>
      <c r="L448" s="5" t="e">
        <v>#N/A</v>
      </c>
      <c r="M448" s="35" t="e">
        <v>#N/A</v>
      </c>
      <c r="N448" s="35" t="e">
        <v>#N/A</v>
      </c>
      <c r="O448" s="35" t="e">
        <v>#N/A</v>
      </c>
      <c r="P448" s="35" t="e">
        <v>#N/A</v>
      </c>
      <c r="Q448" s="21"/>
      <c r="R448" s="21"/>
      <c r="S448" s="21"/>
      <c r="T448" s="21"/>
      <c r="U448" s="21"/>
      <c r="V448" s="21"/>
      <c r="W448" s="21"/>
      <c r="X448" s="21"/>
      <c r="Y448" s="21"/>
      <c r="Z448" s="21"/>
      <c r="AA448" s="21"/>
      <c r="AB448" s="21"/>
      <c r="AC448" s="20"/>
    </row>
    <row r="449" spans="1:29" x14ac:dyDescent="0.3">
      <c r="A449" s="18"/>
      <c r="B449" s="59" t="s">
        <v>107</v>
      </c>
      <c r="C449" s="59" t="s">
        <v>781</v>
      </c>
      <c r="D449" s="61">
        <v>0.77</v>
      </c>
      <c r="E449" s="61">
        <v>0.89</v>
      </c>
      <c r="F449" s="61">
        <v>0.93</v>
      </c>
      <c r="G449" s="61">
        <v>0.73</v>
      </c>
      <c r="H449" s="61">
        <v>0.78</v>
      </c>
      <c r="I449" s="61">
        <v>0.9</v>
      </c>
      <c r="J449" s="21"/>
      <c r="K449" s="3" t="e">
        <v>#N/A</v>
      </c>
      <c r="L449" s="5" t="e">
        <v>#N/A</v>
      </c>
      <c r="M449" s="35" t="e">
        <v>#N/A</v>
      </c>
      <c r="N449" s="35" t="e">
        <v>#N/A</v>
      </c>
      <c r="O449" s="35" t="e">
        <v>#N/A</v>
      </c>
      <c r="P449" s="35" t="e">
        <v>#N/A</v>
      </c>
      <c r="Q449" s="21"/>
      <c r="R449" s="21"/>
      <c r="S449" s="21"/>
      <c r="T449" s="21"/>
      <c r="U449" s="21"/>
      <c r="V449" s="21"/>
      <c r="W449" s="21"/>
      <c r="X449" s="21"/>
      <c r="Y449" s="21"/>
      <c r="Z449" s="21"/>
      <c r="AA449" s="21"/>
      <c r="AB449" s="21"/>
      <c r="AC449" s="20"/>
    </row>
    <row r="450" spans="1:29" x14ac:dyDescent="0.3">
      <c r="A450" s="18"/>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0"/>
    </row>
    <row r="451" spans="1:29" x14ac:dyDescent="0.3">
      <c r="A451" s="18"/>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0"/>
    </row>
    <row r="452" spans="1:29" x14ac:dyDescent="0.3">
      <c r="A452" s="18"/>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0"/>
    </row>
    <row r="453" spans="1:29" x14ac:dyDescent="0.3">
      <c r="A453" s="18"/>
      <c r="B453" s="21"/>
      <c r="C453" s="21"/>
      <c r="D453" s="475" t="s">
        <v>1015</v>
      </c>
      <c r="E453" s="475"/>
      <c r="F453" s="475"/>
      <c r="G453" s="475"/>
      <c r="H453" s="475"/>
      <c r="I453" s="475"/>
      <c r="J453" s="21"/>
      <c r="K453" s="492" t="s">
        <v>3398</v>
      </c>
      <c r="L453" s="529"/>
      <c r="M453" s="529"/>
      <c r="N453" s="529"/>
      <c r="O453" s="529"/>
      <c r="P453" s="493"/>
      <c r="Q453" s="21"/>
      <c r="R453" s="21"/>
      <c r="S453" s="21"/>
      <c r="T453" s="21"/>
      <c r="U453" s="21"/>
      <c r="V453" s="21"/>
      <c r="W453" s="492" t="s">
        <v>1060</v>
      </c>
      <c r="X453" s="493"/>
      <c r="Y453" s="21"/>
      <c r="Z453" s="492" t="s">
        <v>1062</v>
      </c>
      <c r="AA453" s="493"/>
      <c r="AB453" s="21"/>
      <c r="AC453" s="20"/>
    </row>
    <row r="454" spans="1:29" x14ac:dyDescent="0.3">
      <c r="A454" s="18"/>
      <c r="B454" s="21"/>
      <c r="C454" s="85" t="s">
        <v>101</v>
      </c>
      <c r="D454" s="196" t="s">
        <v>778</v>
      </c>
      <c r="E454" s="155" t="s">
        <v>778</v>
      </c>
      <c r="F454" s="155" t="s">
        <v>778</v>
      </c>
      <c r="G454" s="155" t="s">
        <v>779</v>
      </c>
      <c r="H454" s="155" t="s">
        <v>779</v>
      </c>
      <c r="I454" s="155" t="s">
        <v>779</v>
      </c>
      <c r="J454" s="21"/>
      <c r="K454" s="3" t="str">
        <f t="array" ref="K454:P461">_xll.U.GRID_FILTER(B454:I461,W455:X456,Z455:AA455)</f>
        <v/>
      </c>
      <c r="L454" s="154" t="str">
        <v>Broker</v>
      </c>
      <c r="M454" s="154" t="str">
        <v>HSBC</v>
      </c>
      <c r="N454" s="154" t="str">
        <v>HSBC</v>
      </c>
      <c r="O454" s="154" t="str">
        <v>HSBC</v>
      </c>
      <c r="P454" s="154" t="e">
        <v>#N/A</v>
      </c>
      <c r="Q454" s="21"/>
      <c r="R454" s="21"/>
      <c r="S454" s="21"/>
      <c r="T454" s="21"/>
      <c r="U454" s="21"/>
      <c r="V454" s="21"/>
      <c r="W454" s="9" t="s">
        <v>126</v>
      </c>
      <c r="X454" s="9" t="s">
        <v>17</v>
      </c>
      <c r="Y454" s="21"/>
      <c r="Z454" s="9" t="s">
        <v>1063</v>
      </c>
      <c r="AA454" s="9" t="s">
        <v>17</v>
      </c>
      <c r="AB454" s="21"/>
      <c r="AC454" s="20"/>
    </row>
    <row r="455" spans="1:29" x14ac:dyDescent="0.3">
      <c r="A455" s="18"/>
      <c r="B455" s="85" t="s">
        <v>2</v>
      </c>
      <c r="C455" s="85" t="s">
        <v>1018</v>
      </c>
      <c r="D455" s="196">
        <v>43101</v>
      </c>
      <c r="E455" s="155">
        <v>43160</v>
      </c>
      <c r="F455" s="155">
        <v>43252</v>
      </c>
      <c r="G455" s="155">
        <v>43101</v>
      </c>
      <c r="H455" s="155">
        <v>43160</v>
      </c>
      <c r="I455" s="155">
        <v>43252</v>
      </c>
      <c r="J455" s="21"/>
      <c r="K455" s="3" t="str">
        <v>Symbol</v>
      </c>
      <c r="L455" s="5" t="str">
        <v>Time | Date</v>
      </c>
      <c r="M455" s="206">
        <v>43101</v>
      </c>
      <c r="N455" s="206">
        <v>43160</v>
      </c>
      <c r="O455" s="206">
        <v>43252</v>
      </c>
      <c r="P455" s="206" t="e">
        <v>#N/A</v>
      </c>
      <c r="Q455" s="21"/>
      <c r="R455" s="21"/>
      <c r="S455" s="21"/>
      <c r="T455" s="21"/>
      <c r="U455" s="21"/>
      <c r="V455" s="21"/>
      <c r="W455" s="80" t="s">
        <v>2</v>
      </c>
      <c r="X455" s="79" t="s">
        <v>1061</v>
      </c>
      <c r="Y455" s="21"/>
      <c r="Z455" s="80">
        <v>1</v>
      </c>
      <c r="AA455" s="79" t="s">
        <v>779</v>
      </c>
      <c r="AB455" s="21"/>
      <c r="AC455" s="20"/>
    </row>
    <row r="456" spans="1:29" x14ac:dyDescent="0.3">
      <c r="A456" s="18"/>
      <c r="B456" s="197" t="s">
        <v>106</v>
      </c>
      <c r="C456" s="197" t="s">
        <v>780</v>
      </c>
      <c r="D456" s="61">
        <v>0.25</v>
      </c>
      <c r="E456" s="61">
        <v>0.37</v>
      </c>
      <c r="F456" s="61">
        <v>0.41</v>
      </c>
      <c r="G456" s="61">
        <v>0.24</v>
      </c>
      <c r="H456" s="61">
        <v>0.36</v>
      </c>
      <c r="I456" s="61">
        <v>0.42</v>
      </c>
      <c r="J456" s="21"/>
      <c r="K456" s="3" t="str">
        <v>AAPL</v>
      </c>
      <c r="L456" s="5" t="str">
        <v>early</v>
      </c>
      <c r="M456" s="35">
        <v>0.24</v>
      </c>
      <c r="N456" s="35">
        <v>0.36</v>
      </c>
      <c r="O456" s="35">
        <v>0.42</v>
      </c>
      <c r="P456" s="35" t="e">
        <v>#N/A</v>
      </c>
      <c r="Q456" s="21"/>
      <c r="R456" s="21"/>
      <c r="S456" s="21"/>
      <c r="T456" s="21"/>
      <c r="U456" s="21"/>
      <c r="V456" s="21"/>
      <c r="W456" s="80" t="s">
        <v>263</v>
      </c>
      <c r="X456" s="79" t="s">
        <v>1064</v>
      </c>
      <c r="Y456" s="21"/>
      <c r="Z456" s="21"/>
      <c r="AA456" s="21"/>
      <c r="AB456" s="21"/>
      <c r="AC456" s="20"/>
    </row>
    <row r="457" spans="1:29" x14ac:dyDescent="0.3">
      <c r="A457" s="18"/>
      <c r="B457" s="59" t="s">
        <v>106</v>
      </c>
      <c r="C457" s="59" t="s">
        <v>781</v>
      </c>
      <c r="D457" s="61">
        <v>0.27</v>
      </c>
      <c r="E457" s="61">
        <v>0.39</v>
      </c>
      <c r="F457" s="61">
        <v>0.43</v>
      </c>
      <c r="G457" s="61">
        <v>0.23</v>
      </c>
      <c r="H457" s="61">
        <v>0.28000000000000003</v>
      </c>
      <c r="I457" s="61">
        <v>0.4</v>
      </c>
      <c r="J457" s="21"/>
      <c r="K457" s="3" t="str">
        <v>IBM</v>
      </c>
      <c r="L457" s="5" t="str">
        <v>early</v>
      </c>
      <c r="M457" s="35">
        <v>0.74</v>
      </c>
      <c r="N457" s="35">
        <v>0.86</v>
      </c>
      <c r="O457" s="35">
        <v>0.92</v>
      </c>
      <c r="P457" s="35" t="e">
        <v>#N/A</v>
      </c>
      <c r="Q457" s="21"/>
      <c r="R457" s="21"/>
      <c r="S457" s="21"/>
      <c r="T457" s="21"/>
      <c r="U457" s="21"/>
      <c r="V457" s="21"/>
      <c r="W457" s="21"/>
      <c r="X457" s="21"/>
      <c r="Y457" s="21"/>
      <c r="Z457" s="21"/>
      <c r="AA457" s="21"/>
      <c r="AB457" s="21"/>
      <c r="AC457" s="20"/>
    </row>
    <row r="458" spans="1:29" x14ac:dyDescent="0.3">
      <c r="A458" s="18"/>
      <c r="B458" s="59" t="s">
        <v>256</v>
      </c>
      <c r="C458" s="59" t="s">
        <v>780</v>
      </c>
      <c r="D458" s="61">
        <v>1.25</v>
      </c>
      <c r="E458" s="61">
        <v>1.37</v>
      </c>
      <c r="F458" s="61">
        <v>1.41</v>
      </c>
      <c r="G458" s="61">
        <v>1.24</v>
      </c>
      <c r="H458" s="61">
        <v>1.36</v>
      </c>
      <c r="I458" s="61">
        <v>1.42</v>
      </c>
      <c r="J458" s="21"/>
      <c r="K458" s="3" t="e">
        <v>#N/A</v>
      </c>
      <c r="L458" s="5" t="e">
        <v>#N/A</v>
      </c>
      <c r="M458" s="35" t="e">
        <v>#N/A</v>
      </c>
      <c r="N458" s="35" t="e">
        <v>#N/A</v>
      </c>
      <c r="O458" s="35" t="e">
        <v>#N/A</v>
      </c>
      <c r="P458" s="35" t="e">
        <v>#N/A</v>
      </c>
      <c r="Q458" s="21"/>
      <c r="R458" s="21"/>
      <c r="S458" s="21"/>
      <c r="T458" s="21"/>
      <c r="U458" s="21"/>
      <c r="V458" s="21"/>
      <c r="W458" s="21"/>
      <c r="X458" s="21"/>
      <c r="Y458" s="21"/>
      <c r="Z458" s="21"/>
      <c r="AA458" s="21"/>
      <c r="AB458" s="21"/>
      <c r="AC458" s="20"/>
    </row>
    <row r="459" spans="1:29" x14ac:dyDescent="0.3">
      <c r="A459" s="18"/>
      <c r="B459" s="59" t="s">
        <v>256</v>
      </c>
      <c r="C459" s="59" t="s">
        <v>781</v>
      </c>
      <c r="D459" s="61">
        <v>1.27</v>
      </c>
      <c r="E459" s="61">
        <v>1.39</v>
      </c>
      <c r="F459" s="61">
        <v>1.43</v>
      </c>
      <c r="G459" s="61">
        <v>1.23</v>
      </c>
      <c r="H459" s="61">
        <v>1.28</v>
      </c>
      <c r="I459" s="61">
        <v>1.4</v>
      </c>
      <c r="J459" s="21"/>
      <c r="K459" s="3" t="e">
        <v>#N/A</v>
      </c>
      <c r="L459" s="5" t="e">
        <v>#N/A</v>
      </c>
      <c r="M459" s="35" t="e">
        <v>#N/A</v>
      </c>
      <c r="N459" s="35" t="e">
        <v>#N/A</v>
      </c>
      <c r="O459" s="35" t="e">
        <v>#N/A</v>
      </c>
      <c r="P459" s="35" t="e">
        <v>#N/A</v>
      </c>
      <c r="Q459" s="21"/>
      <c r="R459" s="21"/>
      <c r="S459" s="21"/>
      <c r="T459" s="21"/>
      <c r="U459" s="21"/>
      <c r="V459" s="21"/>
      <c r="W459" s="21"/>
      <c r="X459" s="21"/>
      <c r="Y459" s="21"/>
      <c r="Z459" s="21"/>
      <c r="AA459" s="21"/>
      <c r="AB459" s="21"/>
      <c r="AC459" s="20"/>
    </row>
    <row r="460" spans="1:29" x14ac:dyDescent="0.3">
      <c r="A460" s="18"/>
      <c r="B460" s="59" t="s">
        <v>107</v>
      </c>
      <c r="C460" s="59" t="s">
        <v>780</v>
      </c>
      <c r="D460" s="61">
        <v>0.75</v>
      </c>
      <c r="E460" s="61">
        <v>0.87</v>
      </c>
      <c r="F460" s="61">
        <v>0.91</v>
      </c>
      <c r="G460" s="61">
        <v>0.74</v>
      </c>
      <c r="H460" s="61">
        <v>0.86</v>
      </c>
      <c r="I460" s="61">
        <v>0.92</v>
      </c>
      <c r="J460" s="21"/>
      <c r="K460" s="3" t="e">
        <v>#N/A</v>
      </c>
      <c r="L460" s="5" t="e">
        <v>#N/A</v>
      </c>
      <c r="M460" s="35" t="e">
        <v>#N/A</v>
      </c>
      <c r="N460" s="35" t="e">
        <v>#N/A</v>
      </c>
      <c r="O460" s="35" t="e">
        <v>#N/A</v>
      </c>
      <c r="P460" s="35" t="e">
        <v>#N/A</v>
      </c>
      <c r="Q460" s="21"/>
      <c r="R460" s="21"/>
      <c r="S460" s="21"/>
      <c r="T460" s="21"/>
      <c r="U460" s="21"/>
      <c r="V460" s="21"/>
      <c r="W460" s="21"/>
      <c r="X460" s="21"/>
      <c r="Y460" s="21"/>
      <c r="Z460" s="21"/>
      <c r="AA460" s="21"/>
      <c r="AB460" s="21"/>
      <c r="AC460" s="20"/>
    </row>
    <row r="461" spans="1:29" x14ac:dyDescent="0.3">
      <c r="A461" s="18"/>
      <c r="B461" s="59" t="s">
        <v>107</v>
      </c>
      <c r="C461" s="59" t="s">
        <v>781</v>
      </c>
      <c r="D461" s="61">
        <v>0.77</v>
      </c>
      <c r="E461" s="61">
        <v>0.89</v>
      </c>
      <c r="F461" s="61">
        <v>0.93</v>
      </c>
      <c r="G461" s="61">
        <v>0.73</v>
      </c>
      <c r="H461" s="61">
        <v>0.78</v>
      </c>
      <c r="I461" s="61">
        <v>0.9</v>
      </c>
      <c r="J461" s="21"/>
      <c r="K461" s="3" t="e">
        <v>#N/A</v>
      </c>
      <c r="L461" s="5" t="e">
        <v>#N/A</v>
      </c>
      <c r="M461" s="35" t="e">
        <v>#N/A</v>
      </c>
      <c r="N461" s="35" t="e">
        <v>#N/A</v>
      </c>
      <c r="O461" s="35" t="e">
        <v>#N/A</v>
      </c>
      <c r="P461" s="35" t="e">
        <v>#N/A</v>
      </c>
      <c r="Q461" s="21"/>
      <c r="R461" s="21"/>
      <c r="S461" s="21"/>
      <c r="T461" s="21"/>
      <c r="U461" s="21"/>
      <c r="V461" s="21"/>
      <c r="W461" s="21"/>
      <c r="X461" s="21"/>
      <c r="Y461" s="21"/>
      <c r="Z461" s="21"/>
      <c r="AA461" s="21"/>
      <c r="AB461" s="21"/>
      <c r="AC461" s="20"/>
    </row>
    <row r="462" spans="1:29" x14ac:dyDescent="0.3">
      <c r="A462" s="18"/>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0"/>
    </row>
    <row r="463" spans="1:29" x14ac:dyDescent="0.3">
      <c r="A463" s="18"/>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0"/>
    </row>
    <row r="464" spans="1:29" x14ac:dyDescent="0.3">
      <c r="A464" s="18"/>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0"/>
    </row>
    <row r="465" spans="1:29" x14ac:dyDescent="0.3">
      <c r="A465" s="18"/>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0"/>
    </row>
    <row r="466" spans="1:29" ht="15" thickBot="1" x14ac:dyDescent="0.35">
      <c r="A466" s="22"/>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4"/>
    </row>
  </sheetData>
  <mergeCells count="138">
    <mergeCell ref="AA397:AB397"/>
    <mergeCell ref="L16:S16"/>
    <mergeCell ref="V16:W16"/>
    <mergeCell ref="L57:S57"/>
    <mergeCell ref="V57:W57"/>
    <mergeCell ref="L26:S26"/>
    <mergeCell ref="V26:W26"/>
    <mergeCell ref="L36:S36"/>
    <mergeCell ref="V36:W36"/>
    <mergeCell ref="L117:S117"/>
    <mergeCell ref="L238:S238"/>
    <mergeCell ref="V238:W238"/>
    <mergeCell ref="L247:S247"/>
    <mergeCell ref="V247:W247"/>
    <mergeCell ref="L256:S256"/>
    <mergeCell ref="V256:W256"/>
    <mergeCell ref="L46:S46"/>
    <mergeCell ref="V46:W46"/>
    <mergeCell ref="AN40:AN42"/>
    <mergeCell ref="AE46:AF48"/>
    <mergeCell ref="AE43:AF45"/>
    <mergeCell ref="AG43:AM45"/>
    <mergeCell ref="AN43:AN45"/>
    <mergeCell ref="V117:W117"/>
    <mergeCell ref="L89:S89"/>
    <mergeCell ref="L77:S77"/>
    <mergeCell ref="V89:X89"/>
    <mergeCell ref="V100:X100"/>
    <mergeCell ref="L100:S100"/>
    <mergeCell ref="AN55:AN57"/>
    <mergeCell ref="AG46:AM48"/>
    <mergeCell ref="AN46:AN48"/>
    <mergeCell ref="AE49:AF51"/>
    <mergeCell ref="AG49:AM51"/>
    <mergeCell ref="AN49:AN51"/>
    <mergeCell ref="AN52:AN54"/>
    <mergeCell ref="AG55:AM57"/>
    <mergeCell ref="AE55:AF57"/>
    <mergeCell ref="L68:S68"/>
    <mergeCell ref="V68:W68"/>
    <mergeCell ref="AE36:AF36"/>
    <mergeCell ref="AG36:AM36"/>
    <mergeCell ref="AE37:AF39"/>
    <mergeCell ref="AG37:AM39"/>
    <mergeCell ref="AE8:AF10"/>
    <mergeCell ref="AG8:AM10"/>
    <mergeCell ref="AE11:AF13"/>
    <mergeCell ref="AG11:AM13"/>
    <mergeCell ref="AE40:AF42"/>
    <mergeCell ref="AG40:AM42"/>
    <mergeCell ref="AN8:AN10"/>
    <mergeCell ref="AE32:AN32"/>
    <mergeCell ref="AE33:AF35"/>
    <mergeCell ref="AG33:AN35"/>
    <mergeCell ref="AE26:AF28"/>
    <mergeCell ref="AG26:AM28"/>
    <mergeCell ref="AN26:AN28"/>
    <mergeCell ref="AN37:AN39"/>
    <mergeCell ref="A3:AA3"/>
    <mergeCell ref="B6:I6"/>
    <mergeCell ref="AE3:AN3"/>
    <mergeCell ref="AE4:AF6"/>
    <mergeCell ref="AG4:AN6"/>
    <mergeCell ref="V6:W6"/>
    <mergeCell ref="L6:S6"/>
    <mergeCell ref="AE23:AF25"/>
    <mergeCell ref="AG23:AM25"/>
    <mergeCell ref="AN23:AN25"/>
    <mergeCell ref="AG17:AM19"/>
    <mergeCell ref="AN17:AN19"/>
    <mergeCell ref="AE20:AF22"/>
    <mergeCell ref="AG20:AM22"/>
    <mergeCell ref="AN20:AN22"/>
    <mergeCell ref="AE17:AF19"/>
    <mergeCell ref="AN11:AN13"/>
    <mergeCell ref="AE14:AF16"/>
    <mergeCell ref="AG14:AM16"/>
    <mergeCell ref="AN14:AN16"/>
    <mergeCell ref="AE7:AF7"/>
    <mergeCell ref="AG7:AM7"/>
    <mergeCell ref="Z441:AA441"/>
    <mergeCell ref="K441:P441"/>
    <mergeCell ref="D441:I441"/>
    <mergeCell ref="L172:S172"/>
    <mergeCell ref="V172:X172"/>
    <mergeCell ref="K376:P376"/>
    <mergeCell ref="V304:W304"/>
    <mergeCell ref="L182:S182"/>
    <mergeCell ref="V182:X182"/>
    <mergeCell ref="AE52:AF54"/>
    <mergeCell ref="AG52:AM54"/>
    <mergeCell ref="L162:S162"/>
    <mergeCell ref="V162:X162"/>
    <mergeCell ref="L340:O340"/>
    <mergeCell ref="L285:S285"/>
    <mergeCell ref="V285:W285"/>
    <mergeCell ref="V127:W127"/>
    <mergeCell ref="B68:I68"/>
    <mergeCell ref="Z453:AA453"/>
    <mergeCell ref="L204:S204"/>
    <mergeCell ref="V204:X204"/>
    <mergeCell ref="W426:X426"/>
    <mergeCell ref="C425:G425"/>
    <mergeCell ref="C355:H355"/>
    <mergeCell ref="K355:P355"/>
    <mergeCell ref="W441:X441"/>
    <mergeCell ref="K397:P397"/>
    <mergeCell ref="C406:G406"/>
    <mergeCell ref="K406:P406"/>
    <mergeCell ref="K388:P388"/>
    <mergeCell ref="K425:P425"/>
    <mergeCell ref="A328:AA328"/>
    <mergeCell ref="B331:B338"/>
    <mergeCell ref="Y204:Z204"/>
    <mergeCell ref="B214:I214"/>
    <mergeCell ref="L214:S214"/>
    <mergeCell ref="L222:S222"/>
    <mergeCell ref="A352:AA352"/>
    <mergeCell ref="V340:W340"/>
    <mergeCell ref="V312:W312"/>
    <mergeCell ref="K312:S312"/>
    <mergeCell ref="L265:S265"/>
    <mergeCell ref="V77:X77"/>
    <mergeCell ref="L144:S144"/>
    <mergeCell ref="V144:W144"/>
    <mergeCell ref="L152:S152"/>
    <mergeCell ref="L127:S127"/>
    <mergeCell ref="W397:Y397"/>
    <mergeCell ref="D453:I453"/>
    <mergeCell ref="K453:P453"/>
    <mergeCell ref="W453:X453"/>
    <mergeCell ref="L192:S192"/>
    <mergeCell ref="V192:W192"/>
    <mergeCell ref="V265:W265"/>
    <mergeCell ref="L274:S274"/>
    <mergeCell ref="V274:W274"/>
    <mergeCell ref="K414:P414"/>
    <mergeCell ref="W388:X388"/>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I401"/>
  <sheetViews>
    <sheetView zoomScaleNormal="100" workbookViewId="0">
      <pane ySplit="1" topLeftCell="A2" activePane="bottomLeft" state="frozen"/>
      <selection activeCell="C33" sqref="C33"/>
      <selection pane="bottomLeft" activeCell="A2" sqref="A2"/>
    </sheetView>
  </sheetViews>
  <sheetFormatPr defaultColWidth="9.21875" defaultRowHeight="14.4" x14ac:dyDescent="0.3"/>
  <cols>
    <col min="2" max="2" width="28.21875" customWidth="1"/>
    <col min="3" max="3" width="19.5546875" customWidth="1"/>
    <col min="4" max="4" width="11.5546875" bestFit="1" customWidth="1"/>
    <col min="5" max="5" width="10.44140625" customWidth="1"/>
    <col min="6" max="6" width="11.21875" customWidth="1"/>
    <col min="7" max="7" width="11.5546875" customWidth="1"/>
    <col min="8" max="8" width="36.77734375" bestFit="1" customWidth="1"/>
    <col min="9" max="9" width="13.5546875" bestFit="1" customWidth="1"/>
    <col min="10" max="10" width="20.77734375" customWidth="1"/>
    <col min="11" max="11" width="21.21875" bestFit="1" customWidth="1"/>
    <col min="12" max="12" width="11" customWidth="1"/>
    <col min="13" max="13" width="20.5546875" bestFit="1" customWidth="1"/>
    <col min="14" max="14" width="15.21875" customWidth="1"/>
    <col min="15" max="15" width="17.77734375" bestFit="1" customWidth="1"/>
    <col min="16" max="17" width="14.21875" customWidth="1"/>
    <col min="18" max="18" width="10.5546875" customWidth="1"/>
    <col min="19" max="19" width="11.21875" customWidth="1"/>
    <col min="20" max="20" width="12.21875" bestFit="1" customWidth="1"/>
    <col min="21" max="21" width="13.21875" customWidth="1"/>
    <col min="23" max="24" width="10.77734375" customWidth="1"/>
    <col min="25" max="31" width="13.77734375" customWidth="1"/>
    <col min="33" max="35" width="9.77734375" bestFit="1" customWidth="1"/>
  </cols>
  <sheetData>
    <row r="1" spans="1:32" ht="34.5" customHeight="1" thickBot="1" x14ac:dyDescent="0.35">
      <c r="A1" s="292" t="s">
        <v>1580</v>
      </c>
      <c r="B1" s="473" t="e" vm="1">
        <v>#VALUE!</v>
      </c>
      <c r="C1" s="8" t="s">
        <v>252</v>
      </c>
      <c r="D1" s="27"/>
      <c r="E1" s="26"/>
      <c r="F1" s="26"/>
      <c r="G1" s="26"/>
      <c r="H1" s="16"/>
      <c r="I1" s="16"/>
      <c r="J1" s="16"/>
      <c r="K1" s="16"/>
      <c r="L1" s="16"/>
      <c r="M1" s="16"/>
      <c r="O1" s="16"/>
      <c r="P1" s="16"/>
      <c r="Q1" s="16"/>
      <c r="R1" s="16"/>
      <c r="S1" s="16"/>
      <c r="T1" s="16"/>
      <c r="U1" s="19"/>
    </row>
    <row r="2" spans="1:32" ht="15" customHeight="1" x14ac:dyDescent="0.3">
      <c r="A2" s="18"/>
      <c r="B2" s="25"/>
      <c r="C2" s="25"/>
      <c r="D2" s="21"/>
      <c r="E2" s="21"/>
      <c r="F2" s="21"/>
      <c r="G2" s="21"/>
      <c r="H2" s="21"/>
      <c r="I2" s="21"/>
      <c r="J2" s="21"/>
      <c r="K2" s="21"/>
      <c r="L2" s="21"/>
      <c r="M2" s="21"/>
      <c r="N2" s="21"/>
      <c r="O2" s="21"/>
      <c r="P2" s="21"/>
      <c r="Q2" s="21"/>
      <c r="R2" s="21"/>
      <c r="S2" s="21"/>
      <c r="T2" s="21"/>
      <c r="U2" s="20"/>
    </row>
    <row r="3" spans="1:32" ht="15" customHeight="1" x14ac:dyDescent="0.3">
      <c r="A3" s="490" t="s">
        <v>253</v>
      </c>
      <c r="B3" s="491"/>
      <c r="C3" s="491"/>
      <c r="D3" s="491"/>
      <c r="E3" s="491"/>
      <c r="F3" s="491"/>
      <c r="G3" s="491"/>
      <c r="H3" s="491"/>
      <c r="I3" s="491"/>
      <c r="J3" s="491"/>
      <c r="K3" s="491"/>
      <c r="L3" s="491"/>
      <c r="M3" s="491"/>
      <c r="N3" s="491"/>
      <c r="O3" s="491"/>
      <c r="P3" s="491"/>
      <c r="Q3" s="491"/>
      <c r="R3" s="491"/>
      <c r="S3" s="491"/>
      <c r="T3" s="21"/>
      <c r="U3" s="20"/>
      <c r="W3" s="486" t="s">
        <v>3400</v>
      </c>
      <c r="X3" s="486"/>
      <c r="Y3" s="486"/>
      <c r="Z3" s="486"/>
      <c r="AA3" s="486"/>
      <c r="AB3" s="486"/>
      <c r="AC3" s="486"/>
      <c r="AD3" s="486"/>
      <c r="AE3" s="486"/>
      <c r="AF3" s="486"/>
    </row>
    <row r="4" spans="1:32" ht="15" customHeight="1" x14ac:dyDescent="0.3">
      <c r="A4" s="18"/>
      <c r="B4" s="21"/>
      <c r="C4" s="21"/>
      <c r="D4" s="26"/>
      <c r="E4" s="26"/>
      <c r="F4" s="26"/>
      <c r="G4" s="26"/>
      <c r="H4" s="21"/>
      <c r="I4" s="21"/>
      <c r="J4" s="21"/>
      <c r="K4" s="21"/>
      <c r="L4" s="21"/>
      <c r="M4" s="21"/>
      <c r="N4" s="21"/>
      <c r="O4" s="21"/>
      <c r="P4" s="21"/>
      <c r="Q4" s="21"/>
      <c r="R4" s="21"/>
      <c r="S4" s="21"/>
      <c r="T4" s="21"/>
      <c r="U4" s="20"/>
      <c r="W4" s="487" t="s">
        <v>333</v>
      </c>
      <c r="X4" s="487"/>
      <c r="Y4" s="539" t="s">
        <v>461</v>
      </c>
      <c r="Z4" s="540"/>
      <c r="AA4" s="540"/>
      <c r="AB4" s="540"/>
      <c r="AC4" s="540"/>
      <c r="AD4" s="540"/>
      <c r="AE4" s="540"/>
      <c r="AF4" s="541"/>
    </row>
    <row r="5" spans="1:32" ht="15" customHeight="1" x14ac:dyDescent="0.3">
      <c r="A5" s="18"/>
      <c r="B5" s="21"/>
      <c r="C5" s="21"/>
      <c r="D5" s="26"/>
      <c r="E5" s="26"/>
      <c r="F5" s="26"/>
      <c r="G5" s="26"/>
      <c r="H5" s="21"/>
      <c r="I5" s="21"/>
      <c r="J5" s="21"/>
      <c r="K5" s="21"/>
      <c r="L5" s="21"/>
      <c r="M5" s="21"/>
      <c r="N5" s="21"/>
      <c r="O5" s="21"/>
      <c r="P5" s="21"/>
      <c r="Q5" s="21"/>
      <c r="R5" s="21"/>
      <c r="S5" s="21"/>
      <c r="T5" s="21"/>
      <c r="U5" s="20"/>
      <c r="W5" s="487"/>
      <c r="X5" s="487"/>
      <c r="Y5" s="542"/>
      <c r="Z5" s="543"/>
      <c r="AA5" s="543"/>
      <c r="AB5" s="543"/>
      <c r="AC5" s="543"/>
      <c r="AD5" s="543"/>
      <c r="AE5" s="543"/>
      <c r="AF5" s="544"/>
    </row>
    <row r="6" spans="1:32" ht="15" customHeight="1" x14ac:dyDescent="0.3">
      <c r="A6" s="18"/>
      <c r="B6" s="492" t="s">
        <v>259</v>
      </c>
      <c r="C6" s="529"/>
      <c r="D6" s="529"/>
      <c r="E6" s="493"/>
      <c r="F6" s="21"/>
      <c r="G6" s="26"/>
      <c r="H6" s="492" t="s">
        <v>265</v>
      </c>
      <c r="I6" s="493"/>
      <c r="J6" s="492" t="s">
        <v>3401</v>
      </c>
      <c r="K6" s="493"/>
      <c r="L6" s="21"/>
      <c r="M6" s="21"/>
      <c r="N6" s="21"/>
      <c r="O6" s="21"/>
      <c r="P6" s="21"/>
      <c r="Q6" s="21"/>
      <c r="S6" s="21"/>
      <c r="T6" s="21"/>
      <c r="U6" s="20"/>
      <c r="W6" s="487"/>
      <c r="X6" s="487"/>
      <c r="Y6" s="545"/>
      <c r="Z6" s="546"/>
      <c r="AA6" s="546"/>
      <c r="AB6" s="546"/>
      <c r="AC6" s="546"/>
      <c r="AD6" s="546"/>
      <c r="AE6" s="546"/>
      <c r="AF6" s="547"/>
    </row>
    <row r="7" spans="1:32" x14ac:dyDescent="0.3">
      <c r="A7" s="18"/>
      <c r="B7" s="59" t="s">
        <v>2</v>
      </c>
      <c r="C7" s="60" t="s">
        <v>255</v>
      </c>
      <c r="D7" s="60" t="s">
        <v>8</v>
      </c>
      <c r="E7" s="60" t="s">
        <v>7</v>
      </c>
      <c r="F7" s="21"/>
      <c r="G7" s="21"/>
      <c r="H7" s="85" t="s">
        <v>255</v>
      </c>
      <c r="I7" s="85" t="s">
        <v>2</v>
      </c>
      <c r="J7" s="3" t="str">
        <f t="array" ref="J7:K12">_xll.U.VLOOKUP(H7:I12,B7:E12)</f>
        <v>Delta</v>
      </c>
      <c r="K7" s="3" t="str">
        <v>Last Price</v>
      </c>
      <c r="L7" s="21"/>
      <c r="M7" s="21"/>
      <c r="N7" s="21"/>
      <c r="O7" s="21"/>
      <c r="P7" s="21"/>
      <c r="Q7" s="21"/>
      <c r="R7" s="21"/>
      <c r="S7" s="21"/>
      <c r="T7" s="21"/>
      <c r="U7" s="20"/>
      <c r="W7" s="483" t="s">
        <v>323</v>
      </c>
      <c r="X7" s="483"/>
      <c r="Y7" s="513" t="s">
        <v>1</v>
      </c>
      <c r="Z7" s="514"/>
      <c r="AA7" s="514"/>
      <c r="AB7" s="514"/>
      <c r="AC7" s="514"/>
      <c r="AD7" s="514"/>
      <c r="AE7" s="515"/>
      <c r="AF7" s="85" t="s">
        <v>324</v>
      </c>
    </row>
    <row r="8" spans="1:32" ht="15" customHeight="1" x14ac:dyDescent="0.3">
      <c r="A8" s="18"/>
      <c r="B8" s="42" t="s">
        <v>107</v>
      </c>
      <c r="C8" s="42" t="s">
        <v>257</v>
      </c>
      <c r="D8" s="44">
        <v>-3000</v>
      </c>
      <c r="E8" s="61">
        <v>159.37</v>
      </c>
      <c r="F8" s="21"/>
      <c r="G8" s="21"/>
      <c r="H8" s="47" t="s">
        <v>257</v>
      </c>
      <c r="I8" s="47" t="s">
        <v>106</v>
      </c>
      <c r="J8" s="36">
        <v>100</v>
      </c>
      <c r="K8" s="35">
        <v>141.97</v>
      </c>
      <c r="L8" s="21"/>
      <c r="M8" s="21"/>
      <c r="N8" s="21"/>
      <c r="O8" s="21"/>
      <c r="P8" s="21"/>
      <c r="Q8" s="21"/>
      <c r="R8" s="21"/>
      <c r="S8" s="21"/>
      <c r="T8" s="21"/>
      <c r="U8" s="20"/>
      <c r="W8" s="487" t="s">
        <v>462</v>
      </c>
      <c r="X8" s="487"/>
      <c r="Y8" s="539" t="s">
        <v>1730</v>
      </c>
      <c r="Z8" s="540"/>
      <c r="AA8" s="540"/>
      <c r="AB8" s="540"/>
      <c r="AC8" s="540"/>
      <c r="AD8" s="540"/>
      <c r="AE8" s="541"/>
      <c r="AF8" s="548" t="s">
        <v>325</v>
      </c>
    </row>
    <row r="9" spans="1:32" x14ac:dyDescent="0.3">
      <c r="A9" s="18"/>
      <c r="B9" s="42" t="s">
        <v>106</v>
      </c>
      <c r="C9" s="42" t="s">
        <v>258</v>
      </c>
      <c r="D9" s="44">
        <v>1500</v>
      </c>
      <c r="E9" s="61">
        <v>141.97</v>
      </c>
      <c r="F9" s="21"/>
      <c r="G9" s="21"/>
      <c r="H9" s="47" t="s">
        <v>257</v>
      </c>
      <c r="I9" s="47" t="s">
        <v>107</v>
      </c>
      <c r="J9" s="36">
        <v>-3000</v>
      </c>
      <c r="K9" s="35">
        <v>159.37</v>
      </c>
      <c r="L9" s="21"/>
      <c r="M9" s="21"/>
      <c r="N9" s="21"/>
      <c r="O9" s="21"/>
      <c r="P9" s="21"/>
      <c r="Q9" s="21"/>
      <c r="R9" s="21"/>
      <c r="S9" s="21"/>
      <c r="T9" s="21"/>
      <c r="U9" s="20"/>
      <c r="W9" s="487"/>
      <c r="X9" s="487"/>
      <c r="Y9" s="542"/>
      <c r="Z9" s="543"/>
      <c r="AA9" s="543"/>
      <c r="AB9" s="543"/>
      <c r="AC9" s="543"/>
      <c r="AD9" s="543"/>
      <c r="AE9" s="544"/>
      <c r="AF9" s="549"/>
    </row>
    <row r="10" spans="1:32" x14ac:dyDescent="0.3">
      <c r="A10" s="18"/>
      <c r="B10" s="42" t="s">
        <v>106</v>
      </c>
      <c r="C10" s="42" t="s">
        <v>257</v>
      </c>
      <c r="D10" s="44">
        <v>100</v>
      </c>
      <c r="E10" s="61">
        <v>141.97</v>
      </c>
      <c r="F10" s="21"/>
      <c r="G10" s="21"/>
      <c r="H10" s="47" t="s">
        <v>257</v>
      </c>
      <c r="I10" s="47" t="s">
        <v>256</v>
      </c>
      <c r="J10" s="36">
        <v>600</v>
      </c>
      <c r="K10" s="35">
        <v>65.14</v>
      </c>
      <c r="L10" s="21"/>
      <c r="M10" s="21"/>
      <c r="N10" s="21"/>
      <c r="O10" s="21"/>
      <c r="P10" s="21"/>
      <c r="Q10" s="21"/>
      <c r="R10" s="21"/>
      <c r="S10" s="21"/>
      <c r="T10" s="21"/>
      <c r="U10" s="20"/>
      <c r="W10" s="487"/>
      <c r="X10" s="487"/>
      <c r="Y10" s="545"/>
      <c r="Z10" s="546"/>
      <c r="AA10" s="546"/>
      <c r="AB10" s="546"/>
      <c r="AC10" s="546"/>
      <c r="AD10" s="546"/>
      <c r="AE10" s="547"/>
      <c r="AF10" s="550"/>
    </row>
    <row r="11" spans="1:32" ht="15" customHeight="1" x14ac:dyDescent="0.3">
      <c r="A11" s="18"/>
      <c r="B11" s="42" t="s">
        <v>256</v>
      </c>
      <c r="C11" s="42" t="s">
        <v>257</v>
      </c>
      <c r="D11" s="44">
        <v>600</v>
      </c>
      <c r="E11" s="61">
        <v>65.14</v>
      </c>
      <c r="F11" s="21"/>
      <c r="G11" s="21"/>
      <c r="H11" s="47" t="s">
        <v>258</v>
      </c>
      <c r="I11" s="47" t="s">
        <v>106</v>
      </c>
      <c r="J11" s="36">
        <v>1500</v>
      </c>
      <c r="K11" s="35">
        <v>141.97</v>
      </c>
      <c r="L11" s="21"/>
      <c r="M11" s="21"/>
      <c r="N11" s="21"/>
      <c r="O11" s="21"/>
      <c r="P11" s="21"/>
      <c r="Q11" s="21"/>
      <c r="R11" s="21"/>
      <c r="S11" s="21"/>
      <c r="T11" s="21"/>
      <c r="U11" s="20"/>
      <c r="W11" s="487" t="s">
        <v>463</v>
      </c>
      <c r="X11" s="487"/>
      <c r="Y11" s="539" t="s">
        <v>2964</v>
      </c>
      <c r="Z11" s="540"/>
      <c r="AA11" s="540"/>
      <c r="AB11" s="540"/>
      <c r="AC11" s="540"/>
      <c r="AD11" s="540"/>
      <c r="AE11" s="541"/>
      <c r="AF11" s="548" t="s">
        <v>325</v>
      </c>
    </row>
    <row r="12" spans="1:32" x14ac:dyDescent="0.3">
      <c r="A12" s="18"/>
      <c r="B12" s="42" t="s">
        <v>107</v>
      </c>
      <c r="C12" s="42" t="s">
        <v>258</v>
      </c>
      <c r="D12" s="44">
        <v>100</v>
      </c>
      <c r="E12" s="61">
        <v>159.37</v>
      </c>
      <c r="F12" s="21"/>
      <c r="G12" s="21"/>
      <c r="H12" s="47" t="s">
        <v>258</v>
      </c>
      <c r="I12" s="47" t="s">
        <v>107</v>
      </c>
      <c r="J12" s="36">
        <v>100</v>
      </c>
      <c r="K12" s="35">
        <v>159.37</v>
      </c>
      <c r="L12" s="21"/>
      <c r="M12" s="21"/>
      <c r="N12" s="21"/>
      <c r="O12" s="21"/>
      <c r="P12" s="21"/>
      <c r="Q12" s="21"/>
      <c r="R12" s="21"/>
      <c r="S12" s="21"/>
      <c r="T12" s="21"/>
      <c r="U12" s="20"/>
      <c r="W12" s="487"/>
      <c r="X12" s="487"/>
      <c r="Y12" s="542"/>
      <c r="Z12" s="543"/>
      <c r="AA12" s="543"/>
      <c r="AB12" s="543"/>
      <c r="AC12" s="543"/>
      <c r="AD12" s="543"/>
      <c r="AE12" s="544"/>
      <c r="AF12" s="549"/>
    </row>
    <row r="13" spans="1:32" x14ac:dyDescent="0.3">
      <c r="A13" s="18"/>
      <c r="B13" s="26"/>
      <c r="C13" s="26"/>
      <c r="D13" s="26"/>
      <c r="E13" s="26"/>
      <c r="F13" s="21"/>
      <c r="G13" s="21"/>
      <c r="H13" s="26"/>
      <c r="I13" s="26"/>
      <c r="J13" s="26"/>
      <c r="K13" s="26"/>
      <c r="L13" s="21"/>
      <c r="M13" s="21"/>
      <c r="N13" s="21"/>
      <c r="O13" s="21"/>
      <c r="P13" s="21"/>
      <c r="Q13" s="21"/>
      <c r="R13" s="21"/>
      <c r="S13" s="21"/>
      <c r="T13" s="21"/>
      <c r="U13" s="20"/>
      <c r="W13" s="487"/>
      <c r="X13" s="487"/>
      <c r="Y13" s="545"/>
      <c r="Z13" s="546"/>
      <c r="AA13" s="546"/>
      <c r="AB13" s="546"/>
      <c r="AC13" s="546"/>
      <c r="AD13" s="546"/>
      <c r="AE13" s="547"/>
      <c r="AF13" s="550"/>
    </row>
    <row r="14" spans="1:32" ht="15" customHeight="1" x14ac:dyDescent="0.3">
      <c r="A14" s="18"/>
      <c r="B14" s="21"/>
      <c r="C14" s="21"/>
      <c r="D14" s="21"/>
      <c r="E14" s="21"/>
      <c r="F14" s="21"/>
      <c r="G14" s="21"/>
      <c r="H14" s="21"/>
      <c r="I14" s="21"/>
      <c r="J14" s="21"/>
      <c r="K14" s="21"/>
      <c r="L14" s="21"/>
      <c r="M14" s="21"/>
      <c r="N14" s="21"/>
      <c r="O14" s="21"/>
      <c r="P14" s="21"/>
      <c r="Q14" s="21"/>
      <c r="R14" s="21"/>
      <c r="S14" s="21"/>
      <c r="T14" s="21"/>
      <c r="U14" s="20"/>
      <c r="W14" s="484" t="s">
        <v>464</v>
      </c>
      <c r="X14" s="484"/>
      <c r="Y14" s="496" t="s">
        <v>469</v>
      </c>
      <c r="Z14" s="502"/>
      <c r="AA14" s="502"/>
      <c r="AB14" s="502"/>
      <c r="AC14" s="502"/>
      <c r="AD14" s="502"/>
      <c r="AE14" s="497"/>
      <c r="AF14" s="505" t="s">
        <v>326</v>
      </c>
    </row>
    <row r="15" spans="1:32" x14ac:dyDescent="0.3">
      <c r="A15" s="18"/>
      <c r="B15" s="21"/>
      <c r="C15" s="21"/>
      <c r="D15" s="21"/>
      <c r="E15" s="21"/>
      <c r="F15" s="21"/>
      <c r="G15" s="21"/>
      <c r="H15" s="67"/>
      <c r="I15" s="67"/>
      <c r="J15" s="67"/>
      <c r="K15" s="67"/>
      <c r="L15" s="67"/>
      <c r="M15" s="67"/>
      <c r="N15" s="67"/>
      <c r="O15" s="67"/>
      <c r="P15" s="67"/>
      <c r="Q15" s="67"/>
      <c r="R15" s="67"/>
      <c r="S15" s="67"/>
      <c r="T15" s="21"/>
      <c r="U15" s="20"/>
      <c r="W15" s="484"/>
      <c r="X15" s="484"/>
      <c r="Y15" s="498"/>
      <c r="Z15" s="503"/>
      <c r="AA15" s="503"/>
      <c r="AB15" s="503"/>
      <c r="AC15" s="503"/>
      <c r="AD15" s="503"/>
      <c r="AE15" s="499"/>
      <c r="AF15" s="506"/>
    </row>
    <row r="16" spans="1:32" x14ac:dyDescent="0.3">
      <c r="A16" s="18"/>
      <c r="B16" s="21"/>
      <c r="C16" s="21"/>
      <c r="D16" s="21"/>
      <c r="E16" s="21"/>
      <c r="F16" s="21"/>
      <c r="G16" s="21"/>
      <c r="H16" s="21"/>
      <c r="I16" s="21"/>
      <c r="J16" s="21"/>
      <c r="K16" s="21"/>
      <c r="L16" s="21"/>
      <c r="M16" s="21"/>
      <c r="N16" s="21"/>
      <c r="O16" s="21"/>
      <c r="P16" s="21"/>
      <c r="Q16" s="21"/>
      <c r="R16" s="21"/>
      <c r="S16" s="21"/>
      <c r="T16" s="21"/>
      <c r="U16" s="20"/>
      <c r="W16" s="484"/>
      <c r="X16" s="484"/>
      <c r="Y16" s="500"/>
      <c r="Z16" s="504"/>
      <c r="AA16" s="504"/>
      <c r="AB16" s="504"/>
      <c r="AC16" s="504"/>
      <c r="AD16" s="504"/>
      <c r="AE16" s="501"/>
      <c r="AF16" s="507"/>
    </row>
    <row r="17" spans="1:32" ht="15" customHeight="1" x14ac:dyDescent="0.3">
      <c r="A17" s="18"/>
      <c r="B17" s="21"/>
      <c r="C17" s="21"/>
      <c r="D17" s="21"/>
      <c r="E17" s="21"/>
      <c r="F17" s="21"/>
      <c r="G17" s="21"/>
      <c r="H17" s="492" t="s">
        <v>265</v>
      </c>
      <c r="I17" s="493"/>
      <c r="J17" s="492" t="s">
        <v>3401</v>
      </c>
      <c r="K17" s="493"/>
      <c r="L17" s="21"/>
      <c r="M17" s="21"/>
      <c r="N17" s="21"/>
      <c r="O17" s="21"/>
      <c r="P17" s="21"/>
      <c r="Q17" s="21"/>
      <c r="R17" s="21"/>
      <c r="S17" s="21"/>
      <c r="T17" s="21"/>
      <c r="U17" s="20"/>
      <c r="W17" s="484" t="s">
        <v>465</v>
      </c>
      <c r="X17" s="484"/>
      <c r="Y17" s="496" t="s">
        <v>1817</v>
      </c>
      <c r="Z17" s="502"/>
      <c r="AA17" s="502"/>
      <c r="AB17" s="502"/>
      <c r="AC17" s="502"/>
      <c r="AD17" s="502"/>
      <c r="AE17" s="497"/>
      <c r="AF17" s="505" t="s">
        <v>326</v>
      </c>
    </row>
    <row r="18" spans="1:32" x14ac:dyDescent="0.3">
      <c r="A18" s="18"/>
      <c r="B18" s="21"/>
      <c r="C18" s="21"/>
      <c r="D18" s="21"/>
      <c r="E18" s="21"/>
      <c r="F18" s="21"/>
      <c r="G18" s="21"/>
      <c r="H18" s="85" t="s">
        <v>255</v>
      </c>
      <c r="I18" s="85" t="s">
        <v>2</v>
      </c>
      <c r="J18" s="3" t="s">
        <v>7</v>
      </c>
      <c r="K18" s="3" t="s">
        <v>8</v>
      </c>
      <c r="L18" s="21"/>
      <c r="M18" s="21"/>
      <c r="N18" s="21"/>
      <c r="O18" s="21"/>
      <c r="P18" s="21"/>
      <c r="Q18" s="21"/>
      <c r="R18" s="21"/>
      <c r="S18" s="21"/>
      <c r="T18" s="21"/>
      <c r="U18" s="20"/>
      <c r="W18" s="484"/>
      <c r="X18" s="484"/>
      <c r="Y18" s="498"/>
      <c r="Z18" s="503"/>
      <c r="AA18" s="503"/>
      <c r="AB18" s="503"/>
      <c r="AC18" s="503"/>
      <c r="AD18" s="503"/>
      <c r="AE18" s="499"/>
      <c r="AF18" s="506"/>
    </row>
    <row r="19" spans="1:32" x14ac:dyDescent="0.3">
      <c r="A19" s="18"/>
      <c r="B19" s="21"/>
      <c r="C19" s="21"/>
      <c r="D19" s="21"/>
      <c r="E19" s="21"/>
      <c r="F19" s="21"/>
      <c r="G19" s="21"/>
      <c r="H19" s="47" t="s">
        <v>257</v>
      </c>
      <c r="I19" s="47" t="s">
        <v>106</v>
      </c>
      <c r="J19" s="35">
        <f t="array" ref="J19:K23">_xll.U.VLOOKUP(H18:I23,B7:E12,,J18:K18,TRUE)</f>
        <v>141.97</v>
      </c>
      <c r="K19" s="36">
        <v>100</v>
      </c>
      <c r="L19" s="21"/>
      <c r="M19" s="21"/>
      <c r="N19" s="21"/>
      <c r="O19" s="21"/>
      <c r="P19" s="21"/>
      <c r="Q19" s="21"/>
      <c r="R19" s="21"/>
      <c r="S19" s="21"/>
      <c r="T19" s="21"/>
      <c r="U19" s="20"/>
      <c r="W19" s="484"/>
      <c r="X19" s="484"/>
      <c r="Y19" s="500"/>
      <c r="Z19" s="504"/>
      <c r="AA19" s="504"/>
      <c r="AB19" s="504"/>
      <c r="AC19" s="504"/>
      <c r="AD19" s="504"/>
      <c r="AE19" s="501"/>
      <c r="AF19" s="507"/>
    </row>
    <row r="20" spans="1:32" ht="15" customHeight="1" x14ac:dyDescent="0.3">
      <c r="A20" s="18"/>
      <c r="B20" s="21"/>
      <c r="C20" s="21"/>
      <c r="D20" s="21"/>
      <c r="E20" s="21"/>
      <c r="F20" s="21"/>
      <c r="G20" s="21"/>
      <c r="H20" s="47" t="s">
        <v>257</v>
      </c>
      <c r="I20" s="47" t="s">
        <v>107</v>
      </c>
      <c r="J20" s="35">
        <v>159.37</v>
      </c>
      <c r="K20" s="36">
        <v>-3000</v>
      </c>
      <c r="L20" s="21"/>
      <c r="M20" s="21"/>
      <c r="N20" s="21"/>
      <c r="O20" s="21"/>
      <c r="P20" s="21"/>
      <c r="Q20" s="21"/>
      <c r="R20" s="21"/>
      <c r="S20" s="21"/>
      <c r="T20" s="21"/>
      <c r="U20" s="20"/>
      <c r="W20" s="484" t="s">
        <v>466</v>
      </c>
      <c r="X20" s="484"/>
      <c r="Y20" s="496" t="s">
        <v>470</v>
      </c>
      <c r="Z20" s="502"/>
      <c r="AA20" s="502"/>
      <c r="AB20" s="502"/>
      <c r="AC20" s="502"/>
      <c r="AD20" s="502"/>
      <c r="AE20" s="497"/>
      <c r="AF20" s="505" t="s">
        <v>326</v>
      </c>
    </row>
    <row r="21" spans="1:32" x14ac:dyDescent="0.3">
      <c r="A21" s="18"/>
      <c r="B21" s="21"/>
      <c r="C21" s="21"/>
      <c r="D21" s="21"/>
      <c r="E21" s="21"/>
      <c r="F21" s="21"/>
      <c r="G21" s="21"/>
      <c r="H21" s="47" t="s">
        <v>257</v>
      </c>
      <c r="I21" s="47" t="s">
        <v>256</v>
      </c>
      <c r="J21" s="35">
        <v>65.14</v>
      </c>
      <c r="K21" s="36">
        <v>600</v>
      </c>
      <c r="L21" s="21"/>
      <c r="M21" s="21"/>
      <c r="N21" s="21"/>
      <c r="O21" s="21"/>
      <c r="P21" s="21"/>
      <c r="Q21" s="21"/>
      <c r="R21" s="21"/>
      <c r="S21" s="21"/>
      <c r="T21" s="21"/>
      <c r="U21" s="20"/>
      <c r="W21" s="484"/>
      <c r="X21" s="484"/>
      <c r="Y21" s="498"/>
      <c r="Z21" s="503"/>
      <c r="AA21" s="503"/>
      <c r="AB21" s="503"/>
      <c r="AC21" s="503"/>
      <c r="AD21" s="503"/>
      <c r="AE21" s="499"/>
      <c r="AF21" s="506"/>
    </row>
    <row r="22" spans="1:32" x14ac:dyDescent="0.3">
      <c r="A22" s="18"/>
      <c r="B22" s="21"/>
      <c r="C22" s="21"/>
      <c r="D22" s="21"/>
      <c r="E22" s="21"/>
      <c r="F22" s="21"/>
      <c r="G22" s="21"/>
      <c r="H22" s="47" t="s">
        <v>258</v>
      </c>
      <c r="I22" s="47" t="s">
        <v>106</v>
      </c>
      <c r="J22" s="35">
        <v>141.97</v>
      </c>
      <c r="K22" s="36">
        <v>1500</v>
      </c>
      <c r="L22" s="21"/>
      <c r="M22" s="21"/>
      <c r="N22" s="21"/>
      <c r="O22" s="21"/>
      <c r="P22" s="21"/>
      <c r="Q22" s="21"/>
      <c r="R22" s="21"/>
      <c r="S22" s="21"/>
      <c r="T22" s="21"/>
      <c r="U22" s="20"/>
      <c r="W22" s="484"/>
      <c r="X22" s="484"/>
      <c r="Y22" s="500"/>
      <c r="Z22" s="504"/>
      <c r="AA22" s="504"/>
      <c r="AB22" s="504"/>
      <c r="AC22" s="504"/>
      <c r="AD22" s="504"/>
      <c r="AE22" s="501"/>
      <c r="AF22" s="507"/>
    </row>
    <row r="23" spans="1:32" ht="15" customHeight="1" x14ac:dyDescent="0.3">
      <c r="A23" s="18"/>
      <c r="B23" s="21"/>
      <c r="C23" s="21"/>
      <c r="D23" s="21"/>
      <c r="E23" s="21"/>
      <c r="F23" s="21"/>
      <c r="G23" s="21"/>
      <c r="H23" s="47" t="s">
        <v>258</v>
      </c>
      <c r="I23" s="47" t="s">
        <v>107</v>
      </c>
      <c r="J23" s="35">
        <v>159.37</v>
      </c>
      <c r="K23" s="36">
        <v>100</v>
      </c>
      <c r="L23" s="21"/>
      <c r="M23" s="21"/>
      <c r="N23" s="21"/>
      <c r="O23" s="21"/>
      <c r="P23" s="21"/>
      <c r="Q23" s="21"/>
      <c r="R23" s="21"/>
      <c r="S23" s="21"/>
      <c r="T23" s="21"/>
      <c r="U23" s="20"/>
      <c r="W23" s="484" t="s">
        <v>467</v>
      </c>
      <c r="X23" s="484"/>
      <c r="Y23" s="496" t="s">
        <v>471</v>
      </c>
      <c r="Z23" s="502"/>
      <c r="AA23" s="502"/>
      <c r="AB23" s="502"/>
      <c r="AC23" s="502"/>
      <c r="AD23" s="502"/>
      <c r="AE23" s="497"/>
      <c r="AF23" s="505" t="s">
        <v>326</v>
      </c>
    </row>
    <row r="24" spans="1:32" x14ac:dyDescent="0.3">
      <c r="A24" s="18"/>
      <c r="B24" s="21"/>
      <c r="C24" s="21"/>
      <c r="D24" s="21"/>
      <c r="E24" s="21"/>
      <c r="F24" s="21"/>
      <c r="G24" s="21"/>
      <c r="H24" s="21"/>
      <c r="I24" s="21"/>
      <c r="J24" s="21"/>
      <c r="K24" s="21"/>
      <c r="L24" s="21"/>
      <c r="M24" s="21"/>
      <c r="N24" s="21"/>
      <c r="O24" s="21"/>
      <c r="P24" s="21"/>
      <c r="Q24" s="21"/>
      <c r="R24" s="21"/>
      <c r="S24" s="21"/>
      <c r="T24" s="21"/>
      <c r="U24" s="20"/>
      <c r="W24" s="484"/>
      <c r="X24" s="484"/>
      <c r="Y24" s="498"/>
      <c r="Z24" s="503"/>
      <c r="AA24" s="503"/>
      <c r="AB24" s="503"/>
      <c r="AC24" s="503"/>
      <c r="AD24" s="503"/>
      <c r="AE24" s="499"/>
      <c r="AF24" s="506"/>
    </row>
    <row r="25" spans="1:32" x14ac:dyDescent="0.3">
      <c r="A25" s="18"/>
      <c r="B25" s="21"/>
      <c r="C25" s="21"/>
      <c r="D25" s="21"/>
      <c r="E25" s="21"/>
      <c r="F25" s="21"/>
      <c r="G25" s="21"/>
      <c r="H25" s="21"/>
      <c r="I25" s="21"/>
      <c r="J25" s="21"/>
      <c r="K25" s="21"/>
      <c r="L25" s="21"/>
      <c r="M25" s="21"/>
      <c r="N25" s="21"/>
      <c r="O25" s="21"/>
      <c r="P25" s="21"/>
      <c r="Q25" s="21"/>
      <c r="R25" s="21"/>
      <c r="S25" s="21"/>
      <c r="T25" s="21"/>
      <c r="U25" s="20"/>
      <c r="W25" s="484"/>
      <c r="X25" s="484"/>
      <c r="Y25" s="500"/>
      <c r="Z25" s="504"/>
      <c r="AA25" s="504"/>
      <c r="AB25" s="504"/>
      <c r="AC25" s="504"/>
      <c r="AD25" s="504"/>
      <c r="AE25" s="501"/>
      <c r="AF25" s="507"/>
    </row>
    <row r="26" spans="1:32" ht="15" customHeight="1" x14ac:dyDescent="0.3">
      <c r="A26" s="18"/>
      <c r="B26" s="21"/>
      <c r="C26" s="21"/>
      <c r="D26" s="21"/>
      <c r="E26" s="21"/>
      <c r="F26" s="21"/>
      <c r="G26" s="21"/>
      <c r="H26" s="492" t="s">
        <v>265</v>
      </c>
      <c r="I26" s="493"/>
      <c r="J26" s="475" t="s">
        <v>3401</v>
      </c>
      <c r="K26" s="475"/>
      <c r="L26" s="475"/>
      <c r="M26" s="475"/>
      <c r="N26" s="21"/>
      <c r="O26" s="21"/>
      <c r="P26" s="21"/>
      <c r="Q26" s="21"/>
      <c r="R26" s="21"/>
      <c r="S26" s="21"/>
      <c r="T26" s="21"/>
      <c r="U26" s="20"/>
      <c r="W26" s="484" t="s">
        <v>468</v>
      </c>
      <c r="X26" s="484"/>
      <c r="Y26" s="496" t="s">
        <v>3912</v>
      </c>
      <c r="Z26" s="502"/>
      <c r="AA26" s="502"/>
      <c r="AB26" s="502"/>
      <c r="AC26" s="502"/>
      <c r="AD26" s="502"/>
      <c r="AE26" s="497"/>
      <c r="AF26" s="505" t="s">
        <v>326</v>
      </c>
    </row>
    <row r="27" spans="1:32" x14ac:dyDescent="0.3">
      <c r="A27" s="18"/>
      <c r="B27" s="21"/>
      <c r="C27" s="21"/>
      <c r="D27" s="21"/>
      <c r="E27" s="21"/>
      <c r="F27" s="21"/>
      <c r="G27" s="21"/>
      <c r="H27" s="85" t="s">
        <v>255</v>
      </c>
      <c r="I27" s="85" t="s">
        <v>2</v>
      </c>
      <c r="J27" s="3" t="str">
        <f t="array" ref="J27:M32">_xll.U.VLOOKUP(H27:I32,B7:E12,,TRUE)</f>
        <v>Symbol</v>
      </c>
      <c r="K27" s="3" t="str">
        <v>Strategy</v>
      </c>
      <c r="L27" s="3" t="str">
        <v>Delta</v>
      </c>
      <c r="M27" s="3" t="str">
        <v>Last Price</v>
      </c>
      <c r="N27" s="21"/>
      <c r="O27" s="21"/>
      <c r="P27" s="21"/>
      <c r="Q27" s="21"/>
      <c r="R27" s="21"/>
      <c r="S27" s="21"/>
      <c r="T27" s="21"/>
      <c r="U27" s="20"/>
      <c r="W27" s="484"/>
      <c r="X27" s="484"/>
      <c r="Y27" s="498"/>
      <c r="Z27" s="503"/>
      <c r="AA27" s="503"/>
      <c r="AB27" s="503"/>
      <c r="AC27" s="503"/>
      <c r="AD27" s="503"/>
      <c r="AE27" s="499"/>
      <c r="AF27" s="506"/>
    </row>
    <row r="28" spans="1:32" x14ac:dyDescent="0.3">
      <c r="A28" s="18"/>
      <c r="B28" s="21"/>
      <c r="C28" s="21"/>
      <c r="D28" s="21"/>
      <c r="E28" s="21"/>
      <c r="F28" s="21"/>
      <c r="G28" s="21"/>
      <c r="H28" s="47" t="s">
        <v>257</v>
      </c>
      <c r="I28" s="47" t="s">
        <v>106</v>
      </c>
      <c r="J28" s="35" t="str">
        <v>AAPL</v>
      </c>
      <c r="K28" s="36" t="str">
        <v>STRATEGY_A</v>
      </c>
      <c r="L28" s="36">
        <v>100</v>
      </c>
      <c r="M28" s="35">
        <v>141.97</v>
      </c>
      <c r="N28" s="21"/>
      <c r="O28" s="21"/>
      <c r="P28" s="21"/>
      <c r="Q28" s="21"/>
      <c r="R28" s="21"/>
      <c r="S28" s="21"/>
      <c r="T28" s="21"/>
      <c r="U28" s="20"/>
      <c r="W28" s="484"/>
      <c r="X28" s="484"/>
      <c r="Y28" s="500"/>
      <c r="Z28" s="504"/>
      <c r="AA28" s="504"/>
      <c r="AB28" s="504"/>
      <c r="AC28" s="504"/>
      <c r="AD28" s="504"/>
      <c r="AE28" s="501"/>
      <c r="AF28" s="507"/>
    </row>
    <row r="29" spans="1:32" x14ac:dyDescent="0.3">
      <c r="A29" s="18"/>
      <c r="B29" s="21"/>
      <c r="C29" s="21"/>
      <c r="D29" s="21"/>
      <c r="E29" s="21"/>
      <c r="F29" s="21"/>
      <c r="G29" s="21"/>
      <c r="H29" s="47" t="s">
        <v>257</v>
      </c>
      <c r="I29" s="47" t="s">
        <v>107</v>
      </c>
      <c r="J29" s="35" t="str">
        <v>IBM</v>
      </c>
      <c r="K29" s="36" t="str">
        <v>STRATEGY_A</v>
      </c>
      <c r="L29" s="36">
        <v>-3000</v>
      </c>
      <c r="M29" s="35">
        <v>159.37</v>
      </c>
      <c r="N29" s="21"/>
      <c r="O29" s="21"/>
      <c r="P29" s="21"/>
      <c r="Q29" s="21"/>
      <c r="R29" s="21"/>
      <c r="S29" s="21"/>
      <c r="T29" s="21"/>
      <c r="U29" s="20"/>
      <c r="W29" s="484" t="s">
        <v>2066</v>
      </c>
      <c r="X29" s="484"/>
      <c r="Y29" s="496" t="s">
        <v>3076</v>
      </c>
      <c r="Z29" s="502"/>
      <c r="AA29" s="502"/>
      <c r="AB29" s="502"/>
      <c r="AC29" s="502"/>
      <c r="AD29" s="502"/>
      <c r="AE29" s="497"/>
      <c r="AF29" s="505" t="s">
        <v>326</v>
      </c>
    </row>
    <row r="30" spans="1:32" x14ac:dyDescent="0.3">
      <c r="A30" s="18"/>
      <c r="B30" s="21"/>
      <c r="C30" s="21"/>
      <c r="D30" s="21"/>
      <c r="E30" s="21"/>
      <c r="F30" s="21"/>
      <c r="G30" s="21"/>
      <c r="H30" s="47" t="s">
        <v>257</v>
      </c>
      <c r="I30" s="47" t="s">
        <v>256</v>
      </c>
      <c r="J30" s="35" t="str">
        <v>MSFT</v>
      </c>
      <c r="K30" s="36" t="str">
        <v>STRATEGY_A</v>
      </c>
      <c r="L30" s="36">
        <v>600</v>
      </c>
      <c r="M30" s="35">
        <v>65.14</v>
      </c>
      <c r="N30" s="21"/>
      <c r="O30" s="21"/>
      <c r="P30" s="21"/>
      <c r="Q30" s="21"/>
      <c r="R30" s="21"/>
      <c r="S30" s="21"/>
      <c r="T30" s="21"/>
      <c r="U30" s="20"/>
      <c r="W30" s="484"/>
      <c r="X30" s="484"/>
      <c r="Y30" s="498"/>
      <c r="Z30" s="503"/>
      <c r="AA30" s="503"/>
      <c r="AB30" s="503"/>
      <c r="AC30" s="503"/>
      <c r="AD30" s="503"/>
      <c r="AE30" s="499"/>
      <c r="AF30" s="506"/>
    </row>
    <row r="31" spans="1:32" x14ac:dyDescent="0.3">
      <c r="A31" s="18"/>
      <c r="B31" s="21"/>
      <c r="C31" s="21"/>
      <c r="D31" s="21"/>
      <c r="E31" s="21"/>
      <c r="F31" s="21"/>
      <c r="G31" s="21"/>
      <c r="H31" s="47" t="s">
        <v>258</v>
      </c>
      <c r="I31" s="47" t="s">
        <v>106</v>
      </c>
      <c r="J31" s="35" t="str">
        <v>AAPL</v>
      </c>
      <c r="K31" s="36" t="str">
        <v>STRATEGY_B</v>
      </c>
      <c r="L31" s="36">
        <v>1500</v>
      </c>
      <c r="M31" s="35">
        <v>141.97</v>
      </c>
      <c r="N31" s="21"/>
      <c r="O31" s="21"/>
      <c r="P31" s="21"/>
      <c r="Q31" s="21"/>
      <c r="R31" s="21"/>
      <c r="S31" s="21"/>
      <c r="T31" s="21"/>
      <c r="U31" s="20"/>
      <c r="W31" s="484"/>
      <c r="X31" s="484"/>
      <c r="Y31" s="500"/>
      <c r="Z31" s="504"/>
      <c r="AA31" s="504"/>
      <c r="AB31" s="504"/>
      <c r="AC31" s="504"/>
      <c r="AD31" s="504"/>
      <c r="AE31" s="501"/>
      <c r="AF31" s="507"/>
    </row>
    <row r="32" spans="1:32" x14ac:dyDescent="0.3">
      <c r="A32" s="18"/>
      <c r="B32" s="21"/>
      <c r="C32" s="21"/>
      <c r="D32" s="21"/>
      <c r="E32" s="21"/>
      <c r="F32" s="21"/>
      <c r="G32" s="21"/>
      <c r="H32" s="47" t="s">
        <v>258</v>
      </c>
      <c r="I32" s="47" t="s">
        <v>107</v>
      </c>
      <c r="J32" s="35" t="str">
        <v>IBM</v>
      </c>
      <c r="K32" s="36" t="str">
        <v>STRATEGY_B</v>
      </c>
      <c r="L32" s="36">
        <v>100</v>
      </c>
      <c r="M32" s="35">
        <v>159.37</v>
      </c>
      <c r="N32" s="21"/>
      <c r="O32" s="21"/>
      <c r="P32" s="21"/>
      <c r="Q32" s="21"/>
      <c r="R32" s="21"/>
      <c r="S32" s="21"/>
      <c r="T32" s="21"/>
      <c r="U32" s="20"/>
      <c r="W32" s="126" t="s">
        <v>328</v>
      </c>
    </row>
    <row r="33" spans="1:32" ht="15" customHeight="1" x14ac:dyDescent="0.3">
      <c r="A33" s="18"/>
      <c r="B33" s="21"/>
      <c r="C33" s="21"/>
      <c r="D33" s="21"/>
      <c r="E33" s="21"/>
      <c r="F33" s="21"/>
      <c r="G33" s="21"/>
      <c r="H33" s="21"/>
      <c r="I33" s="21"/>
      <c r="J33" s="21"/>
      <c r="K33" s="21"/>
      <c r="L33" s="21"/>
      <c r="M33" s="21"/>
      <c r="N33" s="21"/>
      <c r="O33" s="21"/>
      <c r="P33" s="21"/>
      <c r="Q33" s="21"/>
      <c r="R33" s="21"/>
      <c r="S33" s="21"/>
      <c r="T33" s="21"/>
      <c r="U33" s="20"/>
    </row>
    <row r="34" spans="1:32" x14ac:dyDescent="0.3">
      <c r="A34" s="18"/>
      <c r="B34" s="21"/>
      <c r="C34" s="21"/>
      <c r="D34" s="21"/>
      <c r="E34" s="21"/>
      <c r="F34" s="21"/>
      <c r="G34" s="21"/>
      <c r="H34" s="21"/>
      <c r="I34" s="21"/>
      <c r="J34" s="21"/>
      <c r="K34" s="21"/>
      <c r="L34" s="21"/>
      <c r="M34" s="21"/>
      <c r="N34" s="21"/>
      <c r="O34" s="21"/>
      <c r="P34" s="21"/>
      <c r="Q34" s="21"/>
      <c r="R34" s="21"/>
      <c r="S34" s="21"/>
      <c r="T34" s="21"/>
      <c r="U34" s="20"/>
    </row>
    <row r="35" spans="1:32" x14ac:dyDescent="0.3">
      <c r="A35" s="18"/>
      <c r="B35" s="21"/>
      <c r="C35" s="21"/>
      <c r="D35" s="21"/>
      <c r="E35" s="21"/>
      <c r="F35" s="21"/>
      <c r="G35" s="21"/>
      <c r="H35" s="492" t="s">
        <v>265</v>
      </c>
      <c r="I35" s="493"/>
      <c r="J35" s="492" t="s">
        <v>3401</v>
      </c>
      <c r="K35" s="529"/>
      <c r="L35" s="529"/>
      <c r="M35" s="493"/>
      <c r="N35" s="21"/>
      <c r="O35" s="492" t="s">
        <v>984</v>
      </c>
      <c r="P35" s="493"/>
      <c r="Q35" s="21"/>
      <c r="R35" s="21"/>
      <c r="S35" s="21"/>
      <c r="T35" s="21"/>
      <c r="U35" s="20"/>
      <c r="W35" s="486" t="s">
        <v>3402</v>
      </c>
      <c r="X35" s="486"/>
      <c r="Y35" s="486"/>
      <c r="Z35" s="486"/>
      <c r="AA35" s="486"/>
      <c r="AB35" s="486"/>
      <c r="AC35" s="486"/>
      <c r="AD35" s="486"/>
      <c r="AE35" s="486"/>
      <c r="AF35" s="486"/>
    </row>
    <row r="36" spans="1:32" x14ac:dyDescent="0.3">
      <c r="A36" s="18"/>
      <c r="B36" s="21"/>
      <c r="C36" s="21"/>
      <c r="D36" s="21"/>
      <c r="E36" s="21"/>
      <c r="F36" s="21"/>
      <c r="G36" s="21"/>
      <c r="H36" s="47" t="s">
        <v>257</v>
      </c>
      <c r="I36" s="47" t="s">
        <v>106</v>
      </c>
      <c r="J36" s="35" t="str">
        <f t="array" ref="J36:M40">_xll.U.VLOOKUP(H36:I40,B7:E12,O37:P38,TRUE)</f>
        <v>AAPL</v>
      </c>
      <c r="K36" s="36" t="str">
        <v>STRATEGY_A</v>
      </c>
      <c r="L36" s="36">
        <v>100</v>
      </c>
      <c r="M36" s="35">
        <v>141.97</v>
      </c>
      <c r="N36" s="21"/>
      <c r="O36" s="9" t="s">
        <v>126</v>
      </c>
      <c r="P36" s="9" t="s">
        <v>264</v>
      </c>
      <c r="Q36" s="21"/>
      <c r="R36" s="21"/>
      <c r="S36" s="21"/>
      <c r="T36" s="21"/>
      <c r="U36" s="20"/>
      <c r="W36" s="487" t="s">
        <v>333</v>
      </c>
      <c r="X36" s="487"/>
      <c r="Y36" s="539" t="s">
        <v>643</v>
      </c>
      <c r="Z36" s="540"/>
      <c r="AA36" s="540"/>
      <c r="AB36" s="540"/>
      <c r="AC36" s="540"/>
      <c r="AD36" s="540"/>
      <c r="AE36" s="540"/>
      <c r="AF36" s="541"/>
    </row>
    <row r="37" spans="1:32" ht="15" customHeight="1" x14ac:dyDescent="0.3">
      <c r="A37" s="18"/>
      <c r="B37" s="21"/>
      <c r="C37" s="21"/>
      <c r="D37" s="21"/>
      <c r="E37" s="21"/>
      <c r="F37" s="21"/>
      <c r="G37" s="21"/>
      <c r="H37" s="47" t="s">
        <v>257</v>
      </c>
      <c r="I37" s="47" t="s">
        <v>107</v>
      </c>
      <c r="J37" s="35" t="str">
        <v>IBM</v>
      </c>
      <c r="K37" s="36" t="str">
        <v>STRATEGY_A</v>
      </c>
      <c r="L37" s="36">
        <v>-3000</v>
      </c>
      <c r="M37" s="35">
        <v>159.37</v>
      </c>
      <c r="N37" s="21"/>
      <c r="O37" s="79" t="s">
        <v>255</v>
      </c>
      <c r="P37" s="79">
        <v>0</v>
      </c>
      <c r="Q37" s="21"/>
      <c r="R37" s="21"/>
      <c r="S37" s="21"/>
      <c r="T37" s="21"/>
      <c r="U37" s="20"/>
      <c r="W37" s="487"/>
      <c r="X37" s="487"/>
      <c r="Y37" s="542"/>
      <c r="Z37" s="543"/>
      <c r="AA37" s="543"/>
      <c r="AB37" s="543"/>
      <c r="AC37" s="543"/>
      <c r="AD37" s="543"/>
      <c r="AE37" s="543"/>
      <c r="AF37" s="544"/>
    </row>
    <row r="38" spans="1:32" x14ac:dyDescent="0.3">
      <c r="A38" s="18"/>
      <c r="B38" s="21"/>
      <c r="C38" s="21"/>
      <c r="D38" s="21"/>
      <c r="E38" s="21"/>
      <c r="F38" s="21"/>
      <c r="G38" s="21"/>
      <c r="H38" s="47" t="s">
        <v>257</v>
      </c>
      <c r="I38" s="47" t="s">
        <v>256</v>
      </c>
      <c r="J38" s="35" t="str">
        <v>MSFT</v>
      </c>
      <c r="K38" s="36" t="str">
        <v>STRATEGY_A</v>
      </c>
      <c r="L38" s="36">
        <v>600</v>
      </c>
      <c r="M38" s="35">
        <v>65.14</v>
      </c>
      <c r="N38" s="21"/>
      <c r="O38" s="79" t="s">
        <v>2</v>
      </c>
      <c r="P38" s="79" t="s">
        <v>2507</v>
      </c>
      <c r="Q38" s="21"/>
      <c r="R38" s="21"/>
      <c r="S38" s="21"/>
      <c r="T38" s="21"/>
      <c r="U38" s="20"/>
      <c r="W38" s="487"/>
      <c r="X38" s="487"/>
      <c r="Y38" s="545"/>
      <c r="Z38" s="546"/>
      <c r="AA38" s="546"/>
      <c r="AB38" s="546"/>
      <c r="AC38" s="546"/>
      <c r="AD38" s="546"/>
      <c r="AE38" s="546"/>
      <c r="AF38" s="547"/>
    </row>
    <row r="39" spans="1:32" x14ac:dyDescent="0.3">
      <c r="A39" s="18"/>
      <c r="B39" s="21"/>
      <c r="C39" s="21"/>
      <c r="D39" s="21"/>
      <c r="E39" s="21"/>
      <c r="F39" s="21"/>
      <c r="G39" s="21"/>
      <c r="H39" s="47" t="s">
        <v>258</v>
      </c>
      <c r="I39" s="47" t="s">
        <v>106</v>
      </c>
      <c r="J39" s="35" t="str">
        <v>AAPL</v>
      </c>
      <c r="K39" s="36" t="str">
        <v>STRATEGY_B</v>
      </c>
      <c r="L39" s="36">
        <v>1500</v>
      </c>
      <c r="M39" s="35">
        <v>141.97</v>
      </c>
      <c r="N39" s="21"/>
      <c r="O39" s="21"/>
      <c r="P39" s="21"/>
      <c r="Q39" s="21"/>
      <c r="R39" s="21"/>
      <c r="S39" s="21"/>
      <c r="T39" s="21"/>
      <c r="U39" s="20"/>
      <c r="W39" s="483" t="s">
        <v>323</v>
      </c>
      <c r="X39" s="483"/>
      <c r="Y39" s="513" t="s">
        <v>1</v>
      </c>
      <c r="Z39" s="514"/>
      <c r="AA39" s="514"/>
      <c r="AB39" s="514"/>
      <c r="AC39" s="514"/>
      <c r="AD39" s="514"/>
      <c r="AE39" s="515"/>
      <c r="AF39" s="85" t="s">
        <v>324</v>
      </c>
    </row>
    <row r="40" spans="1:32" ht="15" customHeight="1" x14ac:dyDescent="0.3">
      <c r="A40" s="18"/>
      <c r="B40" s="21"/>
      <c r="C40" s="21"/>
      <c r="D40" s="21"/>
      <c r="E40" s="21"/>
      <c r="F40" s="21"/>
      <c r="G40" s="21"/>
      <c r="H40" s="47" t="s">
        <v>258</v>
      </c>
      <c r="I40" s="47" t="s">
        <v>107</v>
      </c>
      <c r="J40" s="35" t="str">
        <v>IBM</v>
      </c>
      <c r="K40" s="36" t="str">
        <v>STRATEGY_B</v>
      </c>
      <c r="L40" s="36">
        <v>100</v>
      </c>
      <c r="M40" s="35">
        <v>159.37</v>
      </c>
      <c r="N40" s="21"/>
      <c r="O40" s="21"/>
      <c r="P40" s="21"/>
      <c r="Q40" s="21"/>
      <c r="R40" s="21"/>
      <c r="S40" s="21"/>
      <c r="T40" s="21"/>
      <c r="U40" s="20"/>
      <c r="W40" s="487" t="s">
        <v>640</v>
      </c>
      <c r="X40" s="487"/>
      <c r="Y40" s="539" t="s">
        <v>3697</v>
      </c>
      <c r="Z40" s="540"/>
      <c r="AA40" s="540"/>
      <c r="AB40" s="540"/>
      <c r="AC40" s="540"/>
      <c r="AD40" s="540"/>
      <c r="AE40" s="541"/>
      <c r="AF40" s="548" t="s">
        <v>325</v>
      </c>
    </row>
    <row r="41" spans="1:32" x14ac:dyDescent="0.3">
      <c r="A41" s="18"/>
      <c r="B41" s="21"/>
      <c r="C41" s="21"/>
      <c r="D41" s="21"/>
      <c r="E41" s="21"/>
      <c r="F41" s="21"/>
      <c r="G41" s="21"/>
      <c r="H41" s="21"/>
      <c r="I41" s="21"/>
      <c r="J41" s="21"/>
      <c r="K41" s="21"/>
      <c r="L41" s="21"/>
      <c r="M41" s="21"/>
      <c r="N41" s="21"/>
      <c r="O41" s="21"/>
      <c r="P41" s="21"/>
      <c r="Q41" s="21"/>
      <c r="R41" s="21"/>
      <c r="S41" s="21"/>
      <c r="T41" s="21"/>
      <c r="U41" s="20"/>
      <c r="W41" s="487"/>
      <c r="X41" s="487"/>
      <c r="Y41" s="542"/>
      <c r="Z41" s="543"/>
      <c r="AA41" s="543"/>
      <c r="AB41" s="543"/>
      <c r="AC41" s="543"/>
      <c r="AD41" s="543"/>
      <c r="AE41" s="544"/>
      <c r="AF41" s="549"/>
    </row>
    <row r="42" spans="1:32" x14ac:dyDescent="0.3">
      <c r="A42" s="18"/>
      <c r="B42" s="21"/>
      <c r="C42" s="21"/>
      <c r="D42" s="21"/>
      <c r="E42" s="21"/>
      <c r="F42" s="21"/>
      <c r="G42" s="21"/>
      <c r="H42" s="21"/>
      <c r="I42" s="21"/>
      <c r="J42" s="21"/>
      <c r="K42" s="21"/>
      <c r="L42" s="21"/>
      <c r="M42" s="21"/>
      <c r="N42" s="21"/>
      <c r="O42" s="21"/>
      <c r="P42" s="21"/>
      <c r="Q42" s="21"/>
      <c r="R42" s="21"/>
      <c r="S42" s="21"/>
      <c r="T42" s="21"/>
      <c r="U42" s="20"/>
      <c r="W42" s="487"/>
      <c r="X42" s="487"/>
      <c r="Y42" s="545"/>
      <c r="Z42" s="546"/>
      <c r="AA42" s="546"/>
      <c r="AB42" s="546"/>
      <c r="AC42" s="546"/>
      <c r="AD42" s="546"/>
      <c r="AE42" s="547"/>
      <c r="AF42" s="550"/>
    </row>
    <row r="43" spans="1:32" ht="15" customHeight="1" x14ac:dyDescent="0.3">
      <c r="A43" s="18"/>
      <c r="B43" s="21"/>
      <c r="C43" s="21"/>
      <c r="D43" s="21"/>
      <c r="E43" s="21"/>
      <c r="F43" s="21"/>
      <c r="G43" s="21"/>
      <c r="H43" s="21"/>
      <c r="I43" s="21"/>
      <c r="J43" s="21"/>
      <c r="K43" s="21"/>
      <c r="L43" s="21"/>
      <c r="M43" s="21"/>
      <c r="N43" s="21"/>
      <c r="O43" s="21"/>
      <c r="P43" s="21"/>
      <c r="Q43" s="21"/>
      <c r="R43" s="21"/>
      <c r="S43" s="21"/>
      <c r="T43" s="21"/>
      <c r="U43" s="20"/>
      <c r="W43" s="487" t="s">
        <v>641</v>
      </c>
      <c r="X43" s="487"/>
      <c r="Y43" s="539" t="s">
        <v>3698</v>
      </c>
      <c r="Z43" s="540"/>
      <c r="AA43" s="540"/>
      <c r="AB43" s="540"/>
      <c r="AC43" s="540"/>
      <c r="AD43" s="540"/>
      <c r="AE43" s="541"/>
      <c r="AF43" s="548" t="s">
        <v>325</v>
      </c>
    </row>
    <row r="44" spans="1:32" x14ac:dyDescent="0.3">
      <c r="A44" s="18"/>
      <c r="B44" s="21"/>
      <c r="C44" s="21"/>
      <c r="D44" s="21"/>
      <c r="E44" s="21"/>
      <c r="F44" s="21"/>
      <c r="G44" s="21"/>
      <c r="H44" s="21"/>
      <c r="I44" s="21"/>
      <c r="J44" s="21"/>
      <c r="K44" s="21"/>
      <c r="L44" s="21"/>
      <c r="M44" s="21"/>
      <c r="N44" s="21"/>
      <c r="O44" s="21"/>
      <c r="P44" s="21"/>
      <c r="Q44" s="21"/>
      <c r="R44" s="21"/>
      <c r="S44" s="21"/>
      <c r="T44" s="21"/>
      <c r="U44" s="20"/>
      <c r="W44" s="487"/>
      <c r="X44" s="487"/>
      <c r="Y44" s="542"/>
      <c r="Z44" s="543"/>
      <c r="AA44" s="543"/>
      <c r="AB44" s="543"/>
      <c r="AC44" s="543"/>
      <c r="AD44" s="543"/>
      <c r="AE44" s="544"/>
      <c r="AF44" s="549"/>
    </row>
    <row r="45" spans="1:32" x14ac:dyDescent="0.3">
      <c r="A45" s="18"/>
      <c r="B45" s="21"/>
      <c r="C45" s="21"/>
      <c r="D45" s="21"/>
      <c r="E45" s="21"/>
      <c r="F45" s="21"/>
      <c r="G45" s="21"/>
      <c r="H45" s="21"/>
      <c r="I45" s="21"/>
      <c r="J45" s="21"/>
      <c r="K45" s="21"/>
      <c r="L45" s="21"/>
      <c r="M45" s="21"/>
      <c r="N45" s="21"/>
      <c r="O45" s="21"/>
      <c r="P45" s="21"/>
      <c r="Q45" s="21"/>
      <c r="R45" s="21"/>
      <c r="S45" s="21"/>
      <c r="T45" s="21"/>
      <c r="U45" s="20"/>
      <c r="W45" s="487"/>
      <c r="X45" s="487"/>
      <c r="Y45" s="545"/>
      <c r="Z45" s="546"/>
      <c r="AA45" s="546"/>
      <c r="AB45" s="546"/>
      <c r="AC45" s="546"/>
      <c r="AD45" s="546"/>
      <c r="AE45" s="547"/>
      <c r="AF45" s="550"/>
    </row>
    <row r="46" spans="1:32" ht="15" customHeight="1" x14ac:dyDescent="0.3">
      <c r="A46" s="18"/>
      <c r="B46" s="21"/>
      <c r="C46" s="21"/>
      <c r="D46" s="21"/>
      <c r="E46" s="21"/>
      <c r="F46" s="21"/>
      <c r="G46" s="21"/>
      <c r="H46" s="21"/>
      <c r="I46" s="21"/>
      <c r="J46" s="21"/>
      <c r="K46" s="21"/>
      <c r="L46" s="21"/>
      <c r="M46" s="21"/>
      <c r="N46" s="21"/>
      <c r="O46" s="21"/>
      <c r="P46" s="21"/>
      <c r="Q46" s="21"/>
      <c r="R46" s="21"/>
      <c r="S46" s="21"/>
      <c r="T46" s="21"/>
      <c r="U46" s="20"/>
      <c r="W46" s="487" t="s">
        <v>463</v>
      </c>
      <c r="X46" s="487"/>
      <c r="Y46" s="539" t="s">
        <v>644</v>
      </c>
      <c r="Z46" s="540"/>
      <c r="AA46" s="540"/>
      <c r="AB46" s="540"/>
      <c r="AC46" s="540"/>
      <c r="AD46" s="540"/>
      <c r="AE46" s="541"/>
      <c r="AF46" s="548" t="s">
        <v>325</v>
      </c>
    </row>
    <row r="47" spans="1:32" x14ac:dyDescent="0.3">
      <c r="A47" s="18"/>
      <c r="B47" s="21"/>
      <c r="C47" s="21"/>
      <c r="D47" s="21"/>
      <c r="E47" s="21"/>
      <c r="F47" s="21"/>
      <c r="G47" s="21"/>
      <c r="H47" s="21"/>
      <c r="I47" s="21"/>
      <c r="J47" s="21"/>
      <c r="K47" s="21"/>
      <c r="L47" s="21"/>
      <c r="M47" s="21"/>
      <c r="N47" s="21"/>
      <c r="O47" s="21"/>
      <c r="P47" s="21"/>
      <c r="Q47" s="21"/>
      <c r="R47" s="21"/>
      <c r="S47" s="21"/>
      <c r="T47" s="21"/>
      <c r="U47" s="20"/>
      <c r="W47" s="487"/>
      <c r="X47" s="487"/>
      <c r="Y47" s="542"/>
      <c r="Z47" s="543"/>
      <c r="AA47" s="543"/>
      <c r="AB47" s="543"/>
      <c r="AC47" s="543"/>
      <c r="AD47" s="543"/>
      <c r="AE47" s="544"/>
      <c r="AF47" s="549"/>
    </row>
    <row r="48" spans="1:32" x14ac:dyDescent="0.3">
      <c r="A48" s="18"/>
      <c r="B48" s="21"/>
      <c r="C48" s="21"/>
      <c r="D48" s="21"/>
      <c r="E48" s="21"/>
      <c r="F48" s="21"/>
      <c r="G48" s="21"/>
      <c r="H48" s="21"/>
      <c r="I48" s="21"/>
      <c r="J48" s="21"/>
      <c r="K48" s="21"/>
      <c r="L48" s="21"/>
      <c r="M48" s="21"/>
      <c r="N48" s="21"/>
      <c r="O48" s="21"/>
      <c r="P48" s="21"/>
      <c r="Q48" s="21"/>
      <c r="R48" s="21"/>
      <c r="S48" s="21"/>
      <c r="T48" s="21"/>
      <c r="U48" s="20"/>
      <c r="W48" s="487"/>
      <c r="X48" s="487"/>
      <c r="Y48" s="545"/>
      <c r="Z48" s="546"/>
      <c r="AA48" s="546"/>
      <c r="AB48" s="546"/>
      <c r="AC48" s="546"/>
      <c r="AD48" s="546"/>
      <c r="AE48" s="547"/>
      <c r="AF48" s="550"/>
    </row>
    <row r="49" spans="1:32" ht="15" customHeight="1" x14ac:dyDescent="0.3">
      <c r="A49" s="18"/>
      <c r="B49" s="21"/>
      <c r="C49" s="21"/>
      <c r="D49" s="21"/>
      <c r="E49" s="21"/>
      <c r="F49" s="21"/>
      <c r="G49" s="21"/>
      <c r="H49" s="21"/>
      <c r="I49" s="21"/>
      <c r="J49" s="21"/>
      <c r="K49" s="21"/>
      <c r="L49" s="21"/>
      <c r="M49" s="21"/>
      <c r="N49" s="21"/>
      <c r="O49" s="21"/>
      <c r="P49" s="21"/>
      <c r="Q49" s="21"/>
      <c r="R49" s="21"/>
      <c r="S49" s="21"/>
      <c r="T49" s="21"/>
      <c r="U49" s="20"/>
      <c r="W49" s="484" t="s">
        <v>645</v>
      </c>
      <c r="X49" s="484"/>
      <c r="Y49" s="496" t="s">
        <v>647</v>
      </c>
      <c r="Z49" s="502"/>
      <c r="AA49" s="502"/>
      <c r="AB49" s="502"/>
      <c r="AC49" s="502"/>
      <c r="AD49" s="502"/>
      <c r="AE49" s="497"/>
      <c r="AF49" s="505" t="s">
        <v>326</v>
      </c>
    </row>
    <row r="50" spans="1:32" x14ac:dyDescent="0.3">
      <c r="A50" s="18"/>
      <c r="B50" s="21"/>
      <c r="C50" s="21"/>
      <c r="D50" s="21"/>
      <c r="E50" s="21"/>
      <c r="F50" s="21"/>
      <c r="G50" s="21"/>
      <c r="H50" s="21"/>
      <c r="I50" s="21"/>
      <c r="J50" s="21"/>
      <c r="K50" s="21"/>
      <c r="L50" s="21"/>
      <c r="M50" s="21"/>
      <c r="N50" s="21"/>
      <c r="O50" s="21"/>
      <c r="P50" s="21"/>
      <c r="Q50" s="21"/>
      <c r="R50" s="21"/>
      <c r="S50" s="21"/>
      <c r="T50" s="21"/>
      <c r="U50" s="20"/>
      <c r="W50" s="484"/>
      <c r="X50" s="484"/>
      <c r="Y50" s="498"/>
      <c r="Z50" s="503"/>
      <c r="AA50" s="503"/>
      <c r="AB50" s="503"/>
      <c r="AC50" s="503"/>
      <c r="AD50" s="503"/>
      <c r="AE50" s="499"/>
      <c r="AF50" s="506"/>
    </row>
    <row r="51" spans="1:32" x14ac:dyDescent="0.3">
      <c r="A51" s="18"/>
      <c r="B51" s="21"/>
      <c r="C51" s="21"/>
      <c r="D51" s="21"/>
      <c r="E51" s="21"/>
      <c r="F51" s="21"/>
      <c r="G51" s="21"/>
      <c r="H51" s="21"/>
      <c r="I51" s="21"/>
      <c r="J51" s="21"/>
      <c r="K51" s="21"/>
      <c r="L51" s="21"/>
      <c r="M51" s="21"/>
      <c r="N51" s="21"/>
      <c r="O51" s="21"/>
      <c r="P51" s="21"/>
      <c r="Q51" s="21"/>
      <c r="R51" s="21"/>
      <c r="S51" s="21"/>
      <c r="T51" s="21"/>
      <c r="U51" s="20"/>
      <c r="W51" s="484"/>
      <c r="X51" s="484"/>
      <c r="Y51" s="500"/>
      <c r="Z51" s="504"/>
      <c r="AA51" s="504"/>
      <c r="AB51" s="504"/>
      <c r="AC51" s="504"/>
      <c r="AD51" s="504"/>
      <c r="AE51" s="501"/>
      <c r="AF51" s="507"/>
    </row>
    <row r="52" spans="1:32" ht="15" customHeight="1" x14ac:dyDescent="0.3">
      <c r="A52" s="18"/>
      <c r="B52" s="21"/>
      <c r="C52" s="21"/>
      <c r="D52" s="21"/>
      <c r="E52" s="21"/>
      <c r="F52" s="21"/>
      <c r="G52" s="21"/>
      <c r="H52" s="67"/>
      <c r="I52" s="67"/>
      <c r="J52" s="67"/>
      <c r="K52" s="67"/>
      <c r="L52" s="67"/>
      <c r="M52" s="67"/>
      <c r="N52" s="67"/>
      <c r="O52" s="67"/>
      <c r="P52" s="67"/>
      <c r="Q52" s="67"/>
      <c r="R52" s="67"/>
      <c r="S52" s="67"/>
      <c r="T52" s="21"/>
      <c r="U52" s="20"/>
      <c r="W52" s="484" t="s">
        <v>646</v>
      </c>
      <c r="X52" s="484"/>
      <c r="Y52" s="496" t="s">
        <v>648</v>
      </c>
      <c r="Z52" s="502"/>
      <c r="AA52" s="502"/>
      <c r="AB52" s="502"/>
      <c r="AC52" s="502"/>
      <c r="AD52" s="502"/>
      <c r="AE52" s="497"/>
      <c r="AF52" s="505" t="s">
        <v>326</v>
      </c>
    </row>
    <row r="53" spans="1:32" x14ac:dyDescent="0.3">
      <c r="A53" s="18"/>
      <c r="B53" s="21"/>
      <c r="C53" s="21"/>
      <c r="D53" s="21"/>
      <c r="E53" s="21"/>
      <c r="F53" s="21"/>
      <c r="G53" s="21"/>
      <c r="H53" s="21"/>
      <c r="I53" s="21"/>
      <c r="J53" s="21"/>
      <c r="K53" s="21"/>
      <c r="L53" s="21"/>
      <c r="M53" s="21"/>
      <c r="N53" s="21"/>
      <c r="O53" s="21"/>
      <c r="P53" s="21"/>
      <c r="Q53" s="21"/>
      <c r="R53" s="21"/>
      <c r="S53" s="21"/>
      <c r="T53" s="21"/>
      <c r="U53" s="20"/>
      <c r="W53" s="484"/>
      <c r="X53" s="484"/>
      <c r="Y53" s="498"/>
      <c r="Z53" s="503"/>
      <c r="AA53" s="503"/>
      <c r="AB53" s="503"/>
      <c r="AC53" s="503"/>
      <c r="AD53" s="503"/>
      <c r="AE53" s="499"/>
      <c r="AF53" s="506"/>
    </row>
    <row r="54" spans="1:32" x14ac:dyDescent="0.3">
      <c r="A54" s="18"/>
      <c r="B54" s="21"/>
      <c r="C54" s="21"/>
      <c r="D54" s="21"/>
      <c r="E54" s="21"/>
      <c r="F54" s="21"/>
      <c r="G54" s="21"/>
      <c r="H54" s="492" t="s">
        <v>265</v>
      </c>
      <c r="I54" s="529"/>
      <c r="J54" s="493"/>
      <c r="K54" s="101" t="s">
        <v>3401</v>
      </c>
      <c r="L54" s="21"/>
      <c r="M54" s="492" t="s">
        <v>261</v>
      </c>
      <c r="N54" s="493"/>
      <c r="O54" s="21"/>
      <c r="P54" s="21"/>
      <c r="Q54" s="21"/>
      <c r="R54" s="21"/>
      <c r="S54" s="21"/>
      <c r="T54" s="21"/>
      <c r="U54" s="20"/>
      <c r="W54" s="484"/>
      <c r="X54" s="484"/>
      <c r="Y54" s="500"/>
      <c r="Z54" s="504"/>
      <c r="AA54" s="504"/>
      <c r="AB54" s="504"/>
      <c r="AC54" s="504"/>
      <c r="AD54" s="504"/>
      <c r="AE54" s="501"/>
      <c r="AF54" s="507"/>
    </row>
    <row r="55" spans="1:32" ht="15" customHeight="1" x14ac:dyDescent="0.3">
      <c r="A55" s="18"/>
      <c r="B55" s="21"/>
      <c r="C55" s="21"/>
      <c r="D55" s="21"/>
      <c r="E55" s="21"/>
      <c r="F55" s="21"/>
      <c r="G55" s="21"/>
      <c r="H55" s="85" t="s">
        <v>255</v>
      </c>
      <c r="I55" s="85" t="s">
        <v>7</v>
      </c>
      <c r="J55" s="85" t="s">
        <v>2</v>
      </c>
      <c r="K55" s="3" t="s">
        <v>8</v>
      </c>
      <c r="L55" s="21"/>
      <c r="M55" s="9" t="s">
        <v>260</v>
      </c>
      <c r="N55" s="9" t="s">
        <v>262</v>
      </c>
      <c r="O55" s="21"/>
      <c r="P55" s="21"/>
      <c r="Q55" s="21"/>
      <c r="R55" s="21"/>
      <c r="S55" s="21"/>
      <c r="T55" s="21"/>
      <c r="U55" s="20"/>
      <c r="W55" s="484" t="s">
        <v>1999</v>
      </c>
      <c r="X55" s="484"/>
      <c r="Y55" s="496" t="s">
        <v>3699</v>
      </c>
      <c r="Z55" s="502"/>
      <c r="AA55" s="502"/>
      <c r="AB55" s="502"/>
      <c r="AC55" s="502"/>
      <c r="AD55" s="502"/>
      <c r="AE55" s="497"/>
      <c r="AF55" s="505" t="s">
        <v>326</v>
      </c>
    </row>
    <row r="56" spans="1:32" ht="15" customHeight="1" x14ac:dyDescent="0.3">
      <c r="A56" s="18"/>
      <c r="B56" s="42" t="s">
        <v>107</v>
      </c>
      <c r="C56" s="44">
        <v>-3000</v>
      </c>
      <c r="D56" s="42" t="s">
        <v>257</v>
      </c>
      <c r="E56" s="61">
        <v>159.37</v>
      </c>
      <c r="F56" s="21"/>
      <c r="G56" s="21"/>
      <c r="H56" s="47" t="s">
        <v>257</v>
      </c>
      <c r="I56" s="47">
        <v>141.97</v>
      </c>
      <c r="J56" s="47" t="s">
        <v>106</v>
      </c>
      <c r="K56" s="35">
        <f t="array" ref="K56:K60">_xll.U.VLOOKUP((H56:H60,J56:J60),B56:E60,M56:M57,N56)</f>
        <v>100</v>
      </c>
      <c r="L56" s="21"/>
      <c r="M56" s="79">
        <v>3</v>
      </c>
      <c r="N56" s="79">
        <v>2</v>
      </c>
      <c r="O56" s="21"/>
      <c r="P56" s="21"/>
      <c r="Q56" s="21"/>
      <c r="R56" s="21"/>
      <c r="S56" s="21"/>
      <c r="T56" s="21"/>
      <c r="U56" s="20"/>
      <c r="W56" s="484"/>
      <c r="X56" s="484"/>
      <c r="Y56" s="498"/>
      <c r="Z56" s="503"/>
      <c r="AA56" s="503"/>
      <c r="AB56" s="503"/>
      <c r="AC56" s="503"/>
      <c r="AD56" s="503"/>
      <c r="AE56" s="499"/>
      <c r="AF56" s="506"/>
    </row>
    <row r="57" spans="1:32" x14ac:dyDescent="0.3">
      <c r="A57" s="18"/>
      <c r="B57" s="42" t="s">
        <v>106</v>
      </c>
      <c r="C57" s="44">
        <v>1500</v>
      </c>
      <c r="D57" s="42" t="s">
        <v>258</v>
      </c>
      <c r="E57" s="61">
        <v>141.97</v>
      </c>
      <c r="F57" s="21"/>
      <c r="G57" s="21"/>
      <c r="H57" s="47" t="s">
        <v>257</v>
      </c>
      <c r="I57" s="47">
        <v>159.37</v>
      </c>
      <c r="J57" s="47" t="s">
        <v>107</v>
      </c>
      <c r="K57" s="35">
        <v>-3000</v>
      </c>
      <c r="L57" s="21"/>
      <c r="M57" s="79">
        <v>1</v>
      </c>
      <c r="N57" s="21"/>
      <c r="O57" s="21"/>
      <c r="P57" s="21"/>
      <c r="Q57" s="21"/>
      <c r="R57" s="21"/>
      <c r="S57" s="21"/>
      <c r="T57" s="21"/>
      <c r="U57" s="20"/>
      <c r="W57" s="484"/>
      <c r="X57" s="484"/>
      <c r="Y57" s="500"/>
      <c r="Z57" s="504"/>
      <c r="AA57" s="504"/>
      <c r="AB57" s="504"/>
      <c r="AC57" s="504"/>
      <c r="AD57" s="504"/>
      <c r="AE57" s="501"/>
      <c r="AF57" s="507"/>
    </row>
    <row r="58" spans="1:32" ht="15" customHeight="1" x14ac:dyDescent="0.3">
      <c r="A58" s="18"/>
      <c r="B58" s="42" t="s">
        <v>106</v>
      </c>
      <c r="C58" s="44">
        <v>100</v>
      </c>
      <c r="D58" s="42" t="s">
        <v>257</v>
      </c>
      <c r="E58" s="61">
        <v>141.97</v>
      </c>
      <c r="F58" s="21"/>
      <c r="G58" s="21"/>
      <c r="H58" s="47" t="s">
        <v>257</v>
      </c>
      <c r="I58" s="47">
        <v>65.14</v>
      </c>
      <c r="J58" s="47" t="s">
        <v>256</v>
      </c>
      <c r="K58" s="35">
        <v>600</v>
      </c>
      <c r="L58" s="21"/>
      <c r="M58" s="21"/>
      <c r="N58" s="21"/>
      <c r="O58" s="21"/>
      <c r="P58" s="21"/>
      <c r="Q58" s="21"/>
      <c r="R58" s="21"/>
      <c r="S58" s="21"/>
      <c r="T58" s="21"/>
      <c r="U58" s="20"/>
      <c r="W58" s="484" t="s">
        <v>2066</v>
      </c>
      <c r="X58" s="484"/>
      <c r="Y58" s="496" t="s">
        <v>2067</v>
      </c>
      <c r="Z58" s="502"/>
      <c r="AA58" s="502"/>
      <c r="AB58" s="502"/>
      <c r="AC58" s="502"/>
      <c r="AD58" s="502"/>
      <c r="AE58" s="497"/>
      <c r="AF58" s="505" t="s">
        <v>326</v>
      </c>
    </row>
    <row r="59" spans="1:32" x14ac:dyDescent="0.3">
      <c r="A59" s="18"/>
      <c r="B59" s="42" t="s">
        <v>256</v>
      </c>
      <c r="C59" s="44">
        <v>600</v>
      </c>
      <c r="D59" s="42" t="s">
        <v>257</v>
      </c>
      <c r="E59" s="61">
        <v>65.14</v>
      </c>
      <c r="F59" s="21"/>
      <c r="G59" s="21"/>
      <c r="H59" s="47" t="s">
        <v>258</v>
      </c>
      <c r="I59" s="47">
        <v>141.97</v>
      </c>
      <c r="J59" s="47" t="s">
        <v>106</v>
      </c>
      <c r="K59" s="35">
        <v>1500</v>
      </c>
      <c r="L59" s="21"/>
      <c r="M59" s="21"/>
      <c r="N59" s="21"/>
      <c r="O59" s="21"/>
      <c r="P59" s="21"/>
      <c r="Q59" s="21"/>
      <c r="R59" s="21"/>
      <c r="S59" s="21"/>
      <c r="T59" s="21"/>
      <c r="U59" s="20"/>
      <c r="W59" s="484"/>
      <c r="X59" s="484"/>
      <c r="Y59" s="498"/>
      <c r="Z59" s="503"/>
      <c r="AA59" s="503"/>
      <c r="AB59" s="503"/>
      <c r="AC59" s="503"/>
      <c r="AD59" s="503"/>
      <c r="AE59" s="499"/>
      <c r="AF59" s="506"/>
    </row>
    <row r="60" spans="1:32" ht="15" customHeight="1" x14ac:dyDescent="0.3">
      <c r="A60" s="18"/>
      <c r="B60" s="42" t="s">
        <v>107</v>
      </c>
      <c r="C60" s="44">
        <v>100</v>
      </c>
      <c r="D60" s="42" t="s">
        <v>258</v>
      </c>
      <c r="E60" s="61">
        <v>159.37</v>
      </c>
      <c r="F60" s="21"/>
      <c r="G60" s="21"/>
      <c r="H60" s="47" t="s">
        <v>258</v>
      </c>
      <c r="I60" s="47">
        <v>159.37</v>
      </c>
      <c r="J60" s="47" t="s">
        <v>107</v>
      </c>
      <c r="K60" s="35">
        <v>100</v>
      </c>
      <c r="L60" s="21"/>
      <c r="M60" s="21"/>
      <c r="N60" s="21"/>
      <c r="O60" s="21"/>
      <c r="P60" s="21"/>
      <c r="Q60" s="21"/>
      <c r="R60" s="21"/>
      <c r="S60" s="21"/>
      <c r="T60" s="21"/>
      <c r="U60" s="20"/>
      <c r="W60" s="484"/>
      <c r="X60" s="484"/>
      <c r="Y60" s="500"/>
      <c r="Z60" s="504"/>
      <c r="AA60" s="504"/>
      <c r="AB60" s="504"/>
      <c r="AC60" s="504"/>
      <c r="AD60" s="504"/>
      <c r="AE60" s="501"/>
      <c r="AF60" s="507"/>
    </row>
    <row r="61" spans="1:32" x14ac:dyDescent="0.3">
      <c r="A61" s="18"/>
      <c r="B61" s="21"/>
      <c r="C61" s="21"/>
      <c r="D61" s="21"/>
      <c r="E61" s="21"/>
      <c r="F61" s="21"/>
      <c r="G61" s="21"/>
      <c r="H61" s="21"/>
      <c r="I61" s="21"/>
      <c r="J61" s="21"/>
      <c r="K61" s="21"/>
      <c r="L61" s="21"/>
      <c r="M61" s="21"/>
      <c r="N61" s="21"/>
      <c r="O61" s="21"/>
      <c r="P61" s="21"/>
      <c r="Q61" s="21"/>
      <c r="R61" s="21"/>
      <c r="S61" s="21"/>
      <c r="T61" s="21"/>
      <c r="U61" s="20"/>
      <c r="W61" s="126" t="s">
        <v>328</v>
      </c>
    </row>
    <row r="62" spans="1:32" x14ac:dyDescent="0.3">
      <c r="A62" s="18"/>
      <c r="B62" s="21"/>
      <c r="C62" s="21"/>
      <c r="D62" s="21"/>
      <c r="E62" s="21"/>
      <c r="F62" s="21"/>
      <c r="G62" s="21"/>
      <c r="H62" s="21"/>
      <c r="I62" s="21"/>
      <c r="J62" s="21"/>
      <c r="K62" s="21"/>
      <c r="L62" s="21"/>
      <c r="M62" s="21"/>
      <c r="N62" s="21"/>
      <c r="O62" s="21"/>
      <c r="P62" s="21"/>
      <c r="Q62" s="21"/>
      <c r="R62" s="21"/>
      <c r="S62" s="21"/>
      <c r="T62" s="21"/>
      <c r="U62" s="20"/>
    </row>
    <row r="63" spans="1:32" x14ac:dyDescent="0.3">
      <c r="A63" s="18"/>
      <c r="B63" s="21"/>
      <c r="C63" s="21"/>
      <c r="D63" s="21"/>
      <c r="E63" s="21"/>
      <c r="F63" s="21"/>
      <c r="G63" s="21"/>
      <c r="H63" s="21"/>
      <c r="I63" s="21"/>
      <c r="J63" s="21"/>
      <c r="K63" s="21"/>
      <c r="L63" s="21"/>
      <c r="M63" s="21"/>
      <c r="N63" s="21"/>
      <c r="O63" s="21"/>
      <c r="P63" s="21"/>
      <c r="Q63" s="21"/>
      <c r="R63" s="21"/>
      <c r="S63" s="21"/>
      <c r="T63" s="21"/>
      <c r="U63" s="20"/>
    </row>
    <row r="64" spans="1:32" x14ac:dyDescent="0.3">
      <c r="A64" s="18"/>
      <c r="B64" s="21"/>
      <c r="C64" s="21"/>
      <c r="D64" s="21"/>
      <c r="E64" s="21"/>
      <c r="F64" s="21"/>
      <c r="G64" s="21"/>
      <c r="H64" s="21"/>
      <c r="I64" s="21"/>
      <c r="J64" s="21"/>
      <c r="K64" s="21"/>
      <c r="L64" s="21"/>
      <c r="M64" s="21"/>
      <c r="N64" s="21"/>
      <c r="O64" s="21"/>
      <c r="P64" s="21"/>
      <c r="Q64" s="21"/>
      <c r="R64" s="21"/>
      <c r="S64" s="21"/>
      <c r="T64" s="21"/>
      <c r="U64" s="20"/>
    </row>
    <row r="65" spans="1:21" x14ac:dyDescent="0.3">
      <c r="A65" s="18"/>
      <c r="B65" s="21"/>
      <c r="C65" s="21"/>
      <c r="D65" s="21"/>
      <c r="E65" s="21"/>
      <c r="F65" s="21"/>
      <c r="G65" s="21"/>
      <c r="H65" s="67"/>
      <c r="I65" s="67"/>
      <c r="J65" s="67"/>
      <c r="K65" s="67"/>
      <c r="L65" s="67"/>
      <c r="M65" s="67"/>
      <c r="N65" s="67"/>
      <c r="O65" s="67"/>
      <c r="P65" s="67"/>
      <c r="Q65" s="67"/>
      <c r="R65" s="67"/>
      <c r="S65" s="67"/>
      <c r="T65" s="21"/>
      <c r="U65" s="20"/>
    </row>
    <row r="66" spans="1:21" x14ac:dyDescent="0.3">
      <c r="A66" s="18"/>
      <c r="B66" s="21"/>
      <c r="C66" s="21"/>
      <c r="D66" s="21"/>
      <c r="E66" s="21"/>
      <c r="F66" s="21"/>
      <c r="G66" s="21"/>
      <c r="H66" s="21"/>
      <c r="I66" s="21"/>
      <c r="J66" s="21"/>
      <c r="K66" s="21"/>
      <c r="L66" s="21"/>
      <c r="M66" s="21"/>
      <c r="N66" s="21"/>
      <c r="O66" s="21"/>
      <c r="P66" s="21"/>
      <c r="Q66" s="21"/>
      <c r="R66" s="21"/>
      <c r="S66" s="21"/>
      <c r="T66" s="21"/>
      <c r="U66" s="20"/>
    </row>
    <row r="67" spans="1:21" x14ac:dyDescent="0.3">
      <c r="A67" s="18"/>
      <c r="B67" s="21"/>
      <c r="C67" s="21"/>
      <c r="D67" s="21"/>
      <c r="E67" s="21"/>
      <c r="F67" s="21"/>
      <c r="G67" s="21"/>
      <c r="H67" s="492" t="s">
        <v>265</v>
      </c>
      <c r="I67" s="529"/>
      <c r="J67" s="493"/>
      <c r="K67" s="492" t="s">
        <v>3401</v>
      </c>
      <c r="L67" s="493"/>
      <c r="M67" s="21"/>
      <c r="N67" s="492" t="s">
        <v>261</v>
      </c>
      <c r="O67" s="529"/>
      <c r="P67" s="493"/>
      <c r="Q67" s="21"/>
      <c r="R67" s="21"/>
      <c r="S67" s="21"/>
      <c r="T67" s="21"/>
      <c r="U67" s="20"/>
    </row>
    <row r="68" spans="1:21" x14ac:dyDescent="0.3">
      <c r="A68" s="18"/>
      <c r="B68" s="21"/>
      <c r="C68" s="21"/>
      <c r="D68" s="21"/>
      <c r="E68" s="21"/>
      <c r="F68" s="21"/>
      <c r="G68" s="21"/>
      <c r="H68" s="85" t="s">
        <v>255</v>
      </c>
      <c r="I68" s="85" t="s">
        <v>8</v>
      </c>
      <c r="J68" s="85" t="s">
        <v>2</v>
      </c>
      <c r="K68" s="3" t="s">
        <v>650</v>
      </c>
      <c r="L68" s="3" t="s">
        <v>63</v>
      </c>
      <c r="M68" s="21"/>
      <c r="N68" s="116" t="s">
        <v>260</v>
      </c>
      <c r="O68" s="116" t="s">
        <v>262</v>
      </c>
      <c r="P68" s="116" t="s">
        <v>651</v>
      </c>
      <c r="Q68" s="21"/>
      <c r="R68" s="21"/>
      <c r="S68" s="21"/>
      <c r="T68" s="21"/>
      <c r="U68" s="20"/>
    </row>
    <row r="69" spans="1:21" x14ac:dyDescent="0.3">
      <c r="A69" s="18"/>
      <c r="B69" s="21"/>
      <c r="C69" s="21"/>
      <c r="D69" s="21"/>
      <c r="E69" s="21"/>
      <c r="F69" s="21"/>
      <c r="G69" s="21"/>
      <c r="H69" s="47" t="s">
        <v>257</v>
      </c>
      <c r="I69" s="47">
        <v>141.97</v>
      </c>
      <c r="J69" s="47" t="s">
        <v>106</v>
      </c>
      <c r="K69" s="35" t="e">
        <f t="array" ref="K69:L73">_xll.U.VLOOKUP((H69:H73,J69:J73),B56:E60,N69:N70,(O69:O70,P69))</f>
        <v>#N/A</v>
      </c>
      <c r="L69" s="35">
        <v>141.97</v>
      </c>
      <c r="M69" s="21"/>
      <c r="N69" s="79">
        <v>3</v>
      </c>
      <c r="O69" s="79">
        <v>5</v>
      </c>
      <c r="P69" s="79" t="b">
        <v>1</v>
      </c>
      <c r="Q69" s="21"/>
      <c r="R69" s="21"/>
      <c r="S69" s="21"/>
      <c r="T69" s="21"/>
      <c r="U69" s="20"/>
    </row>
    <row r="70" spans="1:21" x14ac:dyDescent="0.3">
      <c r="A70" s="18"/>
      <c r="B70" s="21"/>
      <c r="C70" s="21"/>
      <c r="D70" s="21"/>
      <c r="E70" s="21"/>
      <c r="F70" s="21"/>
      <c r="G70" s="21"/>
      <c r="H70" s="47" t="s">
        <v>257</v>
      </c>
      <c r="I70" s="47">
        <v>159.37</v>
      </c>
      <c r="J70" s="47" t="s">
        <v>107</v>
      </c>
      <c r="K70" s="35" t="e">
        <v>#N/A</v>
      </c>
      <c r="L70" s="35">
        <v>159.37</v>
      </c>
      <c r="M70" s="21"/>
      <c r="N70" s="79">
        <v>1</v>
      </c>
      <c r="O70" s="79">
        <v>4</v>
      </c>
      <c r="Q70" s="21"/>
      <c r="R70" s="21"/>
      <c r="S70" s="21"/>
      <c r="T70" s="21"/>
      <c r="U70" s="20"/>
    </row>
    <row r="71" spans="1:21" x14ac:dyDescent="0.3">
      <c r="A71" s="18"/>
      <c r="B71" s="21"/>
      <c r="C71" s="21"/>
      <c r="D71" s="21"/>
      <c r="E71" s="21"/>
      <c r="F71" s="21"/>
      <c r="G71" s="21"/>
      <c r="H71" s="47" t="s">
        <v>257</v>
      </c>
      <c r="I71" s="47">
        <v>65.14</v>
      </c>
      <c r="J71" s="47" t="s">
        <v>256</v>
      </c>
      <c r="K71" s="35" t="e">
        <v>#N/A</v>
      </c>
      <c r="L71" s="35">
        <v>65.14</v>
      </c>
      <c r="M71" s="21"/>
      <c r="N71" s="21"/>
      <c r="O71" s="21"/>
      <c r="P71" s="21"/>
      <c r="Q71" s="21"/>
      <c r="R71" s="21"/>
      <c r="S71" s="21"/>
      <c r="T71" s="21"/>
      <c r="U71" s="20"/>
    </row>
    <row r="72" spans="1:21" x14ac:dyDescent="0.3">
      <c r="A72" s="18"/>
      <c r="B72" s="21"/>
      <c r="C72" s="21"/>
      <c r="D72" s="21"/>
      <c r="E72" s="21"/>
      <c r="F72" s="21"/>
      <c r="G72" s="21"/>
      <c r="H72" s="47" t="s">
        <v>258</v>
      </c>
      <c r="I72" s="47">
        <v>141.97</v>
      </c>
      <c r="J72" s="47" t="s">
        <v>106</v>
      </c>
      <c r="K72" s="35" t="e">
        <v>#N/A</v>
      </c>
      <c r="L72" s="35">
        <v>141.97</v>
      </c>
      <c r="M72" s="21"/>
      <c r="N72" s="21"/>
      <c r="O72" s="21"/>
      <c r="P72" s="21"/>
      <c r="Q72" s="21"/>
      <c r="R72" s="21"/>
      <c r="S72" s="21"/>
      <c r="T72" s="21"/>
      <c r="U72" s="20"/>
    </row>
    <row r="73" spans="1:21" x14ac:dyDescent="0.3">
      <c r="A73" s="18"/>
      <c r="B73" s="21"/>
      <c r="C73" s="21"/>
      <c r="D73" s="21"/>
      <c r="E73" s="21"/>
      <c r="F73" s="21"/>
      <c r="G73" s="21"/>
      <c r="H73" s="47" t="s">
        <v>258</v>
      </c>
      <c r="I73" s="47">
        <v>159.37</v>
      </c>
      <c r="J73" s="47" t="s">
        <v>107</v>
      </c>
      <c r="K73" s="35" t="e">
        <v>#N/A</v>
      </c>
      <c r="L73" s="35">
        <v>159.37</v>
      </c>
      <c r="M73" s="21"/>
      <c r="N73" s="21"/>
      <c r="O73" s="21"/>
      <c r="P73" s="21"/>
      <c r="Q73" s="21"/>
      <c r="R73" s="21"/>
      <c r="S73" s="21"/>
      <c r="T73" s="21"/>
      <c r="U73" s="20"/>
    </row>
    <row r="74" spans="1:21" x14ac:dyDescent="0.3">
      <c r="A74" s="18"/>
      <c r="B74" s="21"/>
      <c r="C74" s="21"/>
      <c r="D74" s="21"/>
      <c r="E74" s="21"/>
      <c r="F74" s="21"/>
      <c r="G74" s="21"/>
      <c r="H74" s="21"/>
      <c r="I74" s="21"/>
      <c r="J74" s="21"/>
      <c r="K74" s="21"/>
      <c r="L74" s="21"/>
      <c r="M74" s="21"/>
      <c r="N74" s="21"/>
      <c r="O74" s="21"/>
      <c r="P74" s="21"/>
      <c r="Q74" s="21"/>
      <c r="R74" s="21"/>
      <c r="S74" s="21"/>
      <c r="T74" s="21"/>
      <c r="U74" s="20"/>
    </row>
    <row r="75" spans="1:21" x14ac:dyDescent="0.3">
      <c r="A75" s="18"/>
      <c r="B75" s="21"/>
      <c r="C75" s="21"/>
      <c r="D75" s="21"/>
      <c r="E75" s="21"/>
      <c r="F75" s="21"/>
      <c r="G75" s="21"/>
      <c r="H75" s="21"/>
      <c r="I75" s="21"/>
      <c r="J75" s="21"/>
      <c r="K75" s="21"/>
      <c r="L75" s="21"/>
      <c r="M75" s="21"/>
      <c r="N75" s="21"/>
      <c r="O75" s="21"/>
      <c r="P75" s="21"/>
      <c r="Q75" s="21"/>
      <c r="R75" s="21"/>
      <c r="S75" s="21"/>
      <c r="T75" s="21"/>
      <c r="U75" s="20"/>
    </row>
    <row r="76" spans="1:21" x14ac:dyDescent="0.3">
      <c r="A76" s="18"/>
      <c r="B76" s="21"/>
      <c r="C76" s="21"/>
      <c r="D76" s="21"/>
      <c r="E76" s="21"/>
      <c r="F76" s="21"/>
      <c r="G76" s="21"/>
      <c r="H76" s="21"/>
      <c r="I76" s="21"/>
      <c r="J76" s="21"/>
      <c r="K76" s="21"/>
      <c r="L76" s="21"/>
      <c r="M76" s="21"/>
      <c r="N76" s="21"/>
      <c r="O76" s="21"/>
      <c r="P76" s="21"/>
      <c r="Q76" s="21"/>
      <c r="R76" s="21"/>
      <c r="S76" s="21"/>
      <c r="T76" s="21"/>
      <c r="U76" s="20"/>
    </row>
    <row r="77" spans="1:21" x14ac:dyDescent="0.3">
      <c r="A77" s="18"/>
      <c r="B77" s="21"/>
      <c r="C77" s="21"/>
      <c r="D77" s="21"/>
      <c r="E77" s="21"/>
      <c r="F77" s="21"/>
      <c r="G77" s="21"/>
      <c r="H77" s="21"/>
      <c r="I77" s="21"/>
      <c r="J77" s="21"/>
      <c r="K77" s="21"/>
      <c r="L77" s="21"/>
      <c r="M77" s="21"/>
      <c r="N77" s="21"/>
      <c r="O77" s="21"/>
      <c r="P77" s="21"/>
      <c r="Q77" s="21"/>
      <c r="R77" s="21"/>
      <c r="S77" s="21"/>
      <c r="T77" s="21"/>
      <c r="U77" s="20"/>
    </row>
    <row r="78" spans="1:21" x14ac:dyDescent="0.3">
      <c r="A78" s="18"/>
      <c r="B78" s="21"/>
      <c r="C78" s="21"/>
      <c r="D78" s="21"/>
      <c r="E78" s="21"/>
      <c r="F78" s="21"/>
      <c r="G78" s="21"/>
      <c r="H78" s="21"/>
      <c r="I78" s="21"/>
      <c r="J78" s="21"/>
      <c r="K78" s="21"/>
      <c r="L78" s="21"/>
      <c r="M78" s="21"/>
      <c r="N78" s="21"/>
      <c r="O78" s="21"/>
      <c r="P78" s="21"/>
      <c r="Q78" s="21"/>
      <c r="R78" s="21"/>
      <c r="S78" s="21"/>
      <c r="T78" s="21"/>
      <c r="U78" s="20"/>
    </row>
    <row r="79" spans="1:21" x14ac:dyDescent="0.3">
      <c r="A79" s="18"/>
      <c r="B79" s="21"/>
      <c r="C79" s="21"/>
      <c r="D79" s="21"/>
      <c r="E79" s="21"/>
      <c r="F79" s="21"/>
      <c r="G79" s="21"/>
      <c r="H79" s="21"/>
      <c r="I79" s="21"/>
      <c r="J79" s="21"/>
      <c r="K79" s="21"/>
      <c r="L79" s="21"/>
      <c r="M79" s="21"/>
      <c r="N79" s="21"/>
      <c r="O79" s="21"/>
      <c r="P79" s="21"/>
      <c r="Q79" s="21"/>
      <c r="R79" s="21"/>
      <c r="S79" s="21"/>
      <c r="T79" s="21"/>
      <c r="U79" s="20"/>
    </row>
    <row r="80" spans="1:21" x14ac:dyDescent="0.3">
      <c r="A80" s="18"/>
      <c r="B80" s="21"/>
      <c r="C80" s="21"/>
      <c r="D80" s="21"/>
      <c r="E80" s="21"/>
      <c r="F80" s="21"/>
      <c r="G80" s="21"/>
      <c r="H80" s="67"/>
      <c r="I80" s="67"/>
      <c r="J80" s="67"/>
      <c r="K80" s="67"/>
      <c r="L80" s="67"/>
      <c r="M80" s="67"/>
      <c r="N80" s="67"/>
      <c r="O80" s="67"/>
      <c r="P80" s="67"/>
      <c r="Q80" s="67"/>
      <c r="R80" s="67"/>
      <c r="S80" s="67"/>
      <c r="T80" s="21"/>
      <c r="U80" s="20"/>
    </row>
    <row r="81" spans="1:21" x14ac:dyDescent="0.3">
      <c r="A81" s="18"/>
      <c r="B81" s="21"/>
      <c r="C81" s="21"/>
      <c r="D81" s="21"/>
      <c r="E81" s="21"/>
      <c r="F81" s="21"/>
      <c r="G81" s="21"/>
      <c r="H81" s="21"/>
      <c r="I81" s="21"/>
      <c r="J81" s="21"/>
      <c r="K81" s="21"/>
      <c r="L81" s="21"/>
      <c r="M81" s="21"/>
      <c r="N81" s="21"/>
      <c r="O81" s="21"/>
      <c r="P81" s="21"/>
      <c r="Q81" s="21"/>
      <c r="R81" s="21"/>
      <c r="S81" s="21"/>
      <c r="T81" s="21"/>
      <c r="U81" s="20"/>
    </row>
    <row r="82" spans="1:21" x14ac:dyDescent="0.3">
      <c r="A82" s="18"/>
      <c r="B82" s="21"/>
      <c r="C82" s="21"/>
      <c r="D82" s="21"/>
      <c r="E82" s="21"/>
      <c r="F82" s="21"/>
      <c r="G82" s="21"/>
      <c r="H82" s="492" t="s">
        <v>265</v>
      </c>
      <c r="I82" s="529"/>
      <c r="J82" s="493"/>
      <c r="K82" s="101" t="s">
        <v>3401</v>
      </c>
      <c r="L82" s="21"/>
      <c r="M82" s="101" t="s">
        <v>261</v>
      </c>
      <c r="N82" s="21"/>
      <c r="O82" s="21"/>
      <c r="P82" s="21"/>
      <c r="Q82" s="21"/>
      <c r="R82" s="21"/>
      <c r="S82" s="21"/>
      <c r="T82" s="21"/>
      <c r="U82" s="20"/>
    </row>
    <row r="83" spans="1:21" x14ac:dyDescent="0.3">
      <c r="A83" s="18"/>
      <c r="B83" s="21"/>
      <c r="C83" s="21"/>
      <c r="D83" s="21"/>
      <c r="E83" s="21"/>
      <c r="F83" s="21"/>
      <c r="G83" s="21"/>
      <c r="H83" s="85" t="s">
        <v>255</v>
      </c>
      <c r="I83" s="85" t="s">
        <v>7</v>
      </c>
      <c r="J83" s="85" t="s">
        <v>2</v>
      </c>
      <c r="K83" s="3" t="s">
        <v>8</v>
      </c>
      <c r="L83" s="21"/>
      <c r="M83" s="9" t="s">
        <v>260</v>
      </c>
      <c r="N83" s="21"/>
      <c r="O83" s="21"/>
      <c r="P83" s="21"/>
      <c r="Q83" s="21"/>
      <c r="R83" s="21"/>
      <c r="S83" s="21"/>
      <c r="T83" s="21"/>
      <c r="U83" s="20"/>
    </row>
    <row r="84" spans="1:21" x14ac:dyDescent="0.3">
      <c r="A84" s="18"/>
      <c r="B84" s="21"/>
      <c r="C84" s="21"/>
      <c r="D84" s="21"/>
      <c r="E84" s="21"/>
      <c r="F84" s="21"/>
      <c r="G84" s="21"/>
      <c r="H84" s="47" t="s">
        <v>257</v>
      </c>
      <c r="I84" s="47">
        <v>159.37</v>
      </c>
      <c r="J84" s="47" t="s">
        <v>106</v>
      </c>
      <c r="K84" s="35">
        <f t="array" ref="K84:K88">_xll.U.VLOOKUP((H84:H88,J84:J88),B56:E60,M84,2)</f>
        <v>100</v>
      </c>
      <c r="L84" s="21"/>
      <c r="M84" s="79">
        <v>3</v>
      </c>
      <c r="N84" s="21"/>
      <c r="O84" s="21"/>
      <c r="P84" s="21"/>
      <c r="Q84" s="21"/>
      <c r="R84" s="21"/>
      <c r="S84" s="21"/>
      <c r="T84" s="21"/>
      <c r="U84" s="20"/>
    </row>
    <row r="85" spans="1:21" x14ac:dyDescent="0.3">
      <c r="A85" s="18"/>
      <c r="B85" s="21"/>
      <c r="C85" s="21"/>
      <c r="D85" s="21"/>
      <c r="E85" s="21"/>
      <c r="F85" s="21"/>
      <c r="G85" s="21"/>
      <c r="H85" s="47" t="s">
        <v>257</v>
      </c>
      <c r="I85" s="47">
        <v>141.97</v>
      </c>
      <c r="J85" s="47" t="s">
        <v>107</v>
      </c>
      <c r="K85" s="35">
        <v>-3000</v>
      </c>
      <c r="L85" s="21"/>
      <c r="M85" s="21"/>
      <c r="N85" s="21"/>
      <c r="O85" s="21"/>
      <c r="P85" s="21"/>
      <c r="Q85" s="21"/>
      <c r="R85" s="21"/>
      <c r="S85" s="21"/>
      <c r="T85" s="21"/>
      <c r="U85" s="20"/>
    </row>
    <row r="86" spans="1:21" x14ac:dyDescent="0.3">
      <c r="A86" s="18"/>
      <c r="B86" s="21"/>
      <c r="C86" s="21"/>
      <c r="D86" s="21"/>
      <c r="E86" s="21"/>
      <c r="F86" s="21"/>
      <c r="G86" s="21"/>
      <c r="H86" s="47" t="s">
        <v>257</v>
      </c>
      <c r="I86" s="47">
        <v>141.97</v>
      </c>
      <c r="J86" s="47" t="s">
        <v>256</v>
      </c>
      <c r="K86" s="35">
        <v>600</v>
      </c>
      <c r="L86" s="21"/>
      <c r="M86" s="21"/>
      <c r="N86" s="21"/>
      <c r="O86" s="21"/>
      <c r="P86" s="21"/>
      <c r="Q86" s="21"/>
      <c r="R86" s="21"/>
      <c r="S86" s="21"/>
      <c r="T86" s="21"/>
      <c r="U86" s="20"/>
    </row>
    <row r="87" spans="1:21" x14ac:dyDescent="0.3">
      <c r="A87" s="18"/>
      <c r="B87" s="21"/>
      <c r="C87" s="21"/>
      <c r="D87" s="21"/>
      <c r="E87" s="21"/>
      <c r="F87" s="21"/>
      <c r="G87" s="21"/>
      <c r="H87" s="47" t="s">
        <v>258</v>
      </c>
      <c r="I87" s="47">
        <v>65.14</v>
      </c>
      <c r="J87" s="47" t="s">
        <v>106</v>
      </c>
      <c r="K87" s="35">
        <v>1500</v>
      </c>
      <c r="L87" s="21"/>
      <c r="M87" s="21"/>
      <c r="N87" s="21"/>
      <c r="O87" s="21"/>
      <c r="P87" s="21"/>
      <c r="Q87" s="21"/>
      <c r="R87" s="21"/>
      <c r="S87" s="21"/>
      <c r="T87" s="21"/>
      <c r="U87" s="20"/>
    </row>
    <row r="88" spans="1:21" x14ac:dyDescent="0.3">
      <c r="A88" s="18"/>
      <c r="B88" s="21"/>
      <c r="C88" s="21"/>
      <c r="D88" s="21"/>
      <c r="E88" s="21"/>
      <c r="F88" s="21"/>
      <c r="G88" s="21"/>
      <c r="H88" s="47" t="s">
        <v>258</v>
      </c>
      <c r="I88" s="47">
        <v>65.14</v>
      </c>
      <c r="J88" s="47" t="s">
        <v>107</v>
      </c>
      <c r="K88" s="35">
        <v>100</v>
      </c>
      <c r="L88" s="21"/>
      <c r="M88" s="21"/>
      <c r="N88" s="21"/>
      <c r="O88" s="21"/>
      <c r="P88" s="21"/>
      <c r="Q88" s="21"/>
      <c r="R88" s="21"/>
      <c r="S88" s="21"/>
      <c r="T88" s="21"/>
      <c r="U88" s="20"/>
    </row>
    <row r="89" spans="1:21" x14ac:dyDescent="0.3">
      <c r="A89" s="18"/>
      <c r="B89" s="21"/>
      <c r="C89" s="21"/>
      <c r="D89" s="21"/>
      <c r="E89" s="21"/>
      <c r="F89" s="21"/>
      <c r="G89" s="21"/>
      <c r="H89" s="21"/>
      <c r="I89" s="21"/>
      <c r="J89" s="21"/>
      <c r="K89" s="21"/>
      <c r="L89" s="21"/>
      <c r="M89" s="21"/>
      <c r="N89" s="21"/>
      <c r="O89" s="21"/>
      <c r="P89" s="21"/>
      <c r="Q89" s="21"/>
      <c r="R89" s="21"/>
      <c r="S89" s="21"/>
      <c r="T89" s="21"/>
      <c r="U89" s="20"/>
    </row>
    <row r="90" spans="1:21" x14ac:dyDescent="0.3">
      <c r="A90" s="18"/>
      <c r="B90" s="21"/>
      <c r="C90" s="21"/>
      <c r="D90" s="21"/>
      <c r="E90" s="21"/>
      <c r="F90" s="21"/>
      <c r="G90" s="21"/>
      <c r="H90" s="67"/>
      <c r="I90" s="67"/>
      <c r="J90" s="67"/>
      <c r="K90" s="67"/>
      <c r="L90" s="67"/>
      <c r="M90" s="67"/>
      <c r="N90" s="67"/>
      <c r="O90" s="67"/>
      <c r="P90" s="67"/>
      <c r="Q90" s="67"/>
      <c r="R90" s="67"/>
      <c r="S90" s="67"/>
      <c r="T90" s="21"/>
      <c r="U90" s="20"/>
    </row>
    <row r="91" spans="1:21" x14ac:dyDescent="0.3">
      <c r="A91" s="18"/>
      <c r="B91" s="21"/>
      <c r="C91" s="21"/>
      <c r="D91" s="21"/>
      <c r="E91" s="21"/>
      <c r="F91" s="21"/>
      <c r="G91" s="21"/>
      <c r="H91" s="21"/>
      <c r="I91" s="21"/>
      <c r="J91" s="21"/>
      <c r="K91" s="21"/>
      <c r="L91" s="21"/>
      <c r="M91" s="21"/>
      <c r="N91" s="21"/>
      <c r="O91" s="21"/>
      <c r="P91" s="21"/>
      <c r="Q91" s="21"/>
      <c r="R91" s="21"/>
      <c r="S91" s="21"/>
      <c r="T91" s="21"/>
      <c r="U91" s="20"/>
    </row>
    <row r="92" spans="1:21" x14ac:dyDescent="0.3">
      <c r="A92" s="18"/>
      <c r="B92" s="492" t="s">
        <v>259</v>
      </c>
      <c r="C92" s="529"/>
      <c r="D92" s="493"/>
      <c r="E92" s="21"/>
      <c r="F92" s="21"/>
      <c r="G92" s="21"/>
      <c r="H92" s="101" t="s">
        <v>265</v>
      </c>
      <c r="I92" s="492" t="s">
        <v>3401</v>
      </c>
      <c r="J92" s="493"/>
      <c r="K92" s="21"/>
      <c r="L92" s="21"/>
      <c r="M92" s="492" t="s">
        <v>266</v>
      </c>
      <c r="N92" s="493"/>
      <c r="O92" s="21"/>
      <c r="P92" s="21"/>
      <c r="Q92" s="21"/>
      <c r="R92" s="21"/>
      <c r="S92" s="21"/>
      <c r="T92" s="21"/>
      <c r="U92" s="20"/>
    </row>
    <row r="93" spans="1:21" x14ac:dyDescent="0.3">
      <c r="A93" s="18"/>
      <c r="B93" s="59" t="s">
        <v>2</v>
      </c>
      <c r="C93" s="60" t="s">
        <v>263</v>
      </c>
      <c r="D93" s="60" t="s">
        <v>63</v>
      </c>
      <c r="E93" s="21"/>
      <c r="F93" s="21"/>
      <c r="G93" s="21"/>
      <c r="H93" s="85" t="s">
        <v>263</v>
      </c>
      <c r="I93" s="3" t="str">
        <f t="array" ref="I93:J94">_xll.U.VLOOKUP(H93:H94,B93:D98,M94:N94)</f>
        <v>Symbol</v>
      </c>
      <c r="J93" s="3" t="str">
        <v>Price</v>
      </c>
      <c r="K93" s="21"/>
      <c r="L93" s="21"/>
      <c r="M93" s="9" t="s">
        <v>126</v>
      </c>
      <c r="N93" s="9" t="s">
        <v>264</v>
      </c>
      <c r="O93" s="21"/>
      <c r="P93" s="21"/>
      <c r="Q93" s="21"/>
      <c r="R93" s="21"/>
      <c r="S93" s="21"/>
      <c r="T93" s="21"/>
      <c r="U93" s="20"/>
    </row>
    <row r="94" spans="1:21" x14ac:dyDescent="0.3">
      <c r="A94" s="18"/>
      <c r="B94" s="42" t="s">
        <v>107</v>
      </c>
      <c r="C94" s="107">
        <v>0.62490740740740736</v>
      </c>
      <c r="D94" s="61">
        <v>159.34</v>
      </c>
      <c r="E94" s="21"/>
      <c r="F94" s="21"/>
      <c r="G94" s="21"/>
      <c r="H94" s="108">
        <v>0.625</v>
      </c>
      <c r="I94" s="35" t="str">
        <v>IBM</v>
      </c>
      <c r="J94" s="35">
        <v>159.36000000000001</v>
      </c>
      <c r="K94" s="21"/>
      <c r="L94" s="21"/>
      <c r="M94" s="79" t="s">
        <v>263</v>
      </c>
      <c r="N94" s="79">
        <v>12</v>
      </c>
      <c r="O94" s="21"/>
      <c r="P94" s="21"/>
      <c r="Q94" s="21"/>
      <c r="R94" s="21"/>
      <c r="S94" s="21"/>
      <c r="T94" s="21"/>
      <c r="U94" s="20"/>
    </row>
    <row r="95" spans="1:21" x14ac:dyDescent="0.3">
      <c r="A95" s="18"/>
      <c r="B95" s="42" t="s">
        <v>107</v>
      </c>
      <c r="C95" s="107">
        <v>0.62493055555555554</v>
      </c>
      <c r="D95" s="61">
        <v>159.35</v>
      </c>
      <c r="E95" s="21"/>
      <c r="F95" s="21"/>
      <c r="G95" s="21"/>
      <c r="H95" s="21"/>
      <c r="I95" s="21"/>
      <c r="J95" s="21"/>
      <c r="K95" s="21"/>
      <c r="L95" s="21"/>
      <c r="M95" s="21"/>
      <c r="N95" s="21"/>
      <c r="O95" s="21"/>
      <c r="P95" s="21"/>
      <c r="Q95" s="21"/>
      <c r="R95" s="21"/>
      <c r="S95" s="21"/>
      <c r="T95" s="21"/>
      <c r="U95" s="20"/>
    </row>
    <row r="96" spans="1:21" x14ac:dyDescent="0.3">
      <c r="A96" s="18"/>
      <c r="B96" s="42" t="s">
        <v>107</v>
      </c>
      <c r="C96" s="107">
        <v>0.62498842592592596</v>
      </c>
      <c r="D96" s="61">
        <v>159.36000000000001</v>
      </c>
      <c r="E96" s="21"/>
      <c r="F96" s="21"/>
      <c r="G96" s="21"/>
      <c r="H96" s="21"/>
      <c r="I96" s="21"/>
      <c r="J96" s="21"/>
      <c r="K96" s="21"/>
      <c r="L96" s="21"/>
      <c r="M96" s="21"/>
      <c r="N96" s="21"/>
      <c r="O96" s="21"/>
      <c r="P96" s="21"/>
      <c r="Q96" s="21"/>
      <c r="R96" s="21"/>
      <c r="S96" s="21"/>
      <c r="T96" s="21"/>
      <c r="U96" s="20"/>
    </row>
    <row r="97" spans="1:21" x14ac:dyDescent="0.3">
      <c r="A97" s="18"/>
      <c r="B97" s="42" t="s">
        <v>107</v>
      </c>
      <c r="C97" s="107">
        <v>0.625</v>
      </c>
      <c r="D97" s="61">
        <v>159.27000000000001</v>
      </c>
      <c r="E97" s="21"/>
      <c r="F97" s="21"/>
      <c r="G97" s="21"/>
      <c r="H97" s="3" t="str">
        <f t="array" ref="H97:J118">_xll.U.VLOOKUP("types")</f>
        <v>NAME</v>
      </c>
      <c r="I97" s="302" t="str">
        <v>VALUE</v>
      </c>
      <c r="J97" s="183" t="str">
        <v>DESCRIPTION</v>
      </c>
      <c r="K97" s="262"/>
      <c r="L97" s="262"/>
      <c r="M97" s="262"/>
      <c r="N97" s="263"/>
      <c r="O97" s="21"/>
      <c r="P97" s="21"/>
      <c r="Q97" s="21"/>
      <c r="R97" s="21"/>
      <c r="S97" s="21"/>
      <c r="T97" s="21"/>
      <c r="U97" s="20"/>
    </row>
    <row r="98" spans="1:21" x14ac:dyDescent="0.3">
      <c r="A98" s="18"/>
      <c r="B98" s="42" t="s">
        <v>107</v>
      </c>
      <c r="C98" s="107">
        <v>0.62501157407407404</v>
      </c>
      <c r="D98" s="61">
        <v>158.97999999999999</v>
      </c>
      <c r="E98" s="21"/>
      <c r="F98" s="21"/>
      <c r="G98" s="21"/>
      <c r="H98" s="30" t="str">
        <v>default</v>
      </c>
      <c r="I98" s="303" t="str">
        <v>0 (or blank)</v>
      </c>
      <c r="J98" s="250" t="str">
        <v>exact match; no wildcards; case-insensitive; with type conversion</v>
      </c>
      <c r="K98" s="112"/>
      <c r="L98" s="112"/>
      <c r="M98" s="112"/>
      <c r="N98" s="113"/>
      <c r="O98" s="21"/>
      <c r="P98" s="21"/>
      <c r="Q98" s="21"/>
      <c r="R98" s="21"/>
      <c r="S98" s="21"/>
      <c r="T98" s="21"/>
      <c r="U98" s="20"/>
    </row>
    <row r="99" spans="1:21" x14ac:dyDescent="0.3">
      <c r="A99" s="18"/>
      <c r="B99" s="21"/>
      <c r="C99" s="21"/>
      <c r="D99" s="21"/>
      <c r="E99" s="21"/>
      <c r="F99" s="21"/>
      <c r="G99" s="21"/>
      <c r="H99" s="30" t="str">
        <v>exact_OR_nearest</v>
      </c>
      <c r="I99" s="303">
        <v>1</v>
      </c>
      <c r="J99" s="250" t="str">
        <v>exact or nearest value if numeric; else same as default</v>
      </c>
      <c r="K99" s="112"/>
      <c r="L99" s="112"/>
      <c r="M99" s="112"/>
      <c r="N99" s="113"/>
      <c r="O99" s="21"/>
      <c r="P99" s="21"/>
      <c r="Q99" s="21"/>
      <c r="R99" s="21"/>
      <c r="S99" s="21"/>
      <c r="T99" s="21"/>
      <c r="U99" s="20"/>
    </row>
    <row r="100" spans="1:21" x14ac:dyDescent="0.3">
      <c r="A100" s="18"/>
      <c r="B100" s="21"/>
      <c r="C100" s="21"/>
      <c r="D100" s="21"/>
      <c r="E100" s="21"/>
      <c r="F100" s="21"/>
      <c r="G100" s="21"/>
      <c r="H100" s="30" t="str">
        <v>exact_OR_nearest_lesser</v>
      </c>
      <c r="I100" s="303">
        <v>2</v>
      </c>
      <c r="J100" s="250" t="str">
        <v>exact or nearest lesser value if numeric; else same as default</v>
      </c>
      <c r="K100" s="112"/>
      <c r="L100" s="112"/>
      <c r="M100" s="112"/>
      <c r="N100" s="113"/>
      <c r="O100" s="21"/>
      <c r="P100" s="21"/>
      <c r="Q100" s="21"/>
      <c r="R100" s="21"/>
      <c r="S100" s="21"/>
      <c r="T100" s="21"/>
      <c r="U100" s="20"/>
    </row>
    <row r="101" spans="1:21" x14ac:dyDescent="0.3">
      <c r="A101" s="18"/>
      <c r="B101" s="21"/>
      <c r="C101" s="21"/>
      <c r="D101" s="21"/>
      <c r="E101" s="21"/>
      <c r="F101" s="21"/>
      <c r="G101" s="21"/>
      <c r="H101" s="30" t="str">
        <v>exact_OR_nearest_greater</v>
      </c>
      <c r="I101" s="303">
        <v>3</v>
      </c>
      <c r="J101" s="250" t="str">
        <v>exact or nearest greater value if numeric; else same as default</v>
      </c>
      <c r="K101" s="112"/>
      <c r="L101" s="112"/>
      <c r="M101" s="112"/>
      <c r="N101" s="113"/>
      <c r="O101" s="21"/>
      <c r="P101" s="21"/>
      <c r="Q101" s="21"/>
      <c r="R101" s="21"/>
      <c r="S101" s="21"/>
      <c r="T101" s="21"/>
      <c r="U101" s="20"/>
    </row>
    <row r="102" spans="1:21" x14ac:dyDescent="0.3">
      <c r="A102" s="18"/>
      <c r="B102" s="21"/>
      <c r="C102" s="21"/>
      <c r="D102" s="21"/>
      <c r="E102" s="21"/>
      <c r="F102" s="21"/>
      <c r="G102" s="21"/>
      <c r="H102" s="30" t="str">
        <v>exact_OR_nearest_absolute</v>
      </c>
      <c r="I102" s="303">
        <v>4</v>
      </c>
      <c r="J102" s="250" t="str">
        <v>exact or nearest absolute value if numeric; else same as default</v>
      </c>
      <c r="K102" s="112"/>
      <c r="L102" s="112"/>
      <c r="M102" s="112"/>
      <c r="N102" s="113"/>
      <c r="O102" s="21"/>
      <c r="P102" s="21"/>
      <c r="Q102" s="21"/>
      <c r="R102" s="21"/>
      <c r="S102" s="21"/>
      <c r="T102" s="21"/>
      <c r="U102" s="20"/>
    </row>
    <row r="103" spans="1:21" x14ac:dyDescent="0.3">
      <c r="A103" s="18"/>
      <c r="B103" s="21"/>
      <c r="C103" s="21"/>
      <c r="D103" s="21"/>
      <c r="E103" s="21"/>
      <c r="F103" s="21"/>
      <c r="G103" s="21"/>
      <c r="H103" s="30" t="str">
        <v>exact_OR_nearest_lesser_absolute</v>
      </c>
      <c r="I103" s="303">
        <v>5</v>
      </c>
      <c r="J103" s="250" t="str">
        <v>exact or nearest lesser absolute value if numeric; else same as default</v>
      </c>
      <c r="K103" s="112"/>
      <c r="L103" s="112"/>
      <c r="M103" s="112"/>
      <c r="N103" s="113"/>
      <c r="O103" s="21"/>
      <c r="P103" s="21"/>
      <c r="Q103" s="21"/>
      <c r="R103" s="21"/>
      <c r="S103" s="21"/>
      <c r="T103" s="21"/>
      <c r="U103" s="20"/>
    </row>
    <row r="104" spans="1:21" x14ac:dyDescent="0.3">
      <c r="A104" s="18"/>
      <c r="B104" s="21"/>
      <c r="C104" s="21"/>
      <c r="D104" s="21"/>
      <c r="E104" s="21"/>
      <c r="F104" s="21"/>
      <c r="G104" s="21"/>
      <c r="H104" s="30" t="str">
        <v>exact_OR_nearest_greater_absolute</v>
      </c>
      <c r="I104" s="303">
        <v>6</v>
      </c>
      <c r="J104" s="250" t="str">
        <v>exact or nearest greater absolute value if numeric; else same as default</v>
      </c>
      <c r="K104" s="112"/>
      <c r="L104" s="112"/>
      <c r="M104" s="112"/>
      <c r="N104" s="113"/>
      <c r="O104" s="21"/>
      <c r="P104" s="21"/>
      <c r="Q104" s="21"/>
      <c r="R104" s="21"/>
      <c r="S104" s="21"/>
      <c r="T104" s="21"/>
      <c r="U104" s="20"/>
    </row>
    <row r="105" spans="1:21" x14ac:dyDescent="0.3">
      <c r="A105" s="18"/>
      <c r="B105" s="21"/>
      <c r="C105" s="21"/>
      <c r="D105" s="21"/>
      <c r="E105" s="21"/>
      <c r="F105" s="21"/>
      <c r="G105" s="21"/>
      <c r="H105" s="30" t="str">
        <v>exact_absolute</v>
      </c>
      <c r="I105" s="303">
        <v>7</v>
      </c>
      <c r="J105" s="250" t="str">
        <v>exact absolute value if numeric; else same as default</v>
      </c>
      <c r="K105" s="112"/>
      <c r="L105" s="112"/>
      <c r="M105" s="112"/>
      <c r="N105" s="113"/>
      <c r="O105" s="21"/>
      <c r="P105" s="21"/>
      <c r="Q105" s="21"/>
      <c r="R105" s="21"/>
      <c r="S105" s="21"/>
      <c r="T105" s="21"/>
      <c r="U105" s="20"/>
    </row>
    <row r="106" spans="1:21" x14ac:dyDescent="0.3">
      <c r="A106" s="18"/>
      <c r="B106" s="21"/>
      <c r="C106" s="21"/>
      <c r="D106" s="21"/>
      <c r="E106" s="21"/>
      <c r="F106" s="21"/>
      <c r="G106" s="21"/>
      <c r="H106" s="30" t="str">
        <v>nearest_NOT_exact</v>
      </c>
      <c r="I106" s="303">
        <v>11</v>
      </c>
      <c r="J106" s="250" t="str">
        <v>nearest value not exact if numeric; else same as default</v>
      </c>
      <c r="K106" s="112"/>
      <c r="L106" s="112"/>
      <c r="M106" s="112"/>
      <c r="N106" s="113"/>
      <c r="O106" s="21"/>
      <c r="P106" s="21"/>
      <c r="Q106" s="21"/>
      <c r="R106" s="21"/>
      <c r="S106" s="21"/>
      <c r="T106" s="21"/>
      <c r="U106" s="20"/>
    </row>
    <row r="107" spans="1:21" x14ac:dyDescent="0.3">
      <c r="A107" s="18"/>
      <c r="B107" s="21"/>
      <c r="C107" s="21"/>
      <c r="D107" s="21"/>
      <c r="E107" s="21"/>
      <c r="F107" s="21"/>
      <c r="G107" s="21"/>
      <c r="H107" s="30" t="str">
        <v>nearest_lesser_NOT_exact</v>
      </c>
      <c r="I107" s="303">
        <v>12</v>
      </c>
      <c r="J107" s="250" t="str">
        <v>nearest lesser value not exact if numeric; else same as default</v>
      </c>
      <c r="K107" s="112"/>
      <c r="L107" s="112"/>
      <c r="M107" s="112"/>
      <c r="N107" s="113"/>
      <c r="O107" s="21"/>
      <c r="P107" s="21"/>
      <c r="Q107" s="21"/>
      <c r="R107" s="21"/>
      <c r="S107" s="21"/>
      <c r="T107" s="21"/>
      <c r="U107" s="20"/>
    </row>
    <row r="108" spans="1:21" x14ac:dyDescent="0.3">
      <c r="A108" s="18"/>
      <c r="B108" s="21"/>
      <c r="C108" s="21"/>
      <c r="D108" s="21"/>
      <c r="E108" s="21"/>
      <c r="F108" s="21"/>
      <c r="G108" s="21"/>
      <c r="H108" s="30" t="str">
        <v>nearest_greater_NOT_exact</v>
      </c>
      <c r="I108" s="303">
        <v>13</v>
      </c>
      <c r="J108" s="250" t="str">
        <v>nearest greater value not exact if numeric; else same as default</v>
      </c>
      <c r="K108" s="112"/>
      <c r="L108" s="112"/>
      <c r="M108" s="112"/>
      <c r="N108" s="113"/>
      <c r="O108" s="21"/>
      <c r="P108" s="21"/>
      <c r="Q108" s="21"/>
      <c r="R108" s="21"/>
      <c r="S108" s="21"/>
      <c r="T108" s="21"/>
      <c r="U108" s="20"/>
    </row>
    <row r="109" spans="1:21" x14ac:dyDescent="0.3">
      <c r="A109" s="18"/>
      <c r="B109" s="21"/>
      <c r="C109" s="21"/>
      <c r="D109" s="21"/>
      <c r="E109" s="21"/>
      <c r="F109" s="21"/>
      <c r="G109" s="21"/>
      <c r="H109" s="30" t="str">
        <v>nearest_absolute_NOT_exact</v>
      </c>
      <c r="I109" s="303">
        <v>14</v>
      </c>
      <c r="J109" s="250" t="str">
        <v>nearest absolute value not exact if numeric; else same as default</v>
      </c>
      <c r="K109" s="112"/>
      <c r="L109" s="112"/>
      <c r="M109" s="112"/>
      <c r="N109" s="113"/>
      <c r="O109" s="21"/>
      <c r="P109" s="21"/>
      <c r="Q109" s="21"/>
      <c r="R109" s="21"/>
      <c r="S109" s="21"/>
      <c r="T109" s="21"/>
      <c r="U109" s="20"/>
    </row>
    <row r="110" spans="1:21" x14ac:dyDescent="0.3">
      <c r="A110" s="18"/>
      <c r="B110" s="21"/>
      <c r="C110" s="21"/>
      <c r="D110" s="21"/>
      <c r="E110" s="21"/>
      <c r="F110" s="21"/>
      <c r="G110" s="21"/>
      <c r="H110" s="30" t="str">
        <v>nearest_lesser_absolute_NOT_exact</v>
      </c>
      <c r="I110" s="303">
        <v>15</v>
      </c>
      <c r="J110" s="250" t="str">
        <v>nearest lesser absolute value not exact if numeric; else same as default</v>
      </c>
      <c r="K110" s="112"/>
      <c r="L110" s="112"/>
      <c r="M110" s="112"/>
      <c r="N110" s="113"/>
      <c r="O110" s="21"/>
      <c r="P110" s="21"/>
      <c r="Q110" s="21"/>
      <c r="R110" s="21"/>
      <c r="S110" s="21"/>
      <c r="T110" s="21"/>
      <c r="U110" s="20"/>
    </row>
    <row r="111" spans="1:21" x14ac:dyDescent="0.3">
      <c r="A111" s="18"/>
      <c r="B111" s="21"/>
      <c r="C111" s="21"/>
      <c r="D111" s="21"/>
      <c r="E111" s="21"/>
      <c r="F111" s="21"/>
      <c r="G111" s="21"/>
      <c r="H111" s="30" t="str">
        <v>nearest_greater_absolute_NOT_exact</v>
      </c>
      <c r="I111" s="303">
        <v>16</v>
      </c>
      <c r="J111" s="250" t="str">
        <v>nearest greater absolute value not exact if numeric; else same as default</v>
      </c>
      <c r="K111" s="112"/>
      <c r="L111" s="112"/>
      <c r="M111" s="112"/>
      <c r="N111" s="113"/>
      <c r="O111" s="21"/>
      <c r="P111" s="21"/>
      <c r="Q111" s="21"/>
      <c r="R111" s="21"/>
      <c r="S111" s="21"/>
      <c r="T111" s="21"/>
      <c r="U111" s="20"/>
    </row>
    <row r="112" spans="1:21" x14ac:dyDescent="0.3">
      <c r="A112" s="18"/>
      <c r="B112" s="21"/>
      <c r="C112" s="21"/>
      <c r="D112" s="21"/>
      <c r="E112" s="21"/>
      <c r="F112" s="21"/>
      <c r="G112" s="21"/>
      <c r="H112" s="30" t="str">
        <v>string_case_insensitive</v>
      </c>
      <c r="I112" s="303">
        <v>-1</v>
      </c>
      <c r="J112" s="250" t="str">
        <v>string match; case-insensitive ("023" will not match number 23)</v>
      </c>
      <c r="K112" s="112"/>
      <c r="L112" s="112"/>
      <c r="M112" s="112"/>
      <c r="N112" s="113"/>
      <c r="O112" s="21"/>
      <c r="P112" s="21"/>
      <c r="Q112" s="21"/>
      <c r="R112" s="21"/>
      <c r="S112" s="21"/>
      <c r="T112" s="21"/>
      <c r="U112" s="20"/>
    </row>
    <row r="113" spans="1:21" x14ac:dyDescent="0.3">
      <c r="A113" s="18"/>
      <c r="B113" s="21"/>
      <c r="C113" s="21"/>
      <c r="D113" s="21"/>
      <c r="E113" s="21"/>
      <c r="F113" s="21"/>
      <c r="G113" s="21"/>
      <c r="H113" s="30" t="str">
        <v>string_case_sensitive</v>
      </c>
      <c r="I113" s="303">
        <v>-2</v>
      </c>
      <c r="J113" s="250" t="str">
        <v>string match; case-sensitive ("Tom" will not match number "tom")</v>
      </c>
      <c r="K113" s="112"/>
      <c r="L113" s="112"/>
      <c r="M113" s="112"/>
      <c r="N113" s="113"/>
      <c r="O113" s="21"/>
      <c r="P113" s="21"/>
      <c r="Q113" s="21"/>
      <c r="R113" s="21"/>
      <c r="S113" s="21"/>
      <c r="T113" s="21"/>
      <c r="U113" s="20"/>
    </row>
    <row r="114" spans="1:21" x14ac:dyDescent="0.3">
      <c r="A114" s="18"/>
      <c r="B114" s="21"/>
      <c r="C114" s="21"/>
      <c r="D114" s="21"/>
      <c r="E114" s="21"/>
      <c r="F114" s="21"/>
      <c r="G114" s="21"/>
      <c r="H114" s="30" t="str">
        <v>string_with_wildcards_case_insensitive</v>
      </c>
      <c r="I114" s="303">
        <v>-3</v>
      </c>
      <c r="J114" s="250" t="str">
        <v>string match with wildcards; case-insensitive ("B*a?a" matches "banana")</v>
      </c>
      <c r="K114" s="112"/>
      <c r="L114" s="112"/>
      <c r="M114" s="112"/>
      <c r="N114" s="113"/>
      <c r="O114" s="21"/>
      <c r="P114" s="21"/>
      <c r="Q114" s="21"/>
      <c r="R114" s="21"/>
      <c r="S114" s="21"/>
      <c r="T114" s="21"/>
      <c r="U114" s="20"/>
    </row>
    <row r="115" spans="1:21" x14ac:dyDescent="0.3">
      <c r="A115" s="18"/>
      <c r="B115" s="21"/>
      <c r="C115" s="21"/>
      <c r="D115" s="21"/>
      <c r="E115" s="21"/>
      <c r="F115" s="21"/>
      <c r="G115" s="21"/>
      <c r="H115" s="30" t="str">
        <v>string_with_wildcards_case_sensitive</v>
      </c>
      <c r="I115" s="303">
        <v>-4</v>
      </c>
      <c r="J115" s="250" t="str">
        <v>string match with wildcards; case-sensitive ("B*a?a" matches "Banana" but not "banana"))</v>
      </c>
      <c r="K115" s="112"/>
      <c r="L115" s="112"/>
      <c r="M115" s="112"/>
      <c r="N115" s="113"/>
      <c r="O115" s="21"/>
      <c r="P115" s="21"/>
      <c r="Q115" s="21"/>
      <c r="R115" s="21"/>
      <c r="S115" s="21"/>
      <c r="T115" s="21"/>
      <c r="U115" s="20"/>
    </row>
    <row r="116" spans="1:21" x14ac:dyDescent="0.3">
      <c r="A116" s="18"/>
      <c r="B116" s="21"/>
      <c r="C116" s="21"/>
      <c r="D116" s="21"/>
      <c r="E116" s="21"/>
      <c r="F116" s="21"/>
      <c r="G116" s="21"/>
      <c r="H116" s="30" t="str">
        <v>regular_expression_case_insensitive</v>
      </c>
      <c r="I116" s="303">
        <v>-5</v>
      </c>
      <c r="J116" s="250" t="str">
        <v>string match with regular expression; case-insensitive ("A.{1}a" matches "Ana" but not "Anna"))</v>
      </c>
      <c r="K116" s="112"/>
      <c r="L116" s="112"/>
      <c r="M116" s="112"/>
      <c r="N116" s="113"/>
      <c r="O116" s="21"/>
      <c r="P116" s="21"/>
      <c r="Q116" s="21"/>
      <c r="R116" s="21"/>
      <c r="S116" s="21"/>
      <c r="T116" s="21"/>
      <c r="U116" s="20"/>
    </row>
    <row r="117" spans="1:21" x14ac:dyDescent="0.3">
      <c r="A117" s="18"/>
      <c r="B117" s="21"/>
      <c r="C117" s="21"/>
      <c r="D117" s="21"/>
      <c r="E117" s="21"/>
      <c r="F117" s="21"/>
      <c r="G117" s="21"/>
      <c r="H117" s="30" t="str">
        <v>regular_expression_case_sensitive</v>
      </c>
      <c r="I117" s="303">
        <v>-6</v>
      </c>
      <c r="J117" s="250" t="str">
        <v>string match with regular expression; case-sensitive ("A.{1}a" matches "Ana" but not "ana"))</v>
      </c>
      <c r="K117" s="112"/>
      <c r="L117" s="112"/>
      <c r="M117" s="112"/>
      <c r="N117" s="113"/>
      <c r="O117" s="21"/>
      <c r="P117" s="21"/>
      <c r="Q117" s="21"/>
      <c r="R117" s="21"/>
      <c r="S117" s="21"/>
      <c r="T117" s="21"/>
      <c r="U117" s="20"/>
    </row>
    <row r="118" spans="1:21" x14ac:dyDescent="0.3">
      <c r="A118" s="18"/>
      <c r="B118" s="21"/>
      <c r="C118" s="21"/>
      <c r="D118" s="21"/>
      <c r="E118" s="21"/>
      <c r="F118" s="21"/>
      <c r="G118" s="21"/>
      <c r="H118" s="30" t="str">
        <v>anything</v>
      </c>
      <c r="I118" s="303" t="str">
        <v>*</v>
      </c>
      <c r="J118" s="250" t="str">
        <v>matches anything; even treats as matched if column does not exist in data; used to make column available to be returned</v>
      </c>
      <c r="K118" s="112"/>
      <c r="L118" s="112"/>
      <c r="M118" s="112"/>
      <c r="N118" s="113"/>
      <c r="O118" s="21"/>
      <c r="P118" s="21"/>
      <c r="Q118" s="21"/>
      <c r="R118" s="21"/>
      <c r="S118" s="21"/>
      <c r="T118" s="21"/>
      <c r="U118" s="20"/>
    </row>
    <row r="119" spans="1:21" x14ac:dyDescent="0.3">
      <c r="A119" s="18"/>
      <c r="B119" s="21"/>
      <c r="C119" s="21"/>
      <c r="D119" s="21"/>
      <c r="E119" s="21"/>
      <c r="F119" s="21"/>
      <c r="G119" s="21"/>
      <c r="H119" s="21"/>
      <c r="I119" s="21"/>
      <c r="J119" s="21"/>
      <c r="K119" s="21"/>
      <c r="L119" s="21"/>
      <c r="M119" s="21"/>
      <c r="N119" s="21"/>
      <c r="O119" s="21"/>
      <c r="P119" s="21"/>
      <c r="Q119" s="21"/>
      <c r="R119" s="21"/>
      <c r="S119" s="21"/>
      <c r="T119" s="21"/>
      <c r="U119" s="20"/>
    </row>
    <row r="120" spans="1:21" x14ac:dyDescent="0.3">
      <c r="A120" s="18"/>
      <c r="B120" s="21"/>
      <c r="C120" s="21"/>
      <c r="D120" s="21"/>
      <c r="E120" s="21"/>
      <c r="F120" s="21"/>
      <c r="G120" s="21"/>
      <c r="H120" s="21"/>
      <c r="I120" s="21"/>
      <c r="J120" s="21"/>
      <c r="K120" s="21"/>
      <c r="L120" s="21"/>
      <c r="M120" s="21"/>
      <c r="N120" s="21"/>
      <c r="O120" s="21"/>
      <c r="P120" s="21"/>
      <c r="Q120" s="21"/>
      <c r="R120" s="21"/>
      <c r="S120" s="21"/>
      <c r="T120" s="21"/>
      <c r="U120" s="20"/>
    </row>
    <row r="121" spans="1:21" x14ac:dyDescent="0.3">
      <c r="A121" s="18"/>
      <c r="B121" s="21"/>
      <c r="C121" s="21"/>
      <c r="D121" s="21"/>
      <c r="E121" s="21"/>
      <c r="F121" s="21"/>
      <c r="G121" s="21"/>
      <c r="H121" s="21"/>
      <c r="I121" s="21"/>
      <c r="J121" s="21"/>
      <c r="K121" s="21"/>
      <c r="L121" s="21"/>
      <c r="M121" s="21"/>
      <c r="N121" s="21"/>
      <c r="O121" s="21"/>
      <c r="P121" s="21"/>
      <c r="Q121" s="21"/>
      <c r="R121" s="21"/>
      <c r="S121" s="21"/>
      <c r="T121" s="21"/>
      <c r="U121" s="20"/>
    </row>
    <row r="122" spans="1:21" x14ac:dyDescent="0.3">
      <c r="A122" s="18"/>
      <c r="B122" s="21"/>
      <c r="C122" s="21"/>
      <c r="D122" s="21"/>
      <c r="E122" s="21"/>
      <c r="F122" s="21"/>
      <c r="G122" s="21"/>
      <c r="H122" s="21"/>
      <c r="I122" s="21"/>
      <c r="J122" s="21"/>
      <c r="K122" s="21"/>
      <c r="L122" s="21"/>
      <c r="M122" s="21"/>
      <c r="N122" s="21"/>
      <c r="O122" s="21"/>
      <c r="P122" s="21"/>
      <c r="Q122" s="21"/>
      <c r="R122" s="21"/>
      <c r="S122" s="21"/>
      <c r="T122" s="21"/>
      <c r="U122" s="20"/>
    </row>
    <row r="123" spans="1:21" x14ac:dyDescent="0.3">
      <c r="A123" s="18"/>
      <c r="B123" s="21"/>
      <c r="C123" s="21"/>
      <c r="D123" s="21"/>
      <c r="E123" s="21"/>
      <c r="F123" s="21"/>
      <c r="G123" s="21"/>
      <c r="H123" s="21"/>
      <c r="I123" s="21"/>
      <c r="J123" s="21"/>
      <c r="K123" s="21"/>
      <c r="L123" s="21"/>
      <c r="M123" s="21"/>
      <c r="N123" s="21"/>
      <c r="O123" s="21"/>
      <c r="P123" s="21"/>
      <c r="Q123" s="21"/>
      <c r="R123" s="21"/>
      <c r="S123" s="21"/>
      <c r="T123" s="21"/>
      <c r="U123" s="20"/>
    </row>
    <row r="124" spans="1:21" x14ac:dyDescent="0.3">
      <c r="A124" s="18"/>
      <c r="B124" s="21"/>
      <c r="C124" s="21"/>
      <c r="D124" s="21"/>
      <c r="E124" s="21"/>
      <c r="F124" s="21"/>
      <c r="G124" s="21"/>
      <c r="H124" s="21"/>
      <c r="I124" s="21"/>
      <c r="J124" s="21"/>
      <c r="K124" s="21"/>
      <c r="L124" s="21"/>
      <c r="M124" s="21"/>
      <c r="N124" s="21"/>
      <c r="O124" s="21"/>
      <c r="P124" s="21"/>
      <c r="Q124" s="21"/>
      <c r="R124" s="21"/>
      <c r="S124" s="21"/>
      <c r="T124" s="21"/>
      <c r="U124" s="20"/>
    </row>
    <row r="125" spans="1:21" x14ac:dyDescent="0.3">
      <c r="A125" s="18"/>
      <c r="B125" s="21"/>
      <c r="C125" s="21"/>
      <c r="D125" s="21"/>
      <c r="E125" s="21"/>
      <c r="F125" s="21"/>
      <c r="G125" s="21"/>
      <c r="H125" s="21"/>
      <c r="I125" s="21"/>
      <c r="J125" s="21"/>
      <c r="K125" s="21"/>
      <c r="L125" s="21"/>
      <c r="M125" s="21"/>
      <c r="N125" s="21"/>
      <c r="O125" s="21"/>
      <c r="P125" s="21"/>
      <c r="Q125" s="21"/>
      <c r="R125" s="21"/>
      <c r="S125" s="21"/>
      <c r="T125" s="21"/>
      <c r="U125" s="20"/>
    </row>
    <row r="126" spans="1:21" x14ac:dyDescent="0.3">
      <c r="A126" s="18"/>
      <c r="B126" s="21"/>
      <c r="C126" s="21"/>
      <c r="D126" s="21"/>
      <c r="E126" s="21"/>
      <c r="F126" s="21"/>
      <c r="G126" s="21"/>
      <c r="H126" s="21"/>
      <c r="I126" s="21"/>
      <c r="J126" s="21"/>
      <c r="K126" s="21"/>
      <c r="L126" s="21"/>
      <c r="M126" s="21"/>
      <c r="N126" s="21"/>
      <c r="O126" s="21"/>
      <c r="P126" s="21"/>
      <c r="Q126" s="21"/>
      <c r="R126" s="21"/>
      <c r="S126" s="21"/>
      <c r="T126" s="21"/>
      <c r="U126" s="20"/>
    </row>
    <row r="127" spans="1:21" x14ac:dyDescent="0.3">
      <c r="A127" s="18"/>
      <c r="B127" s="21"/>
      <c r="C127" s="21"/>
      <c r="D127" s="21"/>
      <c r="E127" s="21"/>
      <c r="F127" s="21"/>
      <c r="G127" s="21"/>
      <c r="H127" s="21"/>
      <c r="I127" s="21"/>
      <c r="J127" s="21"/>
      <c r="K127" s="21"/>
      <c r="L127" s="21"/>
      <c r="M127" s="21"/>
      <c r="N127" s="21"/>
      <c r="O127" s="21"/>
      <c r="P127" s="21"/>
      <c r="Q127" s="21"/>
      <c r="R127" s="21"/>
      <c r="S127" s="21"/>
      <c r="T127" s="21"/>
      <c r="U127" s="20"/>
    </row>
    <row r="128" spans="1:21" x14ac:dyDescent="0.3">
      <c r="A128" s="18"/>
      <c r="B128" s="21"/>
      <c r="C128" s="21"/>
      <c r="D128" s="21"/>
      <c r="E128" s="21"/>
      <c r="F128" s="21"/>
      <c r="G128" s="21"/>
      <c r="H128" s="21"/>
      <c r="I128" s="21"/>
      <c r="J128" s="21"/>
      <c r="K128" s="21"/>
      <c r="L128" s="21"/>
      <c r="M128" s="21"/>
      <c r="N128" s="21"/>
      <c r="O128" s="21"/>
      <c r="P128" s="21"/>
      <c r="Q128" s="21"/>
      <c r="R128" s="21"/>
      <c r="S128" s="21"/>
      <c r="T128" s="21"/>
      <c r="U128" s="20"/>
    </row>
    <row r="129" spans="1:21" x14ac:dyDescent="0.3">
      <c r="A129" s="18"/>
      <c r="B129" s="21"/>
      <c r="C129" s="21"/>
      <c r="D129" s="21"/>
      <c r="E129" s="21"/>
      <c r="F129" s="21"/>
      <c r="G129" s="21"/>
      <c r="H129" s="21"/>
      <c r="I129" s="21"/>
      <c r="J129" s="21"/>
      <c r="K129" s="21"/>
      <c r="L129" s="21"/>
      <c r="M129" s="21"/>
      <c r="N129" s="21"/>
      <c r="O129" s="21"/>
      <c r="P129" s="21"/>
      <c r="Q129" s="21"/>
      <c r="R129" s="21"/>
      <c r="S129" s="21"/>
      <c r="T129" s="21"/>
      <c r="U129" s="20"/>
    </row>
    <row r="130" spans="1:21" x14ac:dyDescent="0.3">
      <c r="A130" s="18"/>
      <c r="B130" s="492" t="s">
        <v>259</v>
      </c>
      <c r="C130" s="529"/>
      <c r="D130" s="493"/>
      <c r="E130" s="21"/>
      <c r="F130" s="21"/>
      <c r="G130" s="21"/>
      <c r="H130" s="492" t="s">
        <v>265</v>
      </c>
      <c r="I130" s="493"/>
      <c r="J130" s="2" t="s">
        <v>3401</v>
      </c>
      <c r="K130" s="21"/>
      <c r="L130" s="21"/>
      <c r="M130" s="492" t="s">
        <v>266</v>
      </c>
      <c r="N130" s="493"/>
      <c r="O130" s="21"/>
      <c r="P130" s="21"/>
      <c r="Q130" s="21"/>
      <c r="R130" s="21"/>
      <c r="S130" s="21"/>
      <c r="T130" s="21"/>
      <c r="U130" s="20"/>
    </row>
    <row r="131" spans="1:21" x14ac:dyDescent="0.3">
      <c r="A131" s="18"/>
      <c r="B131" s="59" t="s">
        <v>2</v>
      </c>
      <c r="C131" s="60" t="s">
        <v>263</v>
      </c>
      <c r="D131" s="60" t="s">
        <v>63</v>
      </c>
      <c r="E131" s="21"/>
      <c r="F131" s="21"/>
      <c r="G131" s="21"/>
      <c r="H131" s="85" t="s">
        <v>2</v>
      </c>
      <c r="I131" s="85" t="s">
        <v>263</v>
      </c>
      <c r="J131" s="3" t="str">
        <f t="array" ref="J131:J133">_xll.U.VLOOKUP(H131:I133,B131:D136,M132:N132,"Price")</f>
        <v>Price</v>
      </c>
      <c r="K131" s="21"/>
      <c r="L131" s="21"/>
      <c r="M131" s="9" t="s">
        <v>126</v>
      </c>
      <c r="N131" s="9" t="s">
        <v>264</v>
      </c>
      <c r="O131" s="21"/>
      <c r="P131" s="21"/>
      <c r="Q131" s="21"/>
      <c r="R131" s="21"/>
      <c r="S131" s="21"/>
      <c r="T131" s="21"/>
      <c r="U131" s="20"/>
    </row>
    <row r="132" spans="1:21" x14ac:dyDescent="0.3">
      <c r="A132" s="18"/>
      <c r="B132" s="42" t="s">
        <v>107</v>
      </c>
      <c r="C132" s="107">
        <v>0.62490740740740736</v>
      </c>
      <c r="D132" s="61">
        <v>159.34</v>
      </c>
      <c r="E132" s="21"/>
      <c r="F132" s="21"/>
      <c r="G132" s="21"/>
      <c r="H132" s="47" t="s">
        <v>106</v>
      </c>
      <c r="I132" s="108">
        <v>0.625</v>
      </c>
      <c r="J132" s="35">
        <v>141.97</v>
      </c>
      <c r="K132" s="21"/>
      <c r="L132" s="21"/>
      <c r="M132" s="79" t="s">
        <v>263</v>
      </c>
      <c r="N132" s="79">
        <v>12</v>
      </c>
      <c r="O132" s="21"/>
      <c r="P132" s="21"/>
      <c r="Q132" s="21"/>
      <c r="R132" s="21"/>
      <c r="S132" s="21"/>
      <c r="T132" s="21"/>
      <c r="U132" s="20"/>
    </row>
    <row r="133" spans="1:21" x14ac:dyDescent="0.3">
      <c r="A133" s="18"/>
      <c r="B133" s="42" t="s">
        <v>106</v>
      </c>
      <c r="C133" s="107">
        <v>0.62493055555555554</v>
      </c>
      <c r="D133" s="61">
        <v>141.97</v>
      </c>
      <c r="E133" s="21"/>
      <c r="F133" s="21"/>
      <c r="G133" s="21"/>
      <c r="H133" s="47" t="s">
        <v>107</v>
      </c>
      <c r="I133" s="108">
        <v>0.625</v>
      </c>
      <c r="J133" s="35">
        <v>159.36000000000001</v>
      </c>
      <c r="K133" s="21"/>
      <c r="L133" s="21"/>
      <c r="M133" s="21"/>
      <c r="N133" s="21"/>
      <c r="O133" s="21"/>
      <c r="P133" s="21"/>
      <c r="Q133" s="21"/>
      <c r="R133" s="21"/>
      <c r="S133" s="21"/>
      <c r="T133" s="21"/>
      <c r="U133" s="20"/>
    </row>
    <row r="134" spans="1:21" x14ac:dyDescent="0.3">
      <c r="A134" s="18"/>
      <c r="B134" s="42" t="s">
        <v>107</v>
      </c>
      <c r="C134" s="107">
        <v>0.62498842592592596</v>
      </c>
      <c r="D134" s="61">
        <v>159.36000000000001</v>
      </c>
      <c r="E134" s="21"/>
      <c r="F134" s="21"/>
      <c r="G134" s="21"/>
      <c r="H134" s="21"/>
      <c r="I134" s="21"/>
      <c r="J134" s="21"/>
      <c r="K134" s="21"/>
      <c r="L134" s="21"/>
      <c r="M134" s="21"/>
      <c r="N134" s="21"/>
      <c r="O134" s="21"/>
      <c r="P134" s="21"/>
      <c r="Q134" s="21"/>
      <c r="R134" s="21"/>
      <c r="S134" s="21"/>
      <c r="T134" s="21"/>
      <c r="U134" s="20"/>
    </row>
    <row r="135" spans="1:21" x14ac:dyDescent="0.3">
      <c r="A135" s="18"/>
      <c r="B135" s="42" t="s">
        <v>106</v>
      </c>
      <c r="C135" s="107">
        <v>0.625</v>
      </c>
      <c r="D135" s="61">
        <v>141.91999999999999</v>
      </c>
      <c r="E135" s="21"/>
      <c r="F135" s="21"/>
      <c r="G135" s="21"/>
      <c r="H135" s="21"/>
      <c r="I135" s="21"/>
      <c r="J135" s="21"/>
      <c r="K135" s="21"/>
      <c r="L135" s="21"/>
      <c r="M135" s="21"/>
      <c r="N135" s="21"/>
      <c r="O135" s="21"/>
      <c r="P135" s="21"/>
      <c r="Q135" s="21"/>
      <c r="R135" s="21"/>
      <c r="S135" s="21"/>
      <c r="T135" s="21"/>
      <c r="U135" s="20"/>
    </row>
    <row r="136" spans="1:21" x14ac:dyDescent="0.3">
      <c r="A136" s="18"/>
      <c r="B136" s="42" t="s">
        <v>107</v>
      </c>
      <c r="C136" s="107">
        <v>0.62501157407407404</v>
      </c>
      <c r="D136" s="61">
        <v>158.97999999999999</v>
      </c>
      <c r="E136" s="21"/>
      <c r="F136" s="21"/>
      <c r="G136" s="21"/>
      <c r="H136" s="21"/>
      <c r="I136" s="21"/>
      <c r="J136" s="21"/>
      <c r="K136" s="21"/>
      <c r="L136" s="21"/>
      <c r="M136" s="21"/>
      <c r="N136" s="21"/>
      <c r="O136" s="21"/>
      <c r="P136" s="21"/>
      <c r="Q136" s="21"/>
      <c r="R136" s="21"/>
      <c r="S136" s="21"/>
      <c r="T136" s="21"/>
      <c r="U136" s="20"/>
    </row>
    <row r="137" spans="1:21" x14ac:dyDescent="0.3">
      <c r="A137" s="18"/>
      <c r="B137" s="21"/>
      <c r="C137" s="21"/>
      <c r="D137" s="21"/>
      <c r="E137" s="21"/>
      <c r="F137" s="21"/>
      <c r="G137" s="21"/>
      <c r="H137" s="21"/>
      <c r="I137" s="106"/>
      <c r="J137" s="21"/>
      <c r="K137" s="21"/>
      <c r="L137" s="21"/>
      <c r="M137" s="21"/>
      <c r="N137" s="21"/>
      <c r="O137" s="21"/>
      <c r="P137" s="21"/>
      <c r="Q137" s="21"/>
      <c r="R137" s="21"/>
      <c r="S137" s="21"/>
      <c r="T137" s="21"/>
      <c r="U137" s="20"/>
    </row>
    <row r="138" spans="1:21" x14ac:dyDescent="0.3">
      <c r="A138" s="18"/>
      <c r="B138" s="21"/>
      <c r="C138" s="21"/>
      <c r="D138" s="21"/>
      <c r="E138" s="21"/>
      <c r="F138" s="21"/>
      <c r="G138" s="21"/>
      <c r="H138" s="492" t="s">
        <v>265</v>
      </c>
      <c r="I138" s="493"/>
      <c r="J138" s="2" t="s">
        <v>3401</v>
      </c>
      <c r="K138" s="21"/>
      <c r="L138" s="21"/>
      <c r="M138" s="492" t="s">
        <v>266</v>
      </c>
      <c r="N138" s="493"/>
      <c r="O138" s="21"/>
      <c r="P138" s="21"/>
      <c r="Q138" s="21"/>
      <c r="R138" s="21"/>
      <c r="S138" s="21"/>
      <c r="T138" s="21"/>
      <c r="U138" s="20"/>
    </row>
    <row r="139" spans="1:21" x14ac:dyDescent="0.3">
      <c r="A139" s="18"/>
      <c r="B139" s="21"/>
      <c r="C139" s="21"/>
      <c r="D139" s="21"/>
      <c r="E139" s="21"/>
      <c r="F139" s="21"/>
      <c r="G139" s="21"/>
      <c r="H139" s="85" t="s">
        <v>2</v>
      </c>
      <c r="I139" s="85" t="s">
        <v>263</v>
      </c>
      <c r="J139" s="3" t="str">
        <f t="array" ref="J139:J141">_xll.U.VLOOKUP(H139:I141,B131:D136,M140:N140,"Price")</f>
        <v>Price</v>
      </c>
      <c r="K139" s="21"/>
      <c r="L139" s="21"/>
      <c r="M139" s="9" t="s">
        <v>126</v>
      </c>
      <c r="N139" s="9" t="s">
        <v>264</v>
      </c>
      <c r="O139" s="21"/>
      <c r="P139" s="21"/>
      <c r="Q139" s="21"/>
      <c r="R139" s="21"/>
      <c r="S139" s="21"/>
      <c r="T139" s="21"/>
      <c r="U139" s="20"/>
    </row>
    <row r="140" spans="1:21" x14ac:dyDescent="0.3">
      <c r="A140" s="18"/>
      <c r="B140" s="21"/>
      <c r="C140" s="21"/>
      <c r="D140" s="21"/>
      <c r="E140" s="21"/>
      <c r="F140" s="21"/>
      <c r="G140" s="21"/>
      <c r="H140" s="47" t="s">
        <v>106</v>
      </c>
      <c r="I140" s="108">
        <v>0.625</v>
      </c>
      <c r="J140" s="35" t="e">
        <v>#N/A</v>
      </c>
      <c r="K140" s="21"/>
      <c r="L140" s="21"/>
      <c r="M140" s="79" t="s">
        <v>263</v>
      </c>
      <c r="N140" s="79" t="s">
        <v>277</v>
      </c>
      <c r="O140" s="21"/>
      <c r="P140" s="21"/>
      <c r="Q140" s="21"/>
      <c r="R140" s="21"/>
      <c r="S140" s="21"/>
      <c r="T140" s="21"/>
      <c r="U140" s="20"/>
    </row>
    <row r="141" spans="1:21" x14ac:dyDescent="0.3">
      <c r="A141" s="18"/>
      <c r="B141" s="21"/>
      <c r="C141" s="21"/>
      <c r="D141" s="21"/>
      <c r="E141" s="21"/>
      <c r="F141" s="21"/>
      <c r="G141" s="21"/>
      <c r="H141" s="47" t="s">
        <v>107</v>
      </c>
      <c r="I141" s="108">
        <v>0.625</v>
      </c>
      <c r="J141" s="35">
        <v>159.36000000000001</v>
      </c>
      <c r="K141" s="21"/>
      <c r="L141" s="21"/>
      <c r="M141" s="21"/>
      <c r="N141" s="21"/>
      <c r="O141" s="21"/>
      <c r="P141" s="21"/>
      <c r="Q141" s="21"/>
      <c r="R141" s="21"/>
      <c r="S141" s="21"/>
      <c r="T141" s="21"/>
      <c r="U141" s="20"/>
    </row>
    <row r="142" spans="1:21" x14ac:dyDescent="0.3">
      <c r="A142" s="18"/>
      <c r="B142" s="21"/>
      <c r="C142" s="21"/>
      <c r="D142" s="110"/>
      <c r="E142" s="21"/>
      <c r="F142" s="21"/>
      <c r="G142" s="21"/>
      <c r="H142" s="21"/>
      <c r="I142" s="21"/>
      <c r="J142" s="21"/>
      <c r="K142" s="21"/>
      <c r="L142" s="21"/>
      <c r="M142" s="21"/>
      <c r="N142" s="21"/>
      <c r="O142" s="21"/>
      <c r="P142" s="21"/>
      <c r="Q142" s="21"/>
      <c r="R142" s="21"/>
      <c r="S142" s="21"/>
      <c r="T142" s="21"/>
      <c r="U142" s="20"/>
    </row>
    <row r="143" spans="1:21" x14ac:dyDescent="0.3">
      <c r="A143" s="18"/>
      <c r="B143" s="21"/>
      <c r="C143" s="21"/>
      <c r="D143" s="110"/>
      <c r="E143" s="21"/>
      <c r="F143" s="21"/>
      <c r="G143" s="21"/>
      <c r="H143" s="21"/>
      <c r="I143" s="21"/>
      <c r="J143" s="21"/>
      <c r="K143" s="21"/>
      <c r="L143" s="21"/>
      <c r="M143" s="21"/>
      <c r="N143" s="21"/>
      <c r="O143" s="21"/>
      <c r="P143" s="21"/>
      <c r="Q143" s="21"/>
      <c r="R143" s="21"/>
      <c r="S143" s="21"/>
      <c r="T143" s="21"/>
      <c r="U143" s="20"/>
    </row>
    <row r="144" spans="1:21" x14ac:dyDescent="0.3">
      <c r="A144" s="18"/>
      <c r="B144" s="21"/>
      <c r="C144" s="21"/>
      <c r="D144" s="110"/>
      <c r="E144" s="21"/>
      <c r="F144" s="21"/>
      <c r="G144" s="21"/>
      <c r="H144" s="21"/>
      <c r="I144" s="21"/>
      <c r="J144" s="21"/>
      <c r="K144" s="21"/>
      <c r="L144" s="21"/>
      <c r="M144" s="21"/>
      <c r="N144" s="21"/>
      <c r="O144" s="21"/>
      <c r="P144" s="21"/>
      <c r="Q144" s="21"/>
      <c r="R144" s="21"/>
      <c r="S144" s="21"/>
      <c r="T144" s="21"/>
      <c r="U144" s="20"/>
    </row>
    <row r="145" spans="1:21" x14ac:dyDescent="0.3">
      <c r="A145" s="18"/>
      <c r="B145" s="21"/>
      <c r="C145" s="21"/>
      <c r="D145" s="110"/>
      <c r="E145" s="21"/>
      <c r="F145" s="21"/>
      <c r="G145" s="21"/>
      <c r="H145" s="21"/>
      <c r="I145" s="21"/>
      <c r="J145" s="21"/>
      <c r="K145" s="21"/>
      <c r="L145" s="21"/>
      <c r="M145" s="21"/>
      <c r="N145" s="21"/>
      <c r="O145" s="21"/>
      <c r="P145" s="21"/>
      <c r="Q145" s="21"/>
      <c r="R145" s="21"/>
      <c r="S145" s="21"/>
      <c r="T145" s="21"/>
      <c r="U145" s="20"/>
    </row>
    <row r="146" spans="1:21" x14ac:dyDescent="0.3">
      <c r="A146" s="18"/>
      <c r="B146" s="21"/>
      <c r="C146" s="21"/>
      <c r="D146" s="21"/>
      <c r="E146" s="21"/>
      <c r="F146" s="21"/>
      <c r="G146" s="21"/>
      <c r="H146" s="21"/>
      <c r="I146" s="21"/>
      <c r="J146" s="21"/>
      <c r="K146" s="21"/>
      <c r="L146" s="21"/>
      <c r="M146" s="21"/>
      <c r="N146" s="21"/>
      <c r="O146" s="21"/>
      <c r="P146" s="21"/>
      <c r="Q146" s="21"/>
      <c r="R146" s="21"/>
      <c r="S146" s="21"/>
      <c r="T146" s="21"/>
      <c r="U146" s="20"/>
    </row>
    <row r="147" spans="1:21" x14ac:dyDescent="0.3">
      <c r="A147" s="18"/>
      <c r="B147" s="21"/>
      <c r="C147" s="21"/>
      <c r="D147" s="21"/>
      <c r="E147" s="21"/>
      <c r="F147" s="21"/>
      <c r="G147" s="21"/>
      <c r="H147" s="21"/>
      <c r="I147" s="21"/>
      <c r="J147" s="21"/>
      <c r="K147" s="21"/>
      <c r="L147" s="21"/>
      <c r="M147" s="21"/>
      <c r="N147" s="21"/>
      <c r="O147" s="21"/>
      <c r="P147" s="21"/>
      <c r="Q147" s="21"/>
      <c r="R147" s="21"/>
      <c r="S147" s="21"/>
      <c r="T147" s="21"/>
      <c r="U147" s="20"/>
    </row>
    <row r="148" spans="1:21" x14ac:dyDescent="0.3">
      <c r="A148" s="18"/>
      <c r="B148" s="21"/>
      <c r="C148" s="21"/>
      <c r="D148" s="21"/>
      <c r="E148" s="21"/>
      <c r="F148" s="21"/>
      <c r="G148" s="21"/>
      <c r="H148" s="21"/>
      <c r="I148" s="21"/>
      <c r="J148" s="21"/>
      <c r="K148" s="21"/>
      <c r="L148" s="21"/>
      <c r="M148" s="21"/>
      <c r="N148" s="21"/>
      <c r="O148" s="21"/>
      <c r="P148" s="21"/>
      <c r="Q148" s="21"/>
      <c r="R148" s="21"/>
      <c r="S148" s="21"/>
      <c r="T148" s="21"/>
      <c r="U148" s="20"/>
    </row>
    <row r="149" spans="1:21" x14ac:dyDescent="0.3">
      <c r="A149" s="18"/>
      <c r="B149" s="21"/>
      <c r="C149" s="21"/>
      <c r="D149" s="21"/>
      <c r="E149" s="21"/>
      <c r="F149" s="21"/>
      <c r="G149" s="21"/>
      <c r="H149" s="67"/>
      <c r="I149" s="67"/>
      <c r="J149" s="67"/>
      <c r="K149" s="67"/>
      <c r="L149" s="67"/>
      <c r="M149" s="67"/>
      <c r="N149" s="67"/>
      <c r="O149" s="67"/>
      <c r="P149" s="67"/>
      <c r="Q149" s="67"/>
      <c r="R149" s="67"/>
      <c r="S149" s="67"/>
      <c r="T149" s="21"/>
      <c r="U149" s="20"/>
    </row>
    <row r="150" spans="1:21" x14ac:dyDescent="0.3">
      <c r="A150" s="18"/>
      <c r="B150" s="21"/>
      <c r="C150" s="21"/>
      <c r="D150" s="21"/>
      <c r="E150" s="21"/>
      <c r="F150" s="21"/>
      <c r="G150" s="21"/>
      <c r="H150" s="21"/>
      <c r="I150" s="21"/>
      <c r="J150" s="21"/>
      <c r="K150" s="21"/>
      <c r="L150" s="21"/>
      <c r="M150" s="21"/>
      <c r="N150" s="21"/>
      <c r="O150" s="21"/>
      <c r="P150" s="21"/>
      <c r="Q150" s="21"/>
      <c r="R150" s="21"/>
      <c r="S150" s="21"/>
      <c r="T150" s="21"/>
      <c r="U150" s="20"/>
    </row>
    <row r="151" spans="1:21" x14ac:dyDescent="0.3">
      <c r="A151" s="18"/>
      <c r="B151" s="492" t="s">
        <v>259</v>
      </c>
      <c r="C151" s="529"/>
      <c r="D151" s="529"/>
      <c r="E151" s="493"/>
      <c r="F151" s="21"/>
      <c r="G151" s="26"/>
      <c r="H151" s="475" t="s">
        <v>3401</v>
      </c>
      <c r="I151" s="475"/>
      <c r="J151" s="475"/>
      <c r="K151" s="21"/>
      <c r="L151" s="21"/>
      <c r="M151" s="2" t="s">
        <v>268</v>
      </c>
      <c r="N151" s="21"/>
      <c r="O151" s="21"/>
      <c r="P151" s="21"/>
      <c r="Q151" s="21"/>
      <c r="R151" s="21"/>
      <c r="S151" s="21"/>
      <c r="T151" s="21"/>
      <c r="U151" s="20"/>
    </row>
    <row r="152" spans="1:21" x14ac:dyDescent="0.3">
      <c r="A152" s="18"/>
      <c r="B152" s="59" t="s">
        <v>2</v>
      </c>
      <c r="C152" s="60" t="s">
        <v>255</v>
      </c>
      <c r="D152" s="60" t="s">
        <v>8</v>
      </c>
      <c r="E152" s="60" t="s">
        <v>7</v>
      </c>
      <c r="F152" s="21"/>
      <c r="G152" s="21"/>
      <c r="H152" s="3" t="str">
        <f t="array" ref="H152:J157">_xll.U.VLOOKUP(,B152:E157,,M152:M154)</f>
        <v>Delta</v>
      </c>
      <c r="I152" s="3" t="str">
        <v>Strategy</v>
      </c>
      <c r="J152" s="3" t="str">
        <v>Symbol</v>
      </c>
      <c r="K152" s="21"/>
      <c r="L152" s="21"/>
      <c r="M152" s="79" t="s">
        <v>8</v>
      </c>
      <c r="N152" s="21"/>
      <c r="O152" s="21"/>
      <c r="P152" s="21"/>
      <c r="Q152" s="21"/>
      <c r="R152" s="21"/>
      <c r="S152" s="21"/>
      <c r="T152" s="21"/>
      <c r="U152" s="20"/>
    </row>
    <row r="153" spans="1:21" x14ac:dyDescent="0.3">
      <c r="A153" s="18"/>
      <c r="B153" s="42" t="s">
        <v>107</v>
      </c>
      <c r="C153" s="42" t="s">
        <v>257</v>
      </c>
      <c r="D153" s="44">
        <v>-3000</v>
      </c>
      <c r="E153" s="61">
        <v>159.37</v>
      </c>
      <c r="F153" s="21"/>
      <c r="G153" s="21"/>
      <c r="H153" s="36">
        <v>-3000</v>
      </c>
      <c r="I153" s="35" t="str">
        <v>STRATEGY_A</v>
      </c>
      <c r="J153" s="36" t="str">
        <v>IBM</v>
      </c>
      <c r="K153" s="21"/>
      <c r="L153" s="21"/>
      <c r="M153" s="79" t="s">
        <v>255</v>
      </c>
      <c r="N153" s="21"/>
      <c r="O153" s="21"/>
      <c r="P153" s="21"/>
      <c r="Q153" s="21"/>
      <c r="R153" s="21"/>
      <c r="S153" s="21"/>
      <c r="T153" s="21"/>
      <c r="U153" s="20"/>
    </row>
    <row r="154" spans="1:21" x14ac:dyDescent="0.3">
      <c r="A154" s="18"/>
      <c r="B154" s="42" t="s">
        <v>106</v>
      </c>
      <c r="C154" s="42" t="s">
        <v>258</v>
      </c>
      <c r="D154" s="44">
        <v>1500</v>
      </c>
      <c r="E154" s="61">
        <v>141.97</v>
      </c>
      <c r="F154" s="21"/>
      <c r="G154" s="21"/>
      <c r="H154" s="36">
        <v>1500</v>
      </c>
      <c r="I154" s="35" t="str">
        <v>STRATEGY_B</v>
      </c>
      <c r="J154" s="36" t="str">
        <v>AAPL</v>
      </c>
      <c r="K154" s="21"/>
      <c r="L154" s="21"/>
      <c r="M154" s="79" t="s">
        <v>2</v>
      </c>
      <c r="N154" s="21"/>
      <c r="O154" s="21"/>
      <c r="P154" s="21"/>
      <c r="Q154" s="21"/>
      <c r="R154" s="21"/>
      <c r="S154" s="21"/>
      <c r="T154" s="21"/>
      <c r="U154" s="20"/>
    </row>
    <row r="155" spans="1:21" x14ac:dyDescent="0.3">
      <c r="A155" s="18"/>
      <c r="B155" s="42" t="s">
        <v>106</v>
      </c>
      <c r="C155" s="42" t="s">
        <v>257</v>
      </c>
      <c r="D155" s="44">
        <v>100</v>
      </c>
      <c r="E155" s="61">
        <v>141.97</v>
      </c>
      <c r="F155" s="21"/>
      <c r="G155" s="21"/>
      <c r="H155" s="36">
        <v>100</v>
      </c>
      <c r="I155" s="35" t="str">
        <v>STRATEGY_A</v>
      </c>
      <c r="J155" s="36" t="str">
        <v>AAPL</v>
      </c>
      <c r="K155" s="21"/>
      <c r="L155" s="21"/>
      <c r="M155" s="21"/>
      <c r="N155" s="21"/>
      <c r="O155" s="21"/>
      <c r="P155" s="21"/>
      <c r="Q155" s="21"/>
      <c r="R155" s="21"/>
      <c r="S155" s="21"/>
      <c r="T155" s="21"/>
      <c r="U155" s="20"/>
    </row>
    <row r="156" spans="1:21" x14ac:dyDescent="0.3">
      <c r="A156" s="18"/>
      <c r="B156" s="42" t="s">
        <v>256</v>
      </c>
      <c r="C156" s="42" t="s">
        <v>257</v>
      </c>
      <c r="D156" s="44">
        <v>600</v>
      </c>
      <c r="E156" s="61">
        <v>65.14</v>
      </c>
      <c r="F156" s="21"/>
      <c r="G156" s="21"/>
      <c r="H156" s="36">
        <v>600</v>
      </c>
      <c r="I156" s="35" t="str">
        <v>STRATEGY_A</v>
      </c>
      <c r="J156" s="36" t="str">
        <v>MSFT</v>
      </c>
      <c r="K156" s="21"/>
      <c r="L156" s="21"/>
      <c r="M156" s="21"/>
      <c r="N156" s="21"/>
      <c r="O156" s="21"/>
      <c r="P156" s="21"/>
      <c r="Q156" s="21"/>
      <c r="R156" s="21"/>
      <c r="S156" s="21"/>
      <c r="T156" s="21"/>
      <c r="U156" s="20"/>
    </row>
    <row r="157" spans="1:21" x14ac:dyDescent="0.3">
      <c r="A157" s="18"/>
      <c r="B157" s="42" t="s">
        <v>107</v>
      </c>
      <c r="C157" s="42" t="s">
        <v>258</v>
      </c>
      <c r="D157" s="44">
        <v>100</v>
      </c>
      <c r="E157" s="61">
        <v>159.37</v>
      </c>
      <c r="F157" s="21"/>
      <c r="G157" s="21"/>
      <c r="H157" s="36">
        <v>100</v>
      </c>
      <c r="I157" s="35" t="str">
        <v>STRATEGY_B</v>
      </c>
      <c r="J157" s="36" t="str">
        <v>IBM</v>
      </c>
      <c r="K157" s="21"/>
      <c r="L157" s="21"/>
      <c r="M157" s="21"/>
      <c r="N157" s="21"/>
      <c r="O157" s="21"/>
      <c r="P157" s="21"/>
      <c r="Q157" s="21"/>
      <c r="R157" s="21"/>
      <c r="S157" s="21"/>
      <c r="T157" s="21"/>
      <c r="U157" s="20"/>
    </row>
    <row r="158" spans="1:21" x14ac:dyDescent="0.3">
      <c r="A158" s="18"/>
      <c r="B158" s="21"/>
      <c r="C158" s="21"/>
      <c r="D158" s="21"/>
      <c r="E158" s="21"/>
      <c r="F158" s="21"/>
      <c r="G158" s="21"/>
      <c r="H158" s="21"/>
      <c r="I158" s="21"/>
      <c r="J158" s="21"/>
      <c r="K158" s="21"/>
      <c r="L158" s="21"/>
      <c r="M158" s="21"/>
      <c r="N158" s="21"/>
      <c r="O158" s="21"/>
      <c r="P158" s="21"/>
      <c r="Q158" s="21"/>
      <c r="R158" s="21"/>
      <c r="S158" s="21"/>
      <c r="T158" s="21"/>
      <c r="U158" s="20"/>
    </row>
    <row r="159" spans="1:21" x14ac:dyDescent="0.3">
      <c r="A159" s="18"/>
      <c r="B159" s="21"/>
      <c r="C159" s="21"/>
      <c r="D159" s="21"/>
      <c r="E159" s="21"/>
      <c r="F159" s="21"/>
      <c r="G159" s="21"/>
      <c r="H159" s="21"/>
      <c r="I159" s="21"/>
      <c r="J159" s="21"/>
      <c r="K159" s="21"/>
      <c r="L159" s="21"/>
      <c r="M159" s="21"/>
      <c r="N159" s="21"/>
      <c r="O159" s="21"/>
      <c r="P159" s="21"/>
      <c r="Q159" s="21"/>
      <c r="R159" s="21"/>
      <c r="S159" s="21"/>
      <c r="T159" s="21"/>
      <c r="U159" s="20"/>
    </row>
    <row r="160" spans="1:21" x14ac:dyDescent="0.3">
      <c r="A160" s="18"/>
      <c r="B160" s="21"/>
      <c r="C160" s="21"/>
      <c r="D160" s="21"/>
      <c r="E160" s="21"/>
      <c r="F160" s="21"/>
      <c r="G160" s="21"/>
      <c r="H160" s="67"/>
      <c r="I160" s="67"/>
      <c r="J160" s="67"/>
      <c r="K160" s="67"/>
      <c r="L160" s="67"/>
      <c r="M160" s="67"/>
      <c r="N160" s="67"/>
      <c r="O160" s="67"/>
      <c r="P160" s="67"/>
      <c r="Q160" s="67"/>
      <c r="R160" s="67"/>
      <c r="S160" s="67"/>
      <c r="T160" s="21"/>
      <c r="U160" s="20"/>
    </row>
    <row r="161" spans="1:21" x14ac:dyDescent="0.3">
      <c r="A161" s="18"/>
      <c r="B161" s="21"/>
      <c r="C161" s="21"/>
      <c r="D161" s="21"/>
      <c r="E161" s="21"/>
      <c r="F161" s="21"/>
      <c r="G161" s="21"/>
      <c r="H161" s="21"/>
      <c r="I161" s="21"/>
      <c r="J161" s="21"/>
      <c r="K161" s="21"/>
      <c r="L161" s="21"/>
      <c r="M161" s="21"/>
      <c r="N161" s="21"/>
      <c r="O161" s="21"/>
      <c r="P161" s="21"/>
      <c r="Q161" s="21"/>
      <c r="R161" s="21"/>
      <c r="S161" s="21"/>
      <c r="T161" s="21"/>
      <c r="U161" s="20"/>
    </row>
    <row r="162" spans="1:21" x14ac:dyDescent="0.3">
      <c r="A162" s="18"/>
      <c r="B162" s="475" t="s">
        <v>259</v>
      </c>
      <c r="C162" s="475"/>
      <c r="D162" s="475"/>
      <c r="E162" s="21"/>
      <c r="F162" s="21"/>
      <c r="G162" s="21"/>
      <c r="H162" s="492" t="s">
        <v>265</v>
      </c>
      <c r="I162" s="493"/>
      <c r="J162" s="21"/>
      <c r="K162" s="21"/>
      <c r="L162" s="21"/>
      <c r="M162" s="475" t="s">
        <v>266</v>
      </c>
      <c r="N162" s="475"/>
      <c r="O162" s="475"/>
      <c r="P162" s="475"/>
      <c r="Q162" s="21"/>
      <c r="R162" s="21"/>
      <c r="S162" s="21"/>
      <c r="T162" s="21"/>
      <c r="U162" s="20"/>
    </row>
    <row r="163" spans="1:21" x14ac:dyDescent="0.3">
      <c r="A163" s="18"/>
      <c r="B163" s="59" t="s">
        <v>2</v>
      </c>
      <c r="C163" s="60" t="s">
        <v>255</v>
      </c>
      <c r="D163" s="60" t="s">
        <v>8</v>
      </c>
      <c r="E163" s="21"/>
      <c r="F163" s="21"/>
      <c r="G163" s="21"/>
      <c r="H163" s="85" t="s">
        <v>255</v>
      </c>
      <c r="I163" s="85" t="s">
        <v>2</v>
      </c>
      <c r="J163" s="3" t="str">
        <f t="array" ref="J163:J166">_xll.U.VLOOKUP(H163:I166,B163:D168,(M164:N164,O164:P164),"Delta")</f>
        <v>Delta</v>
      </c>
      <c r="K163" s="21"/>
      <c r="L163" s="21"/>
      <c r="M163" s="9" t="s">
        <v>126</v>
      </c>
      <c r="N163" s="9" t="s">
        <v>264</v>
      </c>
      <c r="O163" s="9" t="s">
        <v>126</v>
      </c>
      <c r="P163" s="9" t="s">
        <v>264</v>
      </c>
      <c r="Q163" s="21"/>
      <c r="R163" s="21"/>
      <c r="S163" s="21"/>
      <c r="T163" s="21"/>
      <c r="U163" s="20"/>
    </row>
    <row r="164" spans="1:21" x14ac:dyDescent="0.3">
      <c r="A164" s="18"/>
      <c r="B164" s="42" t="s">
        <v>274</v>
      </c>
      <c r="C164" s="42" t="s">
        <v>271</v>
      </c>
      <c r="D164" s="44">
        <v>-3000</v>
      </c>
      <c r="E164" s="21"/>
      <c r="F164" s="21"/>
      <c r="G164" s="21"/>
      <c r="H164" s="47" t="s">
        <v>269</v>
      </c>
      <c r="I164" s="47" t="s">
        <v>106</v>
      </c>
      <c r="J164" s="36">
        <v>100</v>
      </c>
      <c r="K164" s="21"/>
      <c r="L164" s="21"/>
      <c r="M164" s="79" t="s">
        <v>2</v>
      </c>
      <c r="N164" s="79">
        <v>-2</v>
      </c>
      <c r="O164" s="79" t="s">
        <v>273</v>
      </c>
      <c r="P164" s="79">
        <v>-3</v>
      </c>
      <c r="Q164" s="21"/>
      <c r="R164" s="21"/>
      <c r="S164" s="21"/>
      <c r="T164" s="21"/>
      <c r="U164" s="20"/>
    </row>
    <row r="165" spans="1:21" x14ac:dyDescent="0.3">
      <c r="A165" s="18"/>
      <c r="B165" s="42" t="s">
        <v>106</v>
      </c>
      <c r="C165" s="42" t="s">
        <v>258</v>
      </c>
      <c r="D165" s="44">
        <v>1500</v>
      </c>
      <c r="E165" s="21"/>
      <c r="F165" s="21"/>
      <c r="G165" s="21"/>
      <c r="H165" s="47" t="s">
        <v>269</v>
      </c>
      <c r="I165" s="47" t="s">
        <v>107</v>
      </c>
      <c r="J165" s="36" t="e">
        <v>#N/A</v>
      </c>
      <c r="K165" s="21"/>
      <c r="L165" s="21"/>
      <c r="M165" s="21"/>
      <c r="N165" s="21"/>
      <c r="O165" s="21"/>
      <c r="P165" s="21"/>
      <c r="Q165" s="21"/>
      <c r="R165" s="21"/>
      <c r="S165" s="21"/>
      <c r="T165" s="21"/>
      <c r="U165" s="20"/>
    </row>
    <row r="166" spans="1:21" x14ac:dyDescent="0.3">
      <c r="A166" s="18"/>
      <c r="B166" s="42" t="s">
        <v>106</v>
      </c>
      <c r="C166" s="42" t="s">
        <v>270</v>
      </c>
      <c r="D166" s="44">
        <v>100</v>
      </c>
      <c r="E166" s="21"/>
      <c r="F166" s="21"/>
      <c r="G166" s="21"/>
      <c r="H166" s="47" t="s">
        <v>269</v>
      </c>
      <c r="I166" s="47" t="s">
        <v>256</v>
      </c>
      <c r="J166" s="36">
        <v>600</v>
      </c>
      <c r="K166" s="21"/>
      <c r="L166" s="21"/>
      <c r="M166" s="21"/>
      <c r="N166" s="21"/>
      <c r="O166" s="21"/>
      <c r="P166" s="21"/>
      <c r="Q166" s="21"/>
      <c r="R166" s="21"/>
      <c r="S166" s="21"/>
      <c r="T166" s="21"/>
      <c r="U166" s="20"/>
    </row>
    <row r="167" spans="1:21" x14ac:dyDescent="0.3">
      <c r="A167" s="18"/>
      <c r="B167" s="42" t="s">
        <v>256</v>
      </c>
      <c r="C167" s="42" t="s">
        <v>272</v>
      </c>
      <c r="D167" s="44">
        <v>600</v>
      </c>
      <c r="E167" s="21"/>
      <c r="F167" s="21"/>
      <c r="G167" s="21"/>
      <c r="H167" s="21"/>
      <c r="I167" s="21"/>
      <c r="J167" s="21"/>
      <c r="K167" s="21"/>
      <c r="L167" s="21"/>
      <c r="M167" s="21"/>
      <c r="N167" s="21"/>
      <c r="O167" s="21"/>
      <c r="P167" s="21"/>
      <c r="Q167" s="21"/>
      <c r="R167" s="21"/>
      <c r="S167" s="21"/>
      <c r="T167" s="21"/>
      <c r="U167" s="20"/>
    </row>
    <row r="168" spans="1:21" x14ac:dyDescent="0.3">
      <c r="A168" s="18"/>
      <c r="B168" s="42" t="s">
        <v>107</v>
      </c>
      <c r="C168" s="42" t="s">
        <v>258</v>
      </c>
      <c r="D168" s="44">
        <v>100</v>
      </c>
      <c r="E168" s="21"/>
      <c r="F168" s="21"/>
      <c r="G168" s="21"/>
      <c r="H168" s="21"/>
      <c r="I168" s="21"/>
      <c r="J168" s="21"/>
      <c r="K168" s="21"/>
      <c r="L168" s="21"/>
      <c r="M168" s="21"/>
      <c r="N168" s="21"/>
      <c r="O168" s="21"/>
      <c r="P168" s="21"/>
      <c r="Q168" s="21"/>
      <c r="R168" s="21"/>
      <c r="S168" s="21"/>
      <c r="T168" s="21"/>
      <c r="U168" s="20"/>
    </row>
    <row r="169" spans="1:21" x14ac:dyDescent="0.3">
      <c r="A169" s="18"/>
      <c r="B169" s="21"/>
      <c r="C169" s="21"/>
      <c r="D169" s="21"/>
      <c r="E169" s="21"/>
      <c r="F169" s="21"/>
      <c r="G169" s="21"/>
      <c r="H169" s="21"/>
      <c r="I169" s="21"/>
      <c r="J169" s="21"/>
      <c r="K169" s="21"/>
      <c r="L169" s="21"/>
      <c r="M169" s="21"/>
      <c r="N169" s="21"/>
      <c r="O169" s="21"/>
      <c r="P169" s="21"/>
      <c r="Q169" s="21"/>
      <c r="R169" s="21"/>
      <c r="S169" s="21"/>
      <c r="T169" s="21"/>
      <c r="U169" s="20"/>
    </row>
    <row r="170" spans="1:21" x14ac:dyDescent="0.3">
      <c r="A170" s="18"/>
      <c r="B170" s="21"/>
      <c r="C170" s="21"/>
      <c r="D170" s="21"/>
      <c r="E170" s="21"/>
      <c r="F170" s="21"/>
      <c r="G170" s="21"/>
      <c r="H170" s="21"/>
      <c r="I170" s="21"/>
      <c r="J170" s="21"/>
      <c r="K170" s="21"/>
      <c r="L170" s="21"/>
      <c r="M170" s="21"/>
      <c r="N170" s="21"/>
      <c r="O170" s="21"/>
      <c r="P170" s="21"/>
      <c r="Q170" s="21"/>
      <c r="R170" s="21"/>
      <c r="S170" s="21"/>
      <c r="T170" s="21"/>
      <c r="U170" s="20"/>
    </row>
    <row r="171" spans="1:21" x14ac:dyDescent="0.3">
      <c r="A171" s="18"/>
      <c r="B171" s="21"/>
      <c r="C171" s="21"/>
      <c r="D171" s="21"/>
      <c r="E171" s="21"/>
      <c r="F171" s="21"/>
      <c r="G171" s="21"/>
      <c r="H171" s="21"/>
      <c r="I171" s="21"/>
      <c r="J171" s="21"/>
      <c r="K171" s="21"/>
      <c r="L171" s="21"/>
      <c r="M171" s="21"/>
      <c r="N171" s="21"/>
      <c r="O171" s="21"/>
      <c r="P171" s="21"/>
      <c r="Q171" s="21"/>
      <c r="R171" s="21"/>
      <c r="S171" s="21"/>
      <c r="T171" s="21"/>
      <c r="U171" s="20"/>
    </row>
    <row r="172" spans="1:21" x14ac:dyDescent="0.3">
      <c r="A172" s="18"/>
      <c r="B172" s="21"/>
      <c r="C172" s="21"/>
      <c r="D172" s="21"/>
      <c r="E172" s="21"/>
      <c r="F172" s="21"/>
      <c r="G172" s="21"/>
      <c r="H172" s="21"/>
      <c r="I172" s="21"/>
      <c r="J172" s="21"/>
      <c r="K172" s="21"/>
      <c r="L172" s="21"/>
      <c r="M172" s="21"/>
      <c r="N172" s="21"/>
      <c r="O172" s="21"/>
      <c r="P172" s="21"/>
      <c r="Q172" s="21"/>
      <c r="R172" s="21"/>
      <c r="S172" s="21"/>
      <c r="T172" s="21"/>
      <c r="U172" s="20"/>
    </row>
    <row r="173" spans="1:21" x14ac:dyDescent="0.3">
      <c r="A173" s="18"/>
      <c r="B173" s="21"/>
      <c r="C173" s="21"/>
      <c r="D173" s="21"/>
      <c r="E173" s="21"/>
      <c r="F173" s="21"/>
      <c r="G173" s="21"/>
      <c r="H173" s="21"/>
      <c r="I173" s="21"/>
      <c r="J173" s="21"/>
      <c r="K173" s="21"/>
      <c r="L173" s="21"/>
      <c r="M173" s="21"/>
      <c r="N173" s="21"/>
      <c r="O173" s="21"/>
      <c r="P173" s="21"/>
      <c r="Q173" s="21"/>
      <c r="R173" s="21"/>
      <c r="S173" s="21"/>
      <c r="T173" s="21"/>
      <c r="U173" s="20"/>
    </row>
    <row r="174" spans="1:21" x14ac:dyDescent="0.3">
      <c r="A174" s="18"/>
      <c r="B174" s="21"/>
      <c r="C174" s="21"/>
      <c r="D174" s="21"/>
      <c r="E174" s="21"/>
      <c r="F174" s="21"/>
      <c r="G174" s="21"/>
      <c r="H174" s="21"/>
      <c r="I174" s="21"/>
      <c r="J174" s="21"/>
      <c r="K174" s="21"/>
      <c r="L174" s="21"/>
      <c r="M174" s="21"/>
      <c r="N174" s="21"/>
      <c r="O174" s="21"/>
      <c r="P174" s="21"/>
      <c r="Q174" s="21"/>
      <c r="R174" s="21"/>
      <c r="S174" s="21"/>
      <c r="T174" s="21"/>
      <c r="U174" s="20"/>
    </row>
    <row r="175" spans="1:21" x14ac:dyDescent="0.3">
      <c r="A175" s="18"/>
      <c r="B175" s="21"/>
      <c r="C175" s="21"/>
      <c r="D175" s="21"/>
      <c r="E175" s="21"/>
      <c r="F175" s="21"/>
      <c r="G175" s="21"/>
      <c r="H175" s="67"/>
      <c r="I175" s="67"/>
      <c r="J175" s="67"/>
      <c r="K175" s="67"/>
      <c r="L175" s="67"/>
      <c r="M175" s="67"/>
      <c r="N175" s="67"/>
      <c r="O175" s="67"/>
      <c r="P175" s="67"/>
      <c r="Q175" s="67"/>
      <c r="R175" s="67"/>
      <c r="S175" s="67"/>
      <c r="T175" s="21"/>
      <c r="U175" s="20"/>
    </row>
    <row r="176" spans="1:21" x14ac:dyDescent="0.3">
      <c r="A176" s="18"/>
      <c r="B176" s="21"/>
      <c r="C176" s="21"/>
      <c r="D176" s="21"/>
      <c r="E176" s="21"/>
      <c r="F176" s="21"/>
      <c r="G176" s="21"/>
      <c r="H176" s="21"/>
      <c r="I176" s="21"/>
      <c r="J176" s="21"/>
      <c r="K176" s="21"/>
      <c r="L176" s="21"/>
      <c r="M176" s="21"/>
      <c r="N176" s="21"/>
      <c r="O176" s="21"/>
      <c r="P176" s="21"/>
      <c r="Q176" s="21"/>
      <c r="R176" s="21"/>
      <c r="S176" s="21"/>
      <c r="T176" s="21"/>
      <c r="U176" s="20"/>
    </row>
    <row r="177" spans="1:21" x14ac:dyDescent="0.3">
      <c r="A177" s="18"/>
      <c r="B177" s="492" t="s">
        <v>259</v>
      </c>
      <c r="C177" s="529"/>
      <c r="D177" s="529"/>
      <c r="E177" s="493"/>
      <c r="F177" s="21"/>
      <c r="G177" s="26"/>
      <c r="H177" s="58" t="s">
        <v>265</v>
      </c>
      <c r="I177" s="475" t="s">
        <v>3401</v>
      </c>
      <c r="J177" s="475"/>
      <c r="K177" s="475"/>
      <c r="L177" s="475"/>
      <c r="M177" s="21"/>
      <c r="N177" s="21"/>
      <c r="O177" s="21"/>
      <c r="P177" s="21"/>
      <c r="Q177" s="21"/>
      <c r="R177" s="21"/>
      <c r="S177" s="21"/>
      <c r="T177" s="21"/>
      <c r="U177" s="20"/>
    </row>
    <row r="178" spans="1:21" x14ac:dyDescent="0.3">
      <c r="A178" s="18"/>
      <c r="B178" s="59" t="s">
        <v>2</v>
      </c>
      <c r="C178" s="60" t="s">
        <v>255</v>
      </c>
      <c r="D178" s="60" t="s">
        <v>8</v>
      </c>
      <c r="E178" s="60" t="s">
        <v>7</v>
      </c>
      <c r="F178" s="21"/>
      <c r="G178" s="21"/>
      <c r="H178" s="85" t="s">
        <v>255</v>
      </c>
      <c r="I178" s="3" t="str">
        <f t="array" ref="I178:L183">_xll.U.VLOOKUP(H178:H180,B178:E183,,TRUE,,,TRUE)</f>
        <v>Symbol</v>
      </c>
      <c r="J178" s="3" t="str">
        <v>Strategy</v>
      </c>
      <c r="K178" s="3" t="str">
        <v>Delta</v>
      </c>
      <c r="L178" s="3" t="str">
        <v>Last Price</v>
      </c>
      <c r="M178" s="21"/>
      <c r="N178" s="21"/>
      <c r="O178" s="21"/>
      <c r="P178" s="21"/>
      <c r="Q178" s="21"/>
      <c r="R178" s="21"/>
      <c r="S178" s="21"/>
      <c r="T178" s="21"/>
      <c r="U178" s="20"/>
    </row>
    <row r="179" spans="1:21" x14ac:dyDescent="0.3">
      <c r="A179" s="18"/>
      <c r="B179" s="42" t="s">
        <v>107</v>
      </c>
      <c r="C179" s="42" t="s">
        <v>257</v>
      </c>
      <c r="D179" s="44">
        <v>-3000</v>
      </c>
      <c r="E179" s="61">
        <v>159.37</v>
      </c>
      <c r="F179" s="21"/>
      <c r="G179" s="21"/>
      <c r="H179" s="47" t="s">
        <v>257</v>
      </c>
      <c r="I179" s="36" t="str">
        <v>IBM</v>
      </c>
      <c r="J179" s="36" t="str">
        <v>STRATEGY_A</v>
      </c>
      <c r="K179" s="36">
        <v>-3000</v>
      </c>
      <c r="L179" s="35">
        <v>159.37</v>
      </c>
      <c r="M179" s="21"/>
      <c r="N179" s="21"/>
      <c r="O179" s="21"/>
      <c r="P179" s="21"/>
      <c r="Q179" s="21"/>
      <c r="R179" s="21"/>
      <c r="S179" s="21"/>
      <c r="T179" s="21"/>
      <c r="U179" s="20"/>
    </row>
    <row r="180" spans="1:21" x14ac:dyDescent="0.3">
      <c r="A180" s="18"/>
      <c r="B180" s="42" t="s">
        <v>106</v>
      </c>
      <c r="C180" s="42" t="s">
        <v>258</v>
      </c>
      <c r="D180" s="44">
        <v>1500</v>
      </c>
      <c r="E180" s="61">
        <v>141.97</v>
      </c>
      <c r="F180" s="21"/>
      <c r="G180" s="21"/>
      <c r="H180" s="47" t="s">
        <v>258</v>
      </c>
      <c r="I180" s="36" t="str">
        <v>AAPL</v>
      </c>
      <c r="J180" s="36" t="str">
        <v>STRATEGY_A</v>
      </c>
      <c r="K180" s="36">
        <v>100</v>
      </c>
      <c r="L180" s="35">
        <v>141.97</v>
      </c>
      <c r="M180" s="21"/>
      <c r="N180" s="21"/>
      <c r="O180" s="21"/>
      <c r="P180" s="21"/>
      <c r="Q180" s="21"/>
      <c r="R180" s="21"/>
      <c r="S180" s="21"/>
      <c r="T180" s="21"/>
      <c r="U180" s="20"/>
    </row>
    <row r="181" spans="1:21" x14ac:dyDescent="0.3">
      <c r="A181" s="18"/>
      <c r="B181" s="42" t="s">
        <v>106</v>
      </c>
      <c r="C181" s="42" t="s">
        <v>257</v>
      </c>
      <c r="D181" s="44">
        <v>100</v>
      </c>
      <c r="E181" s="61">
        <v>141.97</v>
      </c>
      <c r="F181" s="21"/>
      <c r="G181" s="21"/>
      <c r="H181" s="21"/>
      <c r="I181" s="36" t="str">
        <v>MSFT</v>
      </c>
      <c r="J181" s="36" t="str">
        <v>STRATEGY_A</v>
      </c>
      <c r="K181" s="36">
        <v>600</v>
      </c>
      <c r="L181" s="35">
        <v>65.14</v>
      </c>
      <c r="M181" s="21"/>
      <c r="N181" s="21"/>
      <c r="O181" s="21"/>
      <c r="P181" s="21"/>
      <c r="Q181" s="21"/>
      <c r="R181" s="21"/>
      <c r="S181" s="21"/>
      <c r="T181" s="21"/>
      <c r="U181" s="20"/>
    </row>
    <row r="182" spans="1:21" x14ac:dyDescent="0.3">
      <c r="A182" s="18"/>
      <c r="B182" s="42" t="s">
        <v>256</v>
      </c>
      <c r="C182" s="42" t="s">
        <v>257</v>
      </c>
      <c r="D182" s="44">
        <v>600</v>
      </c>
      <c r="E182" s="61">
        <v>65.14</v>
      </c>
      <c r="F182" s="21"/>
      <c r="G182" s="21"/>
      <c r="H182" s="21"/>
      <c r="I182" s="36" t="str">
        <v>AAPL</v>
      </c>
      <c r="J182" s="36" t="str">
        <v>STRATEGY_B</v>
      </c>
      <c r="K182" s="36">
        <v>1500</v>
      </c>
      <c r="L182" s="35">
        <v>141.97</v>
      </c>
      <c r="M182" s="21"/>
      <c r="N182" s="21"/>
      <c r="O182" s="21"/>
      <c r="P182" s="21"/>
      <c r="Q182" s="21"/>
      <c r="R182" s="21"/>
      <c r="S182" s="21"/>
      <c r="T182" s="21"/>
      <c r="U182" s="20"/>
    </row>
    <row r="183" spans="1:21" x14ac:dyDescent="0.3">
      <c r="A183" s="18"/>
      <c r="B183" s="42" t="s">
        <v>107</v>
      </c>
      <c r="C183" s="42" t="s">
        <v>258</v>
      </c>
      <c r="D183" s="44">
        <v>100</v>
      </c>
      <c r="E183" s="61">
        <v>159.37</v>
      </c>
      <c r="F183" s="21"/>
      <c r="G183" s="21"/>
      <c r="H183" s="21"/>
      <c r="I183" s="36" t="str">
        <v>IBM</v>
      </c>
      <c r="J183" s="36" t="str">
        <v>STRATEGY_B</v>
      </c>
      <c r="K183" s="36">
        <v>100</v>
      </c>
      <c r="L183" s="35">
        <v>159.37</v>
      </c>
      <c r="M183" s="21"/>
      <c r="N183" s="21"/>
      <c r="O183" s="21"/>
      <c r="P183" s="21"/>
      <c r="Q183" s="21"/>
      <c r="R183" s="21"/>
      <c r="S183" s="21"/>
      <c r="T183" s="21"/>
      <c r="U183" s="20"/>
    </row>
    <row r="184" spans="1:21" x14ac:dyDescent="0.3">
      <c r="A184" s="18"/>
      <c r="B184" s="26"/>
      <c r="C184" s="26"/>
      <c r="D184" s="26"/>
      <c r="E184" s="26"/>
      <c r="F184" s="21"/>
      <c r="G184" s="21"/>
      <c r="H184" s="26"/>
      <c r="I184" s="26"/>
      <c r="J184" s="26"/>
      <c r="K184" s="26"/>
      <c r="L184" s="21"/>
      <c r="M184" s="21"/>
      <c r="N184" s="21"/>
      <c r="O184" s="21"/>
      <c r="P184" s="21"/>
      <c r="Q184" s="21"/>
      <c r="R184" s="21"/>
      <c r="S184" s="21"/>
      <c r="T184" s="21"/>
      <c r="U184" s="20"/>
    </row>
    <row r="185" spans="1:21" x14ac:dyDescent="0.3">
      <c r="A185" s="18"/>
      <c r="B185" s="26"/>
      <c r="C185" s="26"/>
      <c r="D185" s="26"/>
      <c r="E185" s="26"/>
      <c r="F185" s="21"/>
      <c r="G185" s="21"/>
      <c r="H185" s="26"/>
      <c r="I185" s="26"/>
      <c r="J185" s="26"/>
      <c r="K185" s="26"/>
      <c r="L185" s="21"/>
      <c r="M185" s="21"/>
      <c r="N185" s="21"/>
      <c r="O185" s="21"/>
      <c r="P185" s="21"/>
      <c r="Q185" s="21"/>
      <c r="R185" s="21"/>
      <c r="S185" s="21"/>
      <c r="T185" s="21"/>
      <c r="U185" s="20"/>
    </row>
    <row r="186" spans="1:21" x14ac:dyDescent="0.3">
      <c r="A186" s="18"/>
      <c r="B186" s="26"/>
      <c r="C186" s="26"/>
      <c r="D186" s="26"/>
      <c r="E186" s="26"/>
      <c r="F186" s="21"/>
      <c r="G186" s="58" t="s">
        <v>265</v>
      </c>
      <c r="H186" s="58" t="s">
        <v>265</v>
      </c>
      <c r="I186" s="475" t="s">
        <v>3401</v>
      </c>
      <c r="J186" s="475"/>
      <c r="K186" s="475"/>
      <c r="L186" s="475"/>
      <c r="M186" s="21"/>
      <c r="N186" s="21"/>
      <c r="O186" s="21"/>
      <c r="P186" s="21"/>
      <c r="Q186" s="21"/>
      <c r="R186" s="21"/>
      <c r="S186" s="21"/>
      <c r="T186" s="21"/>
      <c r="U186" s="20"/>
    </row>
    <row r="187" spans="1:21" x14ac:dyDescent="0.3">
      <c r="A187" s="18"/>
      <c r="B187" s="26"/>
      <c r="C187" s="26"/>
      <c r="D187" s="26"/>
      <c r="E187" s="26"/>
      <c r="F187" s="21"/>
      <c r="G187" s="85" t="s">
        <v>255</v>
      </c>
      <c r="H187" s="85" t="s">
        <v>788</v>
      </c>
      <c r="I187" s="3" t="str">
        <f t="array" ref="I187:L192">_xll.U.VLOOKUP(G187:H189,B178:E183,{"owner","*"},{"owner","strategy","last price"},,,TRUE)</f>
        <v>Owner</v>
      </c>
      <c r="J187" s="3" t="str">
        <v>Strategy</v>
      </c>
      <c r="K187" s="3" t="str">
        <v>Last Price</v>
      </c>
      <c r="L187" s="3" t="e">
        <v>#N/A</v>
      </c>
      <c r="M187" s="21"/>
      <c r="N187" s="21"/>
      <c r="O187" s="21"/>
      <c r="P187" s="21"/>
      <c r="Q187" s="21"/>
      <c r="R187" s="21"/>
      <c r="S187" s="21"/>
      <c r="T187" s="21"/>
      <c r="U187" s="20"/>
    </row>
    <row r="188" spans="1:21" x14ac:dyDescent="0.3">
      <c r="A188" s="18"/>
      <c r="B188" s="26"/>
      <c r="C188" s="26"/>
      <c r="D188" s="26"/>
      <c r="E188" s="26"/>
      <c r="F188" s="21"/>
      <c r="G188" s="47" t="s">
        <v>257</v>
      </c>
      <c r="H188" s="47" t="s">
        <v>199</v>
      </c>
      <c r="I188" s="36" t="str">
        <v>Bob</v>
      </c>
      <c r="J188" s="36" t="str">
        <v>STRATEGY_A</v>
      </c>
      <c r="K188" s="36">
        <v>159.37</v>
      </c>
      <c r="L188" s="35" t="e">
        <v>#N/A</v>
      </c>
      <c r="M188" s="21"/>
      <c r="N188" s="21"/>
      <c r="O188" s="21"/>
      <c r="P188" s="21"/>
      <c r="Q188" s="21"/>
      <c r="R188" s="21"/>
      <c r="S188" s="21"/>
      <c r="T188" s="21"/>
      <c r="U188" s="20"/>
    </row>
    <row r="189" spans="1:21" x14ac:dyDescent="0.3">
      <c r="A189" s="18"/>
      <c r="B189" s="26"/>
      <c r="C189" s="26"/>
      <c r="D189" s="26"/>
      <c r="E189" s="26"/>
      <c r="F189" s="21"/>
      <c r="G189" s="47" t="s">
        <v>258</v>
      </c>
      <c r="H189" s="47" t="s">
        <v>581</v>
      </c>
      <c r="I189" s="36" t="str">
        <v>Bob</v>
      </c>
      <c r="J189" s="36" t="str">
        <v>STRATEGY_A</v>
      </c>
      <c r="K189" s="36">
        <v>141.97</v>
      </c>
      <c r="L189" s="35" t="e">
        <v>#N/A</v>
      </c>
      <c r="M189" s="21"/>
      <c r="N189" s="21"/>
      <c r="O189" s="21"/>
      <c r="P189" s="21"/>
      <c r="Q189" s="21"/>
      <c r="R189" s="21"/>
      <c r="S189" s="21"/>
      <c r="T189" s="21"/>
      <c r="U189" s="20"/>
    </row>
    <row r="190" spans="1:21" x14ac:dyDescent="0.3">
      <c r="A190" s="18"/>
      <c r="B190" s="26"/>
      <c r="C190" s="26"/>
      <c r="D190" s="26"/>
      <c r="E190" s="26"/>
      <c r="F190" s="21"/>
      <c r="G190" s="21"/>
      <c r="H190" s="21"/>
      <c r="I190" s="36" t="str">
        <v>Bob</v>
      </c>
      <c r="J190" s="36" t="str">
        <v>STRATEGY_A</v>
      </c>
      <c r="K190" s="36">
        <v>65.14</v>
      </c>
      <c r="L190" s="35" t="e">
        <v>#N/A</v>
      </c>
      <c r="M190" s="21"/>
      <c r="N190" s="21"/>
      <c r="O190" s="21"/>
      <c r="P190" s="21"/>
      <c r="Q190" s="21"/>
      <c r="R190" s="21"/>
      <c r="S190" s="21"/>
      <c r="T190" s="21"/>
      <c r="U190" s="20"/>
    </row>
    <row r="191" spans="1:21" x14ac:dyDescent="0.3">
      <c r="A191" s="18"/>
      <c r="B191" s="26"/>
      <c r="C191" s="26"/>
      <c r="D191" s="26"/>
      <c r="E191" s="26"/>
      <c r="F191" s="21"/>
      <c r="G191" s="21"/>
      <c r="H191" s="21"/>
      <c r="I191" s="36" t="str">
        <v>Sandy</v>
      </c>
      <c r="J191" s="36" t="str">
        <v>STRATEGY_B</v>
      </c>
      <c r="K191" s="36">
        <v>141.97</v>
      </c>
      <c r="L191" s="35" t="e">
        <v>#N/A</v>
      </c>
      <c r="M191" s="21"/>
      <c r="N191" s="21"/>
      <c r="O191" s="21"/>
      <c r="P191" s="21"/>
      <c r="Q191" s="21"/>
      <c r="R191" s="21"/>
      <c r="S191" s="21"/>
      <c r="T191" s="21"/>
      <c r="U191" s="20"/>
    </row>
    <row r="192" spans="1:21" x14ac:dyDescent="0.3">
      <c r="A192" s="18"/>
      <c r="B192" s="26"/>
      <c r="C192" s="26"/>
      <c r="D192" s="26"/>
      <c r="E192" s="26"/>
      <c r="F192" s="21"/>
      <c r="G192" s="21"/>
      <c r="H192" s="21"/>
      <c r="I192" s="36" t="str">
        <v>Sandy</v>
      </c>
      <c r="J192" s="36" t="str">
        <v>STRATEGY_B</v>
      </c>
      <c r="K192" s="36">
        <v>159.37</v>
      </c>
      <c r="L192" s="35" t="e">
        <v>#N/A</v>
      </c>
      <c r="M192" s="21"/>
      <c r="N192" s="21"/>
      <c r="O192" s="21"/>
      <c r="P192" s="21"/>
      <c r="Q192" s="21"/>
      <c r="R192" s="21"/>
      <c r="S192" s="21"/>
      <c r="T192" s="21"/>
      <c r="U192" s="20"/>
    </row>
    <row r="193" spans="1:21" x14ac:dyDescent="0.3">
      <c r="A193" s="18"/>
      <c r="B193" s="26"/>
      <c r="C193" s="26"/>
      <c r="D193" s="26"/>
      <c r="E193" s="26"/>
      <c r="F193" s="21"/>
      <c r="G193" s="21"/>
      <c r="H193" s="26"/>
      <c r="I193" s="26"/>
      <c r="J193" s="26"/>
      <c r="K193" s="26"/>
      <c r="L193" s="21"/>
      <c r="M193" s="21"/>
      <c r="N193" s="21"/>
      <c r="O193" s="21"/>
      <c r="P193" s="21"/>
      <c r="Q193" s="21"/>
      <c r="R193" s="21"/>
      <c r="S193" s="21"/>
      <c r="T193" s="21"/>
      <c r="U193" s="20"/>
    </row>
    <row r="194" spans="1:21" x14ac:dyDescent="0.3">
      <c r="A194" s="18"/>
      <c r="B194" s="26"/>
      <c r="C194" s="26"/>
      <c r="D194" s="26"/>
      <c r="E194" s="26"/>
      <c r="F194" s="21"/>
      <c r="G194" s="21"/>
      <c r="H194" s="26"/>
      <c r="I194" s="26"/>
      <c r="J194" s="26"/>
      <c r="K194" s="26"/>
      <c r="L194" s="21"/>
      <c r="M194" s="21"/>
      <c r="N194" s="21"/>
      <c r="O194" s="21"/>
      <c r="P194" s="21"/>
      <c r="Q194" s="21"/>
      <c r="R194" s="21"/>
      <c r="S194" s="21"/>
      <c r="T194" s="21"/>
      <c r="U194" s="20"/>
    </row>
    <row r="195" spans="1:21" x14ac:dyDescent="0.3">
      <c r="A195" s="18"/>
      <c r="B195" s="26"/>
      <c r="C195" s="26"/>
      <c r="D195" s="26"/>
      <c r="E195" s="26"/>
      <c r="F195" s="21"/>
      <c r="G195" s="21"/>
      <c r="H195" s="26"/>
      <c r="I195" s="187"/>
      <c r="J195" s="187"/>
      <c r="K195" s="187"/>
      <c r="L195" s="188"/>
      <c r="M195" s="21"/>
      <c r="N195" s="21"/>
      <c r="O195" s="21"/>
      <c r="P195" s="21"/>
      <c r="Q195" s="21"/>
      <c r="R195" s="21"/>
      <c r="S195" s="21"/>
      <c r="T195" s="21"/>
      <c r="U195" s="20"/>
    </row>
    <row r="196" spans="1:21" x14ac:dyDescent="0.3">
      <c r="A196" s="18"/>
      <c r="B196" s="26"/>
      <c r="C196" s="26"/>
      <c r="D196" s="26"/>
      <c r="E196" s="26"/>
      <c r="F196" s="21"/>
      <c r="G196" s="21"/>
      <c r="H196" s="26"/>
      <c r="I196" s="187"/>
      <c r="J196" s="187"/>
      <c r="K196" s="187"/>
      <c r="L196" s="188"/>
      <c r="M196" s="21"/>
      <c r="N196" s="21"/>
      <c r="O196" s="21"/>
      <c r="P196" s="21"/>
      <c r="Q196" s="21"/>
      <c r="R196" s="21"/>
      <c r="S196" s="21"/>
      <c r="T196" s="21"/>
      <c r="U196" s="20"/>
    </row>
    <row r="197" spans="1:21" x14ac:dyDescent="0.3">
      <c r="A197" s="18"/>
      <c r="B197" s="26"/>
      <c r="C197" s="26"/>
      <c r="D197" s="26"/>
      <c r="E197" s="26"/>
      <c r="F197" s="21"/>
      <c r="G197" s="21"/>
      <c r="H197" s="26"/>
      <c r="I197" s="187"/>
      <c r="J197" s="187"/>
      <c r="K197" s="187"/>
      <c r="L197" s="188"/>
      <c r="M197" s="21"/>
      <c r="N197" s="21"/>
      <c r="O197" s="21"/>
      <c r="P197" s="21"/>
      <c r="Q197" s="21"/>
      <c r="R197" s="21"/>
      <c r="S197" s="21"/>
      <c r="T197" s="21"/>
      <c r="U197" s="20"/>
    </row>
    <row r="198" spans="1:21" x14ac:dyDescent="0.3">
      <c r="A198" s="18"/>
      <c r="B198" s="26"/>
      <c r="C198" s="26"/>
      <c r="D198" s="26"/>
      <c r="E198" s="26"/>
      <c r="F198" s="21"/>
      <c r="G198" s="21"/>
      <c r="H198" s="26"/>
      <c r="I198" s="187"/>
      <c r="J198" s="187"/>
      <c r="K198" s="187"/>
      <c r="L198" s="188"/>
      <c r="M198" s="21"/>
      <c r="N198" s="21"/>
      <c r="O198" s="21"/>
      <c r="P198" s="21"/>
      <c r="Q198" s="21"/>
      <c r="R198" s="21"/>
      <c r="S198" s="21"/>
      <c r="T198" s="21"/>
      <c r="U198" s="20"/>
    </row>
    <row r="199" spans="1:21" x14ac:dyDescent="0.3">
      <c r="A199" s="18"/>
      <c r="B199" s="26"/>
      <c r="C199" s="26"/>
      <c r="D199" s="26"/>
      <c r="E199" s="26"/>
      <c r="F199" s="21"/>
      <c r="G199" s="21"/>
      <c r="H199" s="26"/>
      <c r="I199" s="187"/>
      <c r="J199" s="187"/>
      <c r="K199" s="187"/>
      <c r="L199" s="188"/>
      <c r="M199" s="21"/>
      <c r="N199" s="21"/>
      <c r="O199" s="21"/>
      <c r="P199" s="21"/>
      <c r="Q199" s="21"/>
      <c r="R199" s="21"/>
      <c r="S199" s="21"/>
      <c r="T199" s="21"/>
      <c r="U199" s="20"/>
    </row>
    <row r="200" spans="1:21" x14ac:dyDescent="0.3">
      <c r="A200" s="18"/>
      <c r="B200" s="26"/>
      <c r="C200" s="26"/>
      <c r="D200" s="26"/>
      <c r="E200" s="26"/>
      <c r="F200" s="21"/>
      <c r="G200" s="21"/>
      <c r="H200" s="26"/>
      <c r="I200" s="187"/>
      <c r="J200" s="187"/>
      <c r="K200" s="187"/>
      <c r="L200" s="188"/>
      <c r="M200" s="21"/>
      <c r="N200" s="21"/>
      <c r="O200" s="21"/>
      <c r="P200" s="21"/>
      <c r="Q200" s="21"/>
      <c r="R200" s="21"/>
      <c r="S200" s="21"/>
      <c r="T200" s="21"/>
      <c r="U200" s="20"/>
    </row>
    <row r="201" spans="1:21" x14ac:dyDescent="0.3">
      <c r="A201" s="18"/>
      <c r="B201" s="26"/>
      <c r="C201" s="26"/>
      <c r="D201" s="26"/>
      <c r="E201" s="26"/>
      <c r="F201" s="21"/>
      <c r="G201" s="21"/>
      <c r="H201" s="26"/>
      <c r="I201" s="187"/>
      <c r="J201" s="187"/>
      <c r="K201" s="187"/>
      <c r="L201" s="188"/>
      <c r="M201" s="21"/>
      <c r="N201" s="21"/>
      <c r="O201" s="21"/>
      <c r="P201" s="21"/>
      <c r="Q201" s="21"/>
      <c r="R201" s="21"/>
      <c r="S201" s="21"/>
      <c r="T201" s="21"/>
      <c r="U201" s="20"/>
    </row>
    <row r="202" spans="1:21" x14ac:dyDescent="0.3">
      <c r="A202" s="18"/>
      <c r="B202" s="26"/>
      <c r="C202" s="26"/>
      <c r="D202" s="26"/>
      <c r="E202" s="26"/>
      <c r="F202" s="21"/>
      <c r="G202" s="21"/>
      <c r="H202" s="26"/>
      <c r="I202" s="26"/>
      <c r="J202" s="26"/>
      <c r="K202" s="26"/>
      <c r="L202" s="21"/>
      <c r="M202" s="21"/>
      <c r="N202" s="21"/>
      <c r="O202" s="21"/>
      <c r="P202" s="21"/>
      <c r="Q202" s="21"/>
      <c r="R202" s="21"/>
      <c r="S202" s="21"/>
      <c r="T202" s="21"/>
      <c r="U202" s="20"/>
    </row>
    <row r="203" spans="1:21" x14ac:dyDescent="0.3">
      <c r="A203" s="18"/>
      <c r="B203" s="26"/>
      <c r="C203" s="26"/>
      <c r="D203" s="26"/>
      <c r="E203" s="26"/>
      <c r="F203" s="21"/>
      <c r="G203" s="21"/>
      <c r="H203" s="26"/>
      <c r="I203" s="26"/>
      <c r="J203" s="26"/>
      <c r="K203" s="26"/>
      <c r="L203" s="21"/>
      <c r="M203" s="21"/>
      <c r="N203" s="21"/>
      <c r="O203" s="21"/>
      <c r="P203" s="21"/>
      <c r="Q203" s="21"/>
      <c r="R203" s="21"/>
      <c r="S203" s="21"/>
      <c r="T203" s="21"/>
      <c r="U203" s="20"/>
    </row>
    <row r="204" spans="1:21" x14ac:dyDescent="0.3">
      <c r="A204" s="18"/>
      <c r="B204" s="26"/>
      <c r="C204" s="26"/>
      <c r="D204" s="26"/>
      <c r="E204" s="26"/>
      <c r="F204" s="21"/>
      <c r="G204" s="21"/>
      <c r="H204" s="26"/>
      <c r="I204" s="26"/>
      <c r="J204" s="26"/>
      <c r="K204" s="26"/>
      <c r="L204" s="21"/>
      <c r="M204" s="21"/>
      <c r="N204" s="21"/>
      <c r="O204" s="21"/>
      <c r="P204" s="21"/>
      <c r="Q204" s="21"/>
      <c r="R204" s="21"/>
      <c r="S204" s="21"/>
      <c r="T204" s="21"/>
      <c r="U204" s="20"/>
    </row>
    <row r="205" spans="1:21" x14ac:dyDescent="0.3">
      <c r="A205" s="18"/>
      <c r="B205" s="26"/>
      <c r="C205" s="26"/>
      <c r="D205" s="26"/>
      <c r="E205" s="26"/>
      <c r="F205" s="21"/>
      <c r="G205" s="21"/>
      <c r="H205" s="26"/>
      <c r="I205" s="26"/>
      <c r="J205" s="26"/>
      <c r="K205" s="26"/>
      <c r="L205" s="21"/>
      <c r="M205" s="21"/>
      <c r="N205" s="21"/>
      <c r="O205" s="21"/>
      <c r="P205" s="21"/>
      <c r="Q205" s="21"/>
      <c r="R205" s="21"/>
      <c r="S205" s="21"/>
      <c r="T205" s="21"/>
      <c r="U205" s="20"/>
    </row>
    <row r="206" spans="1:21" x14ac:dyDescent="0.3">
      <c r="A206" s="18"/>
      <c r="B206" s="492" t="s">
        <v>259</v>
      </c>
      <c r="C206" s="529"/>
      <c r="D206" s="529"/>
      <c r="E206" s="493"/>
      <c r="F206" s="21"/>
      <c r="G206" s="21"/>
      <c r="H206" s="58" t="s">
        <v>265</v>
      </c>
      <c r="I206" s="475" t="s">
        <v>3401</v>
      </c>
      <c r="J206" s="475"/>
      <c r="K206" s="475"/>
      <c r="L206" s="475"/>
      <c r="M206" s="21"/>
      <c r="N206" s="21"/>
      <c r="O206" s="21"/>
      <c r="P206" s="21"/>
      <c r="Q206" s="21"/>
      <c r="R206" s="21"/>
      <c r="S206" s="21"/>
      <c r="T206" s="21"/>
      <c r="U206" s="20"/>
    </row>
    <row r="207" spans="1:21" x14ac:dyDescent="0.3">
      <c r="A207" s="18"/>
      <c r="B207" s="59" t="s">
        <v>2</v>
      </c>
      <c r="C207" s="60" t="s">
        <v>255</v>
      </c>
      <c r="D207" s="60" t="s">
        <v>8</v>
      </c>
      <c r="E207" s="60" t="s">
        <v>7</v>
      </c>
      <c r="F207" s="21"/>
      <c r="G207" s="21"/>
      <c r="H207" s="85" t="s">
        <v>2</v>
      </c>
      <c r="I207" s="3" t="str">
        <f t="array" ref="I207:L212">_xll.U.VLOOKUP(H207:H209,B207:E213,,TRUE,,,"below(1)")</f>
        <v>Symbol</v>
      </c>
      <c r="J207" s="3" t="str">
        <v>Strategy</v>
      </c>
      <c r="K207" s="3" t="str">
        <v>Delta</v>
      </c>
      <c r="L207" s="3" t="str">
        <v>Last Price</v>
      </c>
      <c r="M207" s="21"/>
      <c r="N207" s="21"/>
      <c r="O207" s="21"/>
      <c r="P207" s="21"/>
      <c r="Q207" s="21"/>
      <c r="R207" s="21"/>
      <c r="S207" s="21"/>
      <c r="T207" s="21"/>
      <c r="U207" s="20"/>
    </row>
    <row r="208" spans="1:21" x14ac:dyDescent="0.3">
      <c r="A208" s="18"/>
      <c r="B208" s="42" t="s">
        <v>107</v>
      </c>
      <c r="C208" s="42" t="s">
        <v>257</v>
      </c>
      <c r="D208" s="44">
        <v>-3000</v>
      </c>
      <c r="E208" s="61">
        <v>159.37</v>
      </c>
      <c r="F208" s="21"/>
      <c r="G208" s="21"/>
      <c r="H208" s="47" t="s">
        <v>256</v>
      </c>
      <c r="I208" s="36" t="str">
        <v>MSFT</v>
      </c>
      <c r="J208" s="36" t="str">
        <v>STRATEGY_A</v>
      </c>
      <c r="K208" s="36">
        <v>600</v>
      </c>
      <c r="L208" s="35">
        <v>65.14</v>
      </c>
      <c r="M208" s="21"/>
      <c r="N208" s="21"/>
      <c r="O208" s="21"/>
      <c r="P208" s="21"/>
      <c r="Q208" s="21"/>
      <c r="R208" s="21"/>
      <c r="S208" s="21"/>
      <c r="T208" s="21"/>
      <c r="U208" s="20"/>
    </row>
    <row r="209" spans="1:21" x14ac:dyDescent="0.3">
      <c r="A209" s="18"/>
      <c r="B209" s="42"/>
      <c r="C209" s="42" t="s">
        <v>3911</v>
      </c>
      <c r="D209" s="44">
        <v>45</v>
      </c>
      <c r="E209" s="61"/>
      <c r="F209" s="21"/>
      <c r="G209" s="21"/>
      <c r="H209" s="47" t="s">
        <v>107</v>
      </c>
      <c r="I209" s="36" t="str">
        <v/>
      </c>
      <c r="J209" s="36" t="str">
        <v>Gamma</v>
      </c>
      <c r="K209" s="36">
        <v>13</v>
      </c>
      <c r="L209" s="35" t="str">
        <v/>
      </c>
      <c r="M209" s="21"/>
      <c r="N209" s="21"/>
      <c r="O209" s="21"/>
      <c r="P209" s="21"/>
      <c r="Q209" s="21"/>
      <c r="R209" s="21"/>
      <c r="S209" s="21"/>
      <c r="T209" s="21"/>
      <c r="U209" s="20"/>
    </row>
    <row r="210" spans="1:21" x14ac:dyDescent="0.3">
      <c r="A210" s="18"/>
      <c r="B210" s="42" t="s">
        <v>3910</v>
      </c>
      <c r="C210" s="42" t="s">
        <v>257</v>
      </c>
      <c r="D210" s="44">
        <v>100</v>
      </c>
      <c r="E210" s="61">
        <v>141.97</v>
      </c>
      <c r="F210" s="21"/>
      <c r="G210" s="21"/>
      <c r="H210" s="21"/>
      <c r="I210" s="36" t="str">
        <v>IBM</v>
      </c>
      <c r="J210" s="36" t="str">
        <v>STRATEGY_A</v>
      </c>
      <c r="K210" s="36">
        <v>-3000</v>
      </c>
      <c r="L210" s="35">
        <v>159.37</v>
      </c>
      <c r="M210" s="21"/>
      <c r="N210" s="21"/>
      <c r="O210" s="21"/>
      <c r="P210" s="21"/>
      <c r="Q210" s="21"/>
      <c r="R210" s="21"/>
      <c r="S210" s="21"/>
      <c r="T210" s="21"/>
      <c r="U210" s="20"/>
    </row>
    <row r="211" spans="1:21" x14ac:dyDescent="0.3">
      <c r="A211" s="18"/>
      <c r="B211" s="42"/>
      <c r="C211" s="42" t="s">
        <v>3911</v>
      </c>
      <c r="D211" s="44">
        <v>-3</v>
      </c>
      <c r="E211" s="61"/>
      <c r="F211" s="21"/>
      <c r="G211" s="21"/>
      <c r="H211" s="21"/>
      <c r="I211" s="36" t="str">
        <v/>
      </c>
      <c r="J211" s="36" t="str">
        <v>Gamma</v>
      </c>
      <c r="K211" s="36">
        <v>45</v>
      </c>
      <c r="L211" s="35" t="str">
        <v/>
      </c>
      <c r="M211" s="21"/>
      <c r="N211" s="21"/>
      <c r="O211" s="21"/>
      <c r="P211" s="21"/>
      <c r="Q211" s="21"/>
      <c r="R211" s="21"/>
      <c r="S211" s="21"/>
      <c r="T211" s="21"/>
      <c r="U211" s="20"/>
    </row>
    <row r="212" spans="1:21" x14ac:dyDescent="0.3">
      <c r="A212" s="18"/>
      <c r="B212" s="42" t="s">
        <v>256</v>
      </c>
      <c r="C212" s="42" t="s">
        <v>257</v>
      </c>
      <c r="D212" s="44">
        <v>600</v>
      </c>
      <c r="E212" s="61">
        <v>65.14</v>
      </c>
      <c r="F212" s="21"/>
      <c r="G212" s="21"/>
      <c r="H212" s="21"/>
      <c r="I212" s="36" t="e">
        <v>#N/A</v>
      </c>
      <c r="J212" s="36" t="e">
        <v>#N/A</v>
      </c>
      <c r="K212" s="36" t="e">
        <v>#N/A</v>
      </c>
      <c r="L212" s="35" t="e">
        <v>#N/A</v>
      </c>
      <c r="M212" s="21"/>
      <c r="N212" s="21"/>
      <c r="O212" s="21"/>
      <c r="P212" s="21"/>
      <c r="Q212" s="21"/>
      <c r="R212" s="21"/>
      <c r="S212" s="21"/>
      <c r="T212" s="21"/>
      <c r="U212" s="20"/>
    </row>
    <row r="213" spans="1:21" x14ac:dyDescent="0.3">
      <c r="A213" s="18"/>
      <c r="B213" s="42"/>
      <c r="C213" s="42" t="s">
        <v>3911</v>
      </c>
      <c r="D213" s="44">
        <v>13</v>
      </c>
      <c r="E213" s="61"/>
      <c r="F213" s="21"/>
      <c r="G213" s="21"/>
      <c r="H213" s="26"/>
      <c r="I213" s="26"/>
      <c r="J213" s="26"/>
      <c r="K213" s="26"/>
      <c r="L213" s="21"/>
      <c r="M213" s="21"/>
      <c r="N213" s="21"/>
      <c r="O213" s="21"/>
      <c r="P213" s="21"/>
      <c r="Q213" s="21"/>
      <c r="R213" s="21"/>
      <c r="S213" s="21"/>
      <c r="T213" s="21"/>
      <c r="U213" s="20"/>
    </row>
    <row r="214" spans="1:21" x14ac:dyDescent="0.3">
      <c r="A214" s="18"/>
      <c r="B214" s="26"/>
      <c r="C214" s="26"/>
      <c r="D214" s="26"/>
      <c r="E214" s="26"/>
      <c r="F214" s="21"/>
      <c r="G214" s="21"/>
      <c r="H214" s="26"/>
      <c r="I214" s="26"/>
      <c r="J214" s="26"/>
      <c r="K214" s="26"/>
      <c r="L214" s="21"/>
      <c r="M214" s="21"/>
      <c r="N214" s="21"/>
      <c r="O214" s="21"/>
      <c r="P214" s="21"/>
      <c r="Q214" s="21"/>
      <c r="R214" s="21"/>
      <c r="S214" s="21"/>
      <c r="T214" s="21"/>
      <c r="U214" s="20"/>
    </row>
    <row r="215" spans="1:21" x14ac:dyDescent="0.3">
      <c r="A215" s="18"/>
      <c r="B215" s="26"/>
      <c r="C215" s="26"/>
      <c r="D215" s="26"/>
      <c r="E215" s="26"/>
      <c r="F215" s="21"/>
      <c r="G215" s="21"/>
      <c r="H215" s="26"/>
      <c r="I215" s="26"/>
      <c r="J215" s="26"/>
      <c r="K215" s="26"/>
      <c r="L215" s="21"/>
      <c r="M215" s="21"/>
      <c r="N215" s="21"/>
      <c r="O215" s="21"/>
      <c r="P215" s="21"/>
      <c r="Q215" s="21"/>
      <c r="R215" s="21"/>
      <c r="S215" s="21"/>
      <c r="T215" s="21"/>
      <c r="U215" s="20"/>
    </row>
    <row r="216" spans="1:21" x14ac:dyDescent="0.3">
      <c r="A216" s="18"/>
      <c r="B216" s="26"/>
      <c r="C216" s="26"/>
      <c r="D216" s="26"/>
      <c r="E216" s="26"/>
      <c r="F216" s="21"/>
      <c r="G216" s="21"/>
      <c r="H216" s="26"/>
      <c r="I216" s="26"/>
      <c r="J216" s="26"/>
      <c r="K216" s="26"/>
      <c r="L216" s="21"/>
      <c r="M216" s="21"/>
      <c r="N216" s="21"/>
      <c r="O216" s="21"/>
      <c r="P216" s="21"/>
      <c r="Q216" s="21"/>
      <c r="R216" s="21"/>
      <c r="S216" s="21"/>
      <c r="T216" s="21"/>
      <c r="U216" s="20"/>
    </row>
    <row r="217" spans="1:21" x14ac:dyDescent="0.3">
      <c r="A217" s="18"/>
      <c r="B217" s="26"/>
      <c r="C217" s="26"/>
      <c r="D217" s="26"/>
      <c r="E217" s="26"/>
      <c r="F217" s="21"/>
      <c r="G217" s="21"/>
      <c r="H217" s="26"/>
      <c r="I217" s="26"/>
      <c r="J217" s="26"/>
      <c r="K217" s="26"/>
      <c r="L217" s="21"/>
      <c r="M217" s="21"/>
      <c r="N217" s="21"/>
      <c r="O217" s="21"/>
      <c r="P217" s="21"/>
      <c r="Q217" s="21"/>
      <c r="R217" s="21"/>
      <c r="S217" s="21"/>
      <c r="T217" s="21"/>
      <c r="U217" s="20"/>
    </row>
    <row r="218" spans="1:21" x14ac:dyDescent="0.3">
      <c r="A218" s="18"/>
      <c r="B218" s="26"/>
      <c r="C218" s="26"/>
      <c r="D218" s="26"/>
      <c r="E218" s="26"/>
      <c r="F218" s="21"/>
      <c r="G218" s="21"/>
      <c r="H218" s="26"/>
      <c r="I218" s="26"/>
      <c r="J218" s="26"/>
      <c r="K218" s="26"/>
      <c r="L218" s="21"/>
      <c r="M218" s="21"/>
      <c r="N218" s="21"/>
      <c r="O218" s="21"/>
      <c r="P218" s="21"/>
      <c r="Q218" s="21"/>
      <c r="R218" s="21"/>
      <c r="S218" s="21"/>
      <c r="T218" s="21"/>
      <c r="U218" s="20"/>
    </row>
    <row r="219" spans="1:21" x14ac:dyDescent="0.3">
      <c r="A219" s="18"/>
      <c r="B219" s="21"/>
      <c r="C219" s="21"/>
      <c r="D219" s="21"/>
      <c r="E219" s="21"/>
      <c r="F219" s="21"/>
      <c r="G219" s="21"/>
      <c r="H219" s="67"/>
      <c r="I219" s="67"/>
      <c r="J219" s="67"/>
      <c r="K219" s="67"/>
      <c r="L219" s="67"/>
      <c r="M219" s="67"/>
      <c r="N219" s="67"/>
      <c r="O219" s="67"/>
      <c r="P219" s="67"/>
      <c r="Q219" s="67"/>
      <c r="R219" s="67"/>
      <c r="S219" s="67"/>
      <c r="T219" s="21"/>
      <c r="U219" s="20"/>
    </row>
    <row r="220" spans="1:21" x14ac:dyDescent="0.3">
      <c r="A220" s="18"/>
      <c r="B220" s="21"/>
      <c r="C220" s="21"/>
      <c r="D220" s="21"/>
      <c r="E220" s="21"/>
      <c r="F220" s="21"/>
      <c r="G220" s="21"/>
      <c r="H220" s="21"/>
      <c r="I220" s="21"/>
      <c r="J220" s="21"/>
      <c r="K220" s="21"/>
      <c r="L220" s="21"/>
      <c r="M220" s="21"/>
      <c r="N220" s="21"/>
      <c r="O220" s="21"/>
      <c r="P220" s="21"/>
      <c r="Q220" s="21"/>
      <c r="R220" s="21"/>
      <c r="S220" s="21"/>
      <c r="T220" s="21"/>
      <c r="U220" s="20"/>
    </row>
    <row r="221" spans="1:21" x14ac:dyDescent="0.3">
      <c r="A221" s="18"/>
      <c r="B221" s="492" t="s">
        <v>259</v>
      </c>
      <c r="C221" s="529"/>
      <c r="D221" s="529"/>
      <c r="E221" s="493"/>
      <c r="F221" s="21"/>
      <c r="G221" s="21"/>
      <c r="H221" s="58" t="s">
        <v>265</v>
      </c>
      <c r="I221" s="475" t="s">
        <v>3401</v>
      </c>
      <c r="J221" s="475"/>
      <c r="K221" s="475"/>
      <c r="L221" s="21"/>
      <c r="M221" s="21"/>
      <c r="N221" s="21"/>
      <c r="O221" s="21"/>
      <c r="P221" s="21"/>
      <c r="Q221" s="21"/>
      <c r="R221" s="21"/>
      <c r="S221" s="21"/>
      <c r="T221" s="21"/>
      <c r="U221" s="20"/>
    </row>
    <row r="222" spans="1:21" x14ac:dyDescent="0.3">
      <c r="A222" s="18"/>
      <c r="B222" s="59" t="s">
        <v>2</v>
      </c>
      <c r="C222" s="60" t="s">
        <v>255</v>
      </c>
      <c r="D222" s="60" t="s">
        <v>8</v>
      </c>
      <c r="E222" s="60" t="s">
        <v>7</v>
      </c>
      <c r="F222" s="21"/>
      <c r="G222" s="21"/>
      <c r="H222" s="85" t="s">
        <v>2</v>
      </c>
      <c r="I222" s="3" t="str">
        <f t="array" ref="I222:K228">_xll.U.VLOOKUP(H222:H228,B222:E227)</f>
        <v>Strategy</v>
      </c>
      <c r="J222" s="3" t="str">
        <v>Delta</v>
      </c>
      <c r="K222" s="3" t="str">
        <v>Last Price</v>
      </c>
      <c r="L222" s="21"/>
      <c r="M222" s="21"/>
      <c r="N222" s="21"/>
      <c r="O222" s="21"/>
      <c r="P222" s="21"/>
      <c r="Q222" s="21"/>
      <c r="R222" s="21"/>
      <c r="S222" s="21"/>
      <c r="T222" s="21"/>
      <c r="U222" s="20"/>
    </row>
    <row r="223" spans="1:21" x14ac:dyDescent="0.3">
      <c r="A223" s="18"/>
      <c r="B223" s="42" t="s">
        <v>107</v>
      </c>
      <c r="C223" s="42" t="s">
        <v>257</v>
      </c>
      <c r="D223" s="44">
        <v>-3000</v>
      </c>
      <c r="E223" s="61">
        <v>159.37</v>
      </c>
      <c r="F223" s="21"/>
      <c r="G223" s="21"/>
      <c r="H223" s="47" t="s">
        <v>106</v>
      </c>
      <c r="I223" s="30" t="str">
        <v>STRATEGY_B</v>
      </c>
      <c r="J223" s="36">
        <v>1500</v>
      </c>
      <c r="K223" s="35">
        <v>141.97</v>
      </c>
      <c r="L223" s="21"/>
      <c r="M223" s="21"/>
      <c r="N223" s="21"/>
      <c r="O223" s="21"/>
      <c r="P223" s="21"/>
      <c r="Q223" s="21"/>
      <c r="R223" s="21"/>
      <c r="S223" s="21"/>
      <c r="T223" s="21"/>
      <c r="U223" s="20"/>
    </row>
    <row r="224" spans="1:21" x14ac:dyDescent="0.3">
      <c r="A224" s="18"/>
      <c r="B224" s="42" t="s">
        <v>106</v>
      </c>
      <c r="C224" s="42" t="s">
        <v>258</v>
      </c>
      <c r="D224" s="44">
        <v>1500</v>
      </c>
      <c r="E224" s="61">
        <v>141.97</v>
      </c>
      <c r="F224" s="21"/>
      <c r="G224" s="21"/>
      <c r="H224" s="47" t="s">
        <v>256</v>
      </c>
      <c r="I224" s="30" t="str">
        <v>STRATEGY_A</v>
      </c>
      <c r="J224" s="36">
        <v>600</v>
      </c>
      <c r="K224" s="35">
        <v>65.14</v>
      </c>
      <c r="L224" s="21"/>
      <c r="M224" s="21"/>
      <c r="N224" s="21"/>
      <c r="O224" s="21"/>
      <c r="P224" s="21"/>
      <c r="Q224" s="21"/>
      <c r="R224" s="21"/>
      <c r="S224" s="21"/>
      <c r="T224" s="21"/>
      <c r="U224" s="20"/>
    </row>
    <row r="225" spans="1:35" x14ac:dyDescent="0.3">
      <c r="A225" s="18"/>
      <c r="B225" s="42" t="s">
        <v>106</v>
      </c>
      <c r="C225" s="42" t="s">
        <v>257</v>
      </c>
      <c r="D225" s="44">
        <v>100</v>
      </c>
      <c r="E225" s="61">
        <v>141.94999999999999</v>
      </c>
      <c r="F225" s="21"/>
      <c r="G225" s="21"/>
      <c r="H225" s="47" t="s">
        <v>107</v>
      </c>
      <c r="I225" s="30" t="str">
        <v>STRATEGY_A</v>
      </c>
      <c r="J225" s="36">
        <v>-3000</v>
      </c>
      <c r="K225" s="35">
        <v>159.37</v>
      </c>
      <c r="L225" s="21"/>
      <c r="M225" s="21"/>
      <c r="N225" s="21"/>
      <c r="O225" s="21"/>
      <c r="P225" s="21"/>
      <c r="Q225" s="21"/>
      <c r="R225" s="21"/>
      <c r="S225" s="21"/>
      <c r="T225" s="21"/>
      <c r="U225" s="20"/>
    </row>
    <row r="226" spans="1:35" x14ac:dyDescent="0.3">
      <c r="A226" s="18"/>
      <c r="B226" s="42" t="s">
        <v>256</v>
      </c>
      <c r="C226" s="42" t="s">
        <v>257</v>
      </c>
      <c r="D226" s="44">
        <v>600</v>
      </c>
      <c r="E226" s="61">
        <v>65.14</v>
      </c>
      <c r="F226" s="21"/>
      <c r="G226" s="21"/>
      <c r="H226" s="47" t="s">
        <v>106</v>
      </c>
      <c r="I226" s="30" t="str">
        <v>STRATEGY_B</v>
      </c>
      <c r="J226" s="36">
        <v>1500</v>
      </c>
      <c r="K226" s="35">
        <v>141.97</v>
      </c>
      <c r="L226" s="21"/>
      <c r="M226" s="21"/>
      <c r="N226" s="21"/>
      <c r="O226" s="21"/>
      <c r="P226" s="21"/>
      <c r="Q226" s="21"/>
      <c r="R226" s="21"/>
      <c r="S226" s="21"/>
      <c r="T226" s="21"/>
      <c r="U226" s="20"/>
    </row>
    <row r="227" spans="1:35" x14ac:dyDescent="0.3">
      <c r="A227" s="18"/>
      <c r="B227" s="42" t="s">
        <v>107</v>
      </c>
      <c r="C227" s="42" t="s">
        <v>258</v>
      </c>
      <c r="D227" s="44">
        <v>100</v>
      </c>
      <c r="E227" s="61">
        <v>159.41</v>
      </c>
      <c r="F227" s="21"/>
      <c r="G227" s="21"/>
      <c r="H227" s="47" t="s">
        <v>256</v>
      </c>
      <c r="I227" s="30" t="str">
        <v>STRATEGY_A</v>
      </c>
      <c r="J227" s="36">
        <v>600</v>
      </c>
      <c r="K227" s="35">
        <v>65.14</v>
      </c>
      <c r="L227" s="21"/>
      <c r="M227" s="21"/>
      <c r="N227" s="21"/>
      <c r="O227" s="21"/>
      <c r="P227" s="21"/>
      <c r="Q227" s="21"/>
      <c r="R227" s="21"/>
      <c r="S227" s="21"/>
      <c r="T227" s="21"/>
      <c r="U227" s="20"/>
    </row>
    <row r="228" spans="1:35" x14ac:dyDescent="0.3">
      <c r="A228" s="18"/>
      <c r="B228" s="21"/>
      <c r="C228" s="21"/>
      <c r="D228" s="21"/>
      <c r="E228" s="21"/>
      <c r="F228" s="21"/>
      <c r="G228" s="21"/>
      <c r="H228" s="47" t="s">
        <v>107</v>
      </c>
      <c r="I228" s="30" t="str">
        <v>STRATEGY_A</v>
      </c>
      <c r="J228" s="36">
        <v>-3000</v>
      </c>
      <c r="K228" s="35">
        <v>159.37</v>
      </c>
      <c r="L228" s="21"/>
      <c r="M228" s="21"/>
      <c r="N228" s="21"/>
      <c r="O228" s="21"/>
      <c r="P228" s="21"/>
      <c r="Q228" s="21"/>
      <c r="R228" s="21"/>
      <c r="S228" s="21"/>
      <c r="T228" s="21"/>
      <c r="U228" s="20"/>
    </row>
    <row r="229" spans="1:35" x14ac:dyDescent="0.3">
      <c r="A229" s="18"/>
      <c r="B229" s="21"/>
      <c r="C229" s="21"/>
      <c r="D229" s="21"/>
      <c r="E229" s="21"/>
      <c r="F229" s="21"/>
      <c r="G229" s="21"/>
      <c r="H229" s="21"/>
      <c r="I229" s="21"/>
      <c r="J229" s="21"/>
      <c r="K229" s="21"/>
      <c r="L229" s="21"/>
      <c r="M229" s="21"/>
      <c r="N229" s="21"/>
      <c r="O229" s="21"/>
      <c r="P229" s="21"/>
      <c r="Q229" s="21"/>
      <c r="R229" s="21"/>
      <c r="S229" s="21"/>
      <c r="T229" s="21"/>
      <c r="U229" s="20"/>
    </row>
    <row r="230" spans="1:35" x14ac:dyDescent="0.3">
      <c r="A230" s="18"/>
      <c r="B230" s="21"/>
      <c r="C230" s="21"/>
      <c r="D230" s="21"/>
      <c r="E230" s="21"/>
      <c r="F230" s="21"/>
      <c r="G230" s="21"/>
      <c r="H230" s="21"/>
      <c r="I230" s="21"/>
      <c r="J230" s="21"/>
      <c r="K230" s="21"/>
      <c r="L230" s="21"/>
      <c r="M230" s="21"/>
      <c r="N230" s="21"/>
      <c r="O230" s="21"/>
      <c r="P230" s="21"/>
      <c r="Q230" s="21"/>
      <c r="R230" s="21"/>
      <c r="S230" s="21"/>
      <c r="T230" s="21"/>
      <c r="U230" s="20"/>
    </row>
    <row r="231" spans="1:35" x14ac:dyDescent="0.3">
      <c r="A231" s="18"/>
      <c r="B231" s="492" t="s">
        <v>259</v>
      </c>
      <c r="C231" s="529"/>
      <c r="D231" s="529"/>
      <c r="E231" s="493"/>
      <c r="F231" s="21"/>
      <c r="G231" s="21"/>
      <c r="H231" s="58" t="s">
        <v>265</v>
      </c>
      <c r="I231" s="475" t="s">
        <v>3401</v>
      </c>
      <c r="J231" s="475"/>
      <c r="K231" s="475"/>
      <c r="L231" s="21"/>
      <c r="M231" s="21"/>
      <c r="N231" s="21"/>
      <c r="O231" s="21"/>
      <c r="P231" s="21"/>
      <c r="Q231" s="21"/>
      <c r="R231" s="21"/>
      <c r="S231" s="21"/>
      <c r="T231" s="21"/>
      <c r="U231" s="20"/>
    </row>
    <row r="232" spans="1:35" x14ac:dyDescent="0.3">
      <c r="A232" s="18"/>
      <c r="B232" s="59" t="s">
        <v>2</v>
      </c>
      <c r="C232" s="60" t="s">
        <v>255</v>
      </c>
      <c r="D232" s="60" t="s">
        <v>8</v>
      </c>
      <c r="E232" s="60" t="s">
        <v>7</v>
      </c>
      <c r="F232" s="21"/>
      <c r="G232" s="21"/>
      <c r="H232" s="85" t="s">
        <v>2</v>
      </c>
      <c r="I232" s="3" t="str">
        <f t="array" ref="I232:K238">_xll.U.VLOOKUP(H232:H238,B232:E237,,,,TRUE)</f>
        <v>Strategy</v>
      </c>
      <c r="J232" s="3" t="str">
        <v>Delta</v>
      </c>
      <c r="K232" s="3" t="str">
        <v>Last Price</v>
      </c>
      <c r="L232" s="21"/>
      <c r="M232" s="21"/>
      <c r="N232" s="21"/>
      <c r="O232" s="21"/>
      <c r="P232" s="21"/>
      <c r="Q232" s="21"/>
      <c r="R232" s="21"/>
      <c r="S232" s="21"/>
      <c r="T232" s="21"/>
      <c r="U232" s="20"/>
    </row>
    <row r="233" spans="1:35" x14ac:dyDescent="0.3">
      <c r="A233" s="18"/>
      <c r="B233" s="42" t="s">
        <v>107</v>
      </c>
      <c r="C233" s="42" t="s">
        <v>257</v>
      </c>
      <c r="D233" s="44">
        <v>-3000</v>
      </c>
      <c r="E233" s="61">
        <v>159.37</v>
      </c>
      <c r="F233" s="21"/>
      <c r="G233" s="21"/>
      <c r="H233" s="47" t="s">
        <v>106</v>
      </c>
      <c r="I233" s="30" t="str">
        <v>STRATEGY_B</v>
      </c>
      <c r="J233" s="36">
        <v>1500</v>
      </c>
      <c r="K233" s="35">
        <v>141.97</v>
      </c>
      <c r="L233" s="21"/>
      <c r="M233" s="21"/>
      <c r="N233" s="21"/>
      <c r="O233" s="21"/>
      <c r="P233" s="21"/>
      <c r="Q233" s="21"/>
      <c r="R233" s="21"/>
      <c r="S233" s="21"/>
      <c r="T233" s="21"/>
      <c r="U233" s="20"/>
    </row>
    <row r="234" spans="1:35" x14ac:dyDescent="0.3">
      <c r="A234" s="18"/>
      <c r="B234" s="42" t="s">
        <v>106</v>
      </c>
      <c r="C234" s="42" t="s">
        <v>258</v>
      </c>
      <c r="D234" s="44">
        <v>1500</v>
      </c>
      <c r="E234" s="61">
        <v>141.97</v>
      </c>
      <c r="F234" s="21"/>
      <c r="G234" s="21"/>
      <c r="H234" s="47" t="s">
        <v>256</v>
      </c>
      <c r="I234" s="30" t="str">
        <v>STRATEGY_A</v>
      </c>
      <c r="J234" s="36">
        <v>600</v>
      </c>
      <c r="K234" s="35">
        <v>65.14</v>
      </c>
      <c r="L234" s="21"/>
      <c r="M234" s="21"/>
      <c r="N234" s="21"/>
      <c r="O234" s="21"/>
      <c r="P234" s="21"/>
      <c r="Q234" s="21"/>
      <c r="R234" s="21"/>
      <c r="S234" s="21"/>
      <c r="T234" s="21"/>
      <c r="U234" s="20"/>
    </row>
    <row r="235" spans="1:35" x14ac:dyDescent="0.3">
      <c r="A235" s="18"/>
      <c r="B235" s="42" t="s">
        <v>106</v>
      </c>
      <c r="C235" s="42" t="s">
        <v>257</v>
      </c>
      <c r="D235" s="44">
        <v>100</v>
      </c>
      <c r="E235" s="61">
        <v>141.94999999999999</v>
      </c>
      <c r="F235" s="21"/>
      <c r="G235" s="21"/>
      <c r="H235" s="47" t="s">
        <v>107</v>
      </c>
      <c r="I235" s="30" t="str">
        <v>STRATEGY_A</v>
      </c>
      <c r="J235" s="36">
        <v>-3000</v>
      </c>
      <c r="K235" s="35">
        <v>159.37</v>
      </c>
      <c r="L235" s="21"/>
      <c r="M235" s="21"/>
      <c r="N235" s="21"/>
      <c r="O235" s="21"/>
      <c r="P235" s="21"/>
      <c r="Q235" s="21"/>
      <c r="R235" s="21"/>
      <c r="S235" s="21"/>
      <c r="T235" s="21"/>
      <c r="U235" s="20"/>
    </row>
    <row r="236" spans="1:35" x14ac:dyDescent="0.3">
      <c r="A236" s="18"/>
      <c r="B236" s="42" t="s">
        <v>256</v>
      </c>
      <c r="C236" s="42" t="s">
        <v>257</v>
      </c>
      <c r="D236" s="44">
        <v>600</v>
      </c>
      <c r="E236" s="61">
        <v>65.14</v>
      </c>
      <c r="F236" s="21"/>
      <c r="G236" s="21"/>
      <c r="H236" s="47" t="s">
        <v>106</v>
      </c>
      <c r="I236" s="30" t="str">
        <v>STRATEGY_A</v>
      </c>
      <c r="J236" s="36">
        <v>100</v>
      </c>
      <c r="K236" s="35">
        <v>141.94999999999999</v>
      </c>
      <c r="L236" s="21"/>
      <c r="M236" s="21"/>
      <c r="N236" s="21"/>
      <c r="O236" s="21"/>
      <c r="P236" s="21"/>
      <c r="Q236" s="21"/>
      <c r="R236" s="21"/>
      <c r="S236" s="21"/>
      <c r="T236" s="21"/>
      <c r="U236" s="20"/>
    </row>
    <row r="237" spans="1:35" x14ac:dyDescent="0.3">
      <c r="A237" s="18"/>
      <c r="B237" s="42" t="s">
        <v>107</v>
      </c>
      <c r="C237" s="42" t="s">
        <v>258</v>
      </c>
      <c r="D237" s="44">
        <v>100</v>
      </c>
      <c r="E237" s="61">
        <v>159.41</v>
      </c>
      <c r="F237" s="21"/>
      <c r="G237" s="21"/>
      <c r="H237" s="47" t="s">
        <v>256</v>
      </c>
      <c r="I237" s="30" t="e">
        <v>#N/A</v>
      </c>
      <c r="J237" s="36" t="e">
        <v>#N/A</v>
      </c>
      <c r="K237" s="35" t="e">
        <v>#N/A</v>
      </c>
      <c r="L237" s="21"/>
      <c r="M237" s="21"/>
      <c r="N237" s="21"/>
      <c r="O237" s="21"/>
      <c r="P237" s="21"/>
      <c r="Q237" s="21"/>
      <c r="R237" s="21"/>
      <c r="S237" s="21"/>
      <c r="T237" s="21"/>
      <c r="U237" s="20"/>
      <c r="AG237" s="172"/>
      <c r="AH237" s="172"/>
      <c r="AI237" s="172"/>
    </row>
    <row r="238" spans="1:35" x14ac:dyDescent="0.3">
      <c r="A238" s="18"/>
      <c r="B238" s="21"/>
      <c r="C238" s="21"/>
      <c r="D238" s="21"/>
      <c r="E238" s="21"/>
      <c r="F238" s="21"/>
      <c r="G238" s="21"/>
      <c r="H238" s="47" t="s">
        <v>107</v>
      </c>
      <c r="I238" s="30" t="str">
        <v>STRATEGY_B</v>
      </c>
      <c r="J238" s="36">
        <v>100</v>
      </c>
      <c r="K238" s="35">
        <v>159.41</v>
      </c>
      <c r="L238" s="21"/>
      <c r="M238" s="21"/>
      <c r="N238" s="21"/>
      <c r="O238" s="21"/>
      <c r="P238" s="21"/>
      <c r="Q238" s="21"/>
      <c r="R238" s="21"/>
      <c r="S238" s="21"/>
      <c r="T238" s="21"/>
      <c r="U238" s="20"/>
    </row>
    <row r="239" spans="1:35" x14ac:dyDescent="0.3">
      <c r="A239" s="18"/>
      <c r="B239" s="21"/>
      <c r="C239" s="21"/>
      <c r="D239" s="21"/>
      <c r="E239" s="21"/>
      <c r="F239" s="21"/>
      <c r="G239" s="21"/>
      <c r="H239" s="21"/>
      <c r="I239" s="21"/>
      <c r="J239" s="21"/>
      <c r="K239" s="21"/>
      <c r="L239" s="21"/>
      <c r="M239" s="21"/>
      <c r="N239" s="21"/>
      <c r="O239" s="21"/>
      <c r="P239" s="21"/>
      <c r="Q239" s="21"/>
      <c r="R239" s="21"/>
      <c r="S239" s="21"/>
      <c r="T239" s="21"/>
      <c r="U239" s="20"/>
    </row>
    <row r="240" spans="1:35" x14ac:dyDescent="0.3">
      <c r="A240" s="18"/>
      <c r="B240" s="21"/>
      <c r="C240" s="21"/>
      <c r="D240" s="21"/>
      <c r="E240" s="21"/>
      <c r="F240" s="21"/>
      <c r="G240" s="21"/>
      <c r="H240" s="21"/>
      <c r="I240" s="21"/>
      <c r="J240" s="21"/>
      <c r="K240" s="21"/>
      <c r="L240" s="21"/>
      <c r="M240" s="21"/>
      <c r="N240" s="21"/>
      <c r="O240" s="21"/>
      <c r="P240" s="21"/>
      <c r="Q240" s="21"/>
      <c r="R240" s="21"/>
      <c r="S240" s="21"/>
      <c r="T240" s="21"/>
      <c r="U240" s="20"/>
    </row>
    <row r="241" spans="1:21" x14ac:dyDescent="0.3">
      <c r="A241" s="18"/>
      <c r="B241" s="21"/>
      <c r="C241" s="21"/>
      <c r="D241" s="21"/>
      <c r="E241" s="21"/>
      <c r="F241" s="21"/>
      <c r="G241" s="21"/>
      <c r="H241" s="58" t="s">
        <v>265</v>
      </c>
      <c r="I241" s="475" t="s">
        <v>3401</v>
      </c>
      <c r="J241" s="475"/>
      <c r="K241" s="475"/>
      <c r="L241" s="21"/>
      <c r="M241" s="21"/>
      <c r="N241" s="21"/>
      <c r="O241" s="21"/>
      <c r="P241" s="21"/>
      <c r="Q241" s="21"/>
      <c r="R241" s="21"/>
      <c r="S241" s="21"/>
      <c r="T241" s="21"/>
      <c r="U241" s="20"/>
    </row>
    <row r="242" spans="1:21" x14ac:dyDescent="0.3">
      <c r="A242" s="18"/>
      <c r="B242" s="21"/>
      <c r="C242" s="21"/>
      <c r="D242" s="21"/>
      <c r="E242" s="21"/>
      <c r="F242" s="21"/>
      <c r="G242" s="21"/>
      <c r="H242" s="85" t="s">
        <v>2</v>
      </c>
      <c r="I242" s="3" t="str">
        <f t="array" ref="I242:K248">_xll.U.VLOOKUP(H242:H248,B232:E237,,,,TRUE,,"")</f>
        <v>Strategy</v>
      </c>
      <c r="J242" s="3" t="str">
        <v>Delta</v>
      </c>
      <c r="K242" s="3" t="str">
        <v>Last Price</v>
      </c>
      <c r="L242" s="21"/>
      <c r="M242" s="21"/>
      <c r="N242" s="21"/>
      <c r="O242" s="21"/>
      <c r="P242" s="21"/>
      <c r="Q242" s="21"/>
      <c r="R242" s="21"/>
      <c r="S242" s="21"/>
      <c r="T242" s="21"/>
      <c r="U242" s="20"/>
    </row>
    <row r="243" spans="1:21" x14ac:dyDescent="0.3">
      <c r="A243" s="18"/>
      <c r="B243" s="21"/>
      <c r="C243" s="21"/>
      <c r="D243" s="21"/>
      <c r="E243" s="21"/>
      <c r="F243" s="21"/>
      <c r="G243" s="21"/>
      <c r="H243" s="47" t="s">
        <v>106</v>
      </c>
      <c r="I243" s="30" t="str">
        <v>STRATEGY_B</v>
      </c>
      <c r="J243" s="36">
        <v>1500</v>
      </c>
      <c r="K243" s="35">
        <v>141.97</v>
      </c>
      <c r="L243" s="21"/>
      <c r="M243" s="21"/>
      <c r="N243" s="21"/>
      <c r="O243" s="21"/>
      <c r="P243" s="21"/>
      <c r="Q243" s="21"/>
      <c r="R243" s="21"/>
      <c r="S243" s="21"/>
      <c r="T243" s="21"/>
      <c r="U243" s="20"/>
    </row>
    <row r="244" spans="1:21" x14ac:dyDescent="0.3">
      <c r="A244" s="18"/>
      <c r="B244" s="21"/>
      <c r="C244" s="21"/>
      <c r="D244" s="21"/>
      <c r="E244" s="21"/>
      <c r="F244" s="21"/>
      <c r="G244" s="21"/>
      <c r="H244" s="47" t="s">
        <v>256</v>
      </c>
      <c r="I244" s="30" t="str">
        <v>STRATEGY_A</v>
      </c>
      <c r="J244" s="36">
        <v>600</v>
      </c>
      <c r="K244" s="35">
        <v>65.14</v>
      </c>
      <c r="L244" s="21"/>
      <c r="M244" s="21"/>
      <c r="N244" s="21"/>
      <c r="O244" s="21"/>
      <c r="P244" s="21"/>
      <c r="Q244" s="21"/>
      <c r="R244" s="21"/>
      <c r="S244" s="21"/>
      <c r="T244" s="21"/>
      <c r="U244" s="20"/>
    </row>
    <row r="245" spans="1:21" x14ac:dyDescent="0.3">
      <c r="A245" s="18"/>
      <c r="B245" s="21"/>
      <c r="C245" s="21"/>
      <c r="D245" s="21"/>
      <c r="E245" s="21"/>
      <c r="F245" s="21"/>
      <c r="G245" s="21"/>
      <c r="H245" s="47" t="s">
        <v>107</v>
      </c>
      <c r="I245" s="30" t="str">
        <v>STRATEGY_A</v>
      </c>
      <c r="J245" s="36">
        <v>-3000</v>
      </c>
      <c r="K245" s="35">
        <v>159.37</v>
      </c>
      <c r="L245" s="21"/>
      <c r="M245" s="21"/>
      <c r="N245" s="21"/>
      <c r="O245" s="21"/>
      <c r="P245" s="21"/>
      <c r="Q245" s="21"/>
      <c r="R245" s="21"/>
      <c r="S245" s="21"/>
      <c r="T245" s="21"/>
      <c r="U245" s="20"/>
    </row>
    <row r="246" spans="1:21" x14ac:dyDescent="0.3">
      <c r="A246" s="18"/>
      <c r="B246" s="21"/>
      <c r="C246" s="21"/>
      <c r="D246" s="21"/>
      <c r="E246" s="21"/>
      <c r="F246" s="21"/>
      <c r="G246" s="21"/>
      <c r="H246" s="47" t="s">
        <v>106</v>
      </c>
      <c r="I246" s="30" t="str">
        <v>STRATEGY_A</v>
      </c>
      <c r="J246" s="36">
        <v>100</v>
      </c>
      <c r="K246" s="35">
        <v>141.94999999999999</v>
      </c>
      <c r="L246" s="21"/>
      <c r="M246" s="21"/>
      <c r="N246" s="21"/>
      <c r="O246" s="21"/>
      <c r="P246" s="21"/>
      <c r="Q246" s="21"/>
      <c r="R246" s="21"/>
      <c r="S246" s="21"/>
      <c r="T246" s="21"/>
      <c r="U246" s="20"/>
    </row>
    <row r="247" spans="1:21" x14ac:dyDescent="0.3">
      <c r="A247" s="18"/>
      <c r="B247" s="21"/>
      <c r="C247" s="21"/>
      <c r="D247" s="21"/>
      <c r="E247" s="21"/>
      <c r="F247" s="21"/>
      <c r="G247" s="21"/>
      <c r="H247" s="47" t="s">
        <v>256</v>
      </c>
      <c r="I247" s="30" t="str">
        <v/>
      </c>
      <c r="J247" s="36" t="str">
        <v/>
      </c>
      <c r="K247" s="35" t="str">
        <v/>
      </c>
      <c r="L247" s="21"/>
      <c r="M247" s="21"/>
      <c r="N247" s="21"/>
      <c r="O247" s="21"/>
      <c r="P247" s="21"/>
      <c r="Q247" s="21"/>
      <c r="R247" s="21"/>
      <c r="S247" s="21"/>
      <c r="T247" s="21"/>
      <c r="U247" s="20"/>
    </row>
    <row r="248" spans="1:21" x14ac:dyDescent="0.3">
      <c r="A248" s="18"/>
      <c r="B248" s="21"/>
      <c r="C248" s="21"/>
      <c r="D248" s="21"/>
      <c r="E248" s="21"/>
      <c r="F248" s="21"/>
      <c r="G248" s="21"/>
      <c r="H248" s="47" t="s">
        <v>107</v>
      </c>
      <c r="I248" s="30" t="str">
        <v>STRATEGY_B</v>
      </c>
      <c r="J248" s="36">
        <v>100</v>
      </c>
      <c r="K248" s="35">
        <v>159.41</v>
      </c>
      <c r="L248" s="21"/>
      <c r="M248" s="21"/>
      <c r="N248" s="21"/>
      <c r="O248" s="21"/>
      <c r="P248" s="21"/>
      <c r="Q248" s="21"/>
      <c r="R248" s="21"/>
      <c r="S248" s="21"/>
      <c r="T248" s="21"/>
      <c r="U248" s="20"/>
    </row>
    <row r="249" spans="1:21" x14ac:dyDescent="0.3">
      <c r="A249" s="18"/>
      <c r="B249" s="21"/>
      <c r="C249" s="21"/>
      <c r="D249" s="21"/>
      <c r="E249" s="21"/>
      <c r="F249" s="21"/>
      <c r="G249" s="21"/>
      <c r="H249" s="21"/>
      <c r="I249" s="21"/>
      <c r="J249" s="21"/>
      <c r="K249" s="21"/>
      <c r="L249" s="21"/>
      <c r="M249" s="21"/>
      <c r="N249" s="21"/>
      <c r="O249" s="21"/>
      <c r="P249" s="21"/>
      <c r="Q249" s="21"/>
      <c r="R249" s="21"/>
      <c r="S249" s="21"/>
      <c r="T249" s="21"/>
      <c r="U249" s="20"/>
    </row>
    <row r="250" spans="1:21" x14ac:dyDescent="0.3">
      <c r="A250" s="18"/>
      <c r="B250" s="21"/>
      <c r="C250" s="21"/>
      <c r="D250" s="21"/>
      <c r="E250" s="21"/>
      <c r="F250" s="21"/>
      <c r="G250" s="21"/>
      <c r="H250" s="21"/>
      <c r="I250" s="21"/>
      <c r="J250" s="21"/>
      <c r="K250" s="21"/>
      <c r="L250" s="21"/>
      <c r="M250" s="21"/>
      <c r="N250" s="21"/>
      <c r="O250" s="21"/>
      <c r="P250" s="21"/>
      <c r="Q250" s="21"/>
      <c r="R250" s="21"/>
      <c r="S250" s="21"/>
      <c r="T250" s="21"/>
      <c r="U250" s="20"/>
    </row>
    <row r="251" spans="1:21" x14ac:dyDescent="0.3">
      <c r="A251" s="18"/>
      <c r="B251" s="21"/>
      <c r="C251" s="21"/>
      <c r="D251" s="21"/>
      <c r="E251" s="21"/>
      <c r="F251" s="21"/>
      <c r="G251" s="21"/>
      <c r="H251" s="21"/>
      <c r="I251" s="21"/>
      <c r="J251" s="21"/>
      <c r="K251" s="21"/>
      <c r="L251" s="21"/>
      <c r="M251" s="21"/>
      <c r="N251" s="21"/>
      <c r="O251" s="21"/>
      <c r="P251" s="21"/>
      <c r="Q251" s="21"/>
      <c r="R251" s="21"/>
      <c r="S251" s="21"/>
      <c r="T251" s="21"/>
      <c r="U251" s="20"/>
    </row>
    <row r="252" spans="1:21" x14ac:dyDescent="0.3">
      <c r="A252" s="18"/>
      <c r="B252" s="21"/>
      <c r="C252" s="21"/>
      <c r="D252" s="21"/>
      <c r="E252" s="21"/>
      <c r="F252" s="21"/>
      <c r="G252" s="21"/>
      <c r="H252" s="67"/>
      <c r="I252" s="67"/>
      <c r="J252" s="67"/>
      <c r="K252" s="67"/>
      <c r="L252" s="67"/>
      <c r="M252" s="67"/>
      <c r="N252" s="67"/>
      <c r="O252" s="67"/>
      <c r="P252" s="67"/>
      <c r="Q252" s="67"/>
      <c r="R252" s="67"/>
      <c r="S252" s="67"/>
      <c r="T252" s="21"/>
      <c r="U252" s="20"/>
    </row>
    <row r="253" spans="1:21" x14ac:dyDescent="0.3">
      <c r="A253" s="18"/>
      <c r="B253" s="21"/>
      <c r="C253" s="21"/>
      <c r="D253" s="21"/>
      <c r="E253" s="21"/>
      <c r="F253" s="21"/>
      <c r="G253" s="21"/>
      <c r="H253" s="21"/>
      <c r="I253" s="21"/>
      <c r="J253" s="21"/>
      <c r="K253" s="21"/>
      <c r="L253" s="21"/>
      <c r="M253" s="21"/>
      <c r="N253" s="21"/>
      <c r="O253" s="21"/>
      <c r="P253" s="21"/>
      <c r="Q253" s="21"/>
      <c r="R253" s="21"/>
      <c r="S253" s="21"/>
      <c r="T253" s="21"/>
      <c r="U253" s="20"/>
    </row>
    <row r="254" spans="1:21" x14ac:dyDescent="0.3">
      <c r="A254" s="18"/>
      <c r="B254" s="492" t="s">
        <v>259</v>
      </c>
      <c r="C254" s="529"/>
      <c r="D254" s="529"/>
      <c r="E254" s="529"/>
      <c r="F254" s="493"/>
      <c r="G254" s="21"/>
      <c r="H254" s="58" t="s">
        <v>265</v>
      </c>
      <c r="I254" s="492" t="s">
        <v>3401</v>
      </c>
      <c r="J254" s="493"/>
      <c r="K254" s="21"/>
      <c r="L254" s="21"/>
      <c r="M254" s="492" t="s">
        <v>259</v>
      </c>
      <c r="N254" s="493"/>
      <c r="O254" s="21"/>
      <c r="P254" s="551" t="s">
        <v>1885</v>
      </c>
      <c r="Q254" s="552"/>
      <c r="R254" s="21"/>
      <c r="S254" s="21"/>
      <c r="T254" s="21"/>
      <c r="U254" s="20"/>
    </row>
    <row r="255" spans="1:21" x14ac:dyDescent="0.3">
      <c r="A255" s="18"/>
      <c r="B255" s="59" t="s">
        <v>1866</v>
      </c>
      <c r="C255" s="60" t="s">
        <v>1868</v>
      </c>
      <c r="D255" s="60" t="s">
        <v>1739</v>
      </c>
      <c r="E255" s="60" t="s">
        <v>1865</v>
      </c>
      <c r="F255" s="60" t="s">
        <v>1740</v>
      </c>
      <c r="G255" s="21"/>
      <c r="H255" s="85" t="s">
        <v>1866</v>
      </c>
      <c r="I255" s="3" t="str">
        <f t="array" ref="I255:J261">_xll.U.VLOOKUP(H255:H261,B255:F261,,M260:M261)</f>
        <v>Last Score</v>
      </c>
      <c r="J255" s="3" t="str">
        <v>Reward</v>
      </c>
      <c r="K255" s="21"/>
      <c r="L255" s="21"/>
      <c r="M255" s="60" t="s">
        <v>1886</v>
      </c>
      <c r="N255" s="42" t="s">
        <v>1875</v>
      </c>
      <c r="O255" s="21"/>
      <c r="P255" s="60" t="s">
        <v>1868</v>
      </c>
      <c r="Q255" s="60" t="s">
        <v>1889</v>
      </c>
      <c r="S255" s="21"/>
      <c r="T255" s="21"/>
      <c r="U255" s="20"/>
    </row>
    <row r="256" spans="1:21" x14ac:dyDescent="0.3">
      <c r="A256" s="18"/>
      <c r="B256" s="42" t="s">
        <v>1867</v>
      </c>
      <c r="C256" s="42">
        <v>98</v>
      </c>
      <c r="D256" s="316" t="s">
        <v>1872</v>
      </c>
      <c r="E256" s="316" t="s">
        <v>1871</v>
      </c>
      <c r="F256" s="316" t="s">
        <v>1877</v>
      </c>
      <c r="G256" s="21"/>
      <c r="H256" s="47" t="s">
        <v>1883</v>
      </c>
      <c r="I256" s="30">
        <v>75</v>
      </c>
      <c r="J256" s="30" t="str">
        <v>tap water</v>
      </c>
      <c r="K256" s="21"/>
      <c r="L256" s="21"/>
      <c r="M256" s="60" t="s">
        <v>777</v>
      </c>
      <c r="N256" s="42" t="s">
        <v>1868</v>
      </c>
      <c r="O256" s="21"/>
      <c r="P256" s="180" t="s">
        <v>1880</v>
      </c>
      <c r="Q256" s="42" t="s">
        <v>1739</v>
      </c>
      <c r="R256" s="21"/>
      <c r="S256" s="21"/>
      <c r="T256" s="21"/>
      <c r="U256" s="20"/>
    </row>
    <row r="257" spans="1:30" x14ac:dyDescent="0.3">
      <c r="A257" s="18"/>
      <c r="B257" s="42" t="s">
        <v>199</v>
      </c>
      <c r="C257" s="42">
        <v>72</v>
      </c>
      <c r="D257" s="316" t="s">
        <v>1869</v>
      </c>
      <c r="E257" s="316" t="s">
        <v>1870</v>
      </c>
      <c r="F257" s="316" t="s">
        <v>1878</v>
      </c>
      <c r="G257" s="21"/>
      <c r="H257" s="47" t="s">
        <v>1867</v>
      </c>
      <c r="I257" s="30">
        <v>98</v>
      </c>
      <c r="J257" s="30" t="str">
        <v>night out</v>
      </c>
      <c r="K257" s="21"/>
      <c r="L257" s="21"/>
      <c r="M257" s="60" t="s">
        <v>1887</v>
      </c>
      <c r="N257" s="42" t="str" cm="1">
        <f t="array" ref="N257">_xll.U.CONCAT(_xll.U.CONCAT(P256:Q258,":",FALSE,TRUE,FALSE),"|",TRUE,FALSE,FALSE)</f>
        <v>75-87:Low|88-92:Med|93-:High</v>
      </c>
      <c r="O257" s="21"/>
      <c r="P257" s="42" t="s">
        <v>1881</v>
      </c>
      <c r="Q257" s="42" t="s">
        <v>1865</v>
      </c>
      <c r="R257" s="21"/>
      <c r="S257" s="21"/>
      <c r="T257" s="21"/>
      <c r="U257" s="20"/>
      <c r="Y257" s="172"/>
      <c r="Z257" s="172"/>
      <c r="AA257" s="172"/>
      <c r="AB257" s="172"/>
      <c r="AC257" s="172"/>
      <c r="AD257" s="172"/>
    </row>
    <row r="258" spans="1:30" x14ac:dyDescent="0.3">
      <c r="A258" s="18"/>
      <c r="B258" s="42" t="s">
        <v>1482</v>
      </c>
      <c r="C258" s="42">
        <v>88</v>
      </c>
      <c r="D258" s="316" t="s">
        <v>1874</v>
      </c>
      <c r="E258" s="316" t="s">
        <v>1873</v>
      </c>
      <c r="F258" s="316" t="s">
        <v>1879</v>
      </c>
      <c r="G258" s="21"/>
      <c r="H258" s="47" t="s">
        <v>1482</v>
      </c>
      <c r="I258" s="30">
        <v>88</v>
      </c>
      <c r="J258" s="30" t="str">
        <v>Perrier</v>
      </c>
      <c r="K258" s="21"/>
      <c r="L258" s="21"/>
      <c r="M258" s="21"/>
      <c r="N258" s="21"/>
      <c r="O258" s="21"/>
      <c r="P258" s="42" t="s">
        <v>1876</v>
      </c>
      <c r="Q258" s="42" t="s">
        <v>1740</v>
      </c>
      <c r="R258" s="21"/>
      <c r="S258" s="21"/>
      <c r="T258" s="21"/>
      <c r="U258" s="20"/>
    </row>
    <row r="259" spans="1:30" x14ac:dyDescent="0.3">
      <c r="A259" s="18"/>
      <c r="B259" s="42" t="s">
        <v>1882</v>
      </c>
      <c r="C259" s="42">
        <v>91</v>
      </c>
      <c r="D259" s="316" t="s">
        <v>1869</v>
      </c>
      <c r="E259" s="316" t="s">
        <v>1870</v>
      </c>
      <c r="F259" s="316" t="s">
        <v>1878</v>
      </c>
      <c r="G259" s="21"/>
      <c r="H259" s="47" t="s">
        <v>1882</v>
      </c>
      <c r="I259" s="30">
        <v>91</v>
      </c>
      <c r="J259" s="30" t="str">
        <v>fruit basket</v>
      </c>
      <c r="K259" s="21"/>
      <c r="L259" s="21"/>
      <c r="M259" s="60" t="s">
        <v>262</v>
      </c>
      <c r="N259" s="21"/>
      <c r="O259" s="21"/>
      <c r="P259" s="21"/>
      <c r="Q259" s="21"/>
      <c r="R259" s="21"/>
      <c r="S259" s="21"/>
      <c r="T259" s="21"/>
      <c r="U259" s="20"/>
    </row>
    <row r="260" spans="1:30" x14ac:dyDescent="0.3">
      <c r="A260" s="18"/>
      <c r="B260" s="42" t="s">
        <v>1883</v>
      </c>
      <c r="C260" s="42">
        <v>75</v>
      </c>
      <c r="D260" s="316" t="s">
        <v>1874</v>
      </c>
      <c r="E260" s="316" t="s">
        <v>1873</v>
      </c>
      <c r="F260" s="316" t="s">
        <v>1879</v>
      </c>
      <c r="G260" s="21"/>
      <c r="H260" s="47" t="s">
        <v>1884</v>
      </c>
      <c r="I260" s="30">
        <v>92</v>
      </c>
      <c r="J260" s="30" t="str">
        <v>steak</v>
      </c>
      <c r="K260" s="21"/>
      <c r="L260" s="21"/>
      <c r="M260" s="42" t="s">
        <v>1868</v>
      </c>
      <c r="N260" s="21"/>
      <c r="O260" s="21"/>
      <c r="P260" s="60" t="s">
        <v>828</v>
      </c>
      <c r="Q260" s="30" t="s">
        <v>1888</v>
      </c>
      <c r="R260" s="21"/>
      <c r="S260" s="21"/>
      <c r="T260" s="21"/>
      <c r="U260" s="20"/>
    </row>
    <row r="261" spans="1:30" x14ac:dyDescent="0.3">
      <c r="A261" s="18"/>
      <c r="B261" s="42" t="s">
        <v>1884</v>
      </c>
      <c r="C261" s="42">
        <v>92</v>
      </c>
      <c r="D261" s="316" t="s">
        <v>1872</v>
      </c>
      <c r="E261" s="316" t="s">
        <v>1871</v>
      </c>
      <c r="F261" s="316" t="s">
        <v>1877</v>
      </c>
      <c r="G261" s="21"/>
      <c r="H261" s="47" t="s">
        <v>199</v>
      </c>
      <c r="I261" s="30">
        <v>72</v>
      </c>
      <c r="J261" s="30" t="str">
        <v>coal</v>
      </c>
      <c r="K261" s="21"/>
      <c r="L261" s="21"/>
      <c r="M261" s="181" t="str" cm="1">
        <f t="array" ref="M261">_xll.U.FORMAT_STRING(Q260,M255:N257,TRUE)</f>
        <v>new(Label=Reward,Base=Last Score,Map=75-87:Low|88-92:Med|93-:High,Default=coal)</v>
      </c>
      <c r="N261" s="21"/>
      <c r="O261" s="21"/>
      <c r="P261" s="21"/>
      <c r="Q261" s="21"/>
      <c r="R261" s="21"/>
      <c r="S261" s="21"/>
      <c r="T261" s="21"/>
      <c r="U261" s="20"/>
    </row>
    <row r="262" spans="1:30" x14ac:dyDescent="0.3">
      <c r="A262" s="18"/>
      <c r="B262" s="21"/>
      <c r="C262" s="21"/>
      <c r="D262" s="21"/>
      <c r="E262" s="21"/>
      <c r="F262" s="21"/>
      <c r="G262" s="21"/>
      <c r="H262" s="21"/>
      <c r="I262" s="21"/>
      <c r="J262" s="21"/>
      <c r="K262" s="21"/>
      <c r="L262" s="21"/>
      <c r="M262" s="21"/>
      <c r="N262" s="21"/>
      <c r="O262" s="21"/>
      <c r="P262" s="21"/>
      <c r="Q262" s="21"/>
      <c r="R262" s="21"/>
      <c r="S262" s="21"/>
      <c r="T262" s="21"/>
      <c r="U262" s="20"/>
    </row>
    <row r="263" spans="1:30" x14ac:dyDescent="0.3">
      <c r="A263" s="18"/>
      <c r="B263" s="21"/>
      <c r="C263" s="21"/>
      <c r="D263" s="21"/>
      <c r="E263" s="21"/>
      <c r="F263" s="21"/>
      <c r="G263" s="21"/>
      <c r="H263" s="21"/>
      <c r="I263" s="21"/>
      <c r="J263" s="21"/>
      <c r="K263" s="21"/>
      <c r="L263" s="21"/>
      <c r="M263" s="21"/>
      <c r="N263" s="21"/>
      <c r="O263" s="21"/>
      <c r="P263" s="21"/>
      <c r="Q263" s="21"/>
      <c r="R263" s="21"/>
      <c r="S263" s="21"/>
      <c r="T263" s="21"/>
      <c r="U263" s="20"/>
    </row>
    <row r="264" spans="1:30" x14ac:dyDescent="0.3">
      <c r="A264" s="18"/>
      <c r="B264" s="21"/>
      <c r="C264" s="21"/>
      <c r="D264" s="21"/>
      <c r="E264" s="21"/>
      <c r="F264" s="21"/>
      <c r="G264" s="21"/>
      <c r="H264" s="21"/>
      <c r="I264" s="21"/>
      <c r="J264" s="21"/>
      <c r="K264" s="21"/>
      <c r="L264" s="21"/>
      <c r="M264" s="21"/>
      <c r="N264" s="21"/>
      <c r="O264" s="21"/>
      <c r="P264" s="21"/>
      <c r="Q264" s="21"/>
      <c r="R264" s="21"/>
      <c r="S264" s="21"/>
      <c r="T264" s="21"/>
      <c r="U264" s="20"/>
    </row>
    <row r="265" spans="1:30" x14ac:dyDescent="0.3">
      <c r="A265" s="18"/>
      <c r="B265" s="21"/>
      <c r="C265" s="21"/>
      <c r="D265" s="21"/>
      <c r="E265" s="21"/>
      <c r="F265" s="21"/>
      <c r="G265" s="21"/>
      <c r="H265" s="21"/>
      <c r="I265" s="21"/>
      <c r="J265" s="21"/>
      <c r="K265" s="21"/>
      <c r="L265" s="21"/>
      <c r="M265" s="21"/>
      <c r="N265" s="21"/>
      <c r="O265" s="21"/>
      <c r="P265" s="21"/>
      <c r="Q265" s="21"/>
      <c r="R265" s="21"/>
      <c r="S265" s="21"/>
      <c r="T265" s="21"/>
      <c r="U265" s="20"/>
    </row>
    <row r="266" spans="1:30" x14ac:dyDescent="0.3">
      <c r="A266" s="18"/>
      <c r="B266" s="21"/>
      <c r="C266" s="21"/>
      <c r="D266" s="21"/>
      <c r="E266" s="21"/>
      <c r="F266" s="21"/>
      <c r="G266" s="21"/>
      <c r="H266" s="21"/>
      <c r="I266" s="21"/>
      <c r="J266" s="21"/>
      <c r="K266" s="21"/>
      <c r="L266" s="21"/>
      <c r="M266" s="21"/>
      <c r="N266" s="21"/>
      <c r="O266" s="21"/>
      <c r="P266" s="21"/>
      <c r="Q266" s="21"/>
      <c r="R266" s="21"/>
      <c r="S266" s="21"/>
      <c r="T266" s="21"/>
      <c r="U266" s="20"/>
    </row>
    <row r="267" spans="1:30" x14ac:dyDescent="0.3">
      <c r="A267" s="18"/>
      <c r="B267" s="21"/>
      <c r="C267" s="21"/>
      <c r="D267" s="21"/>
      <c r="E267" s="21"/>
      <c r="F267" s="21"/>
      <c r="G267" s="21"/>
      <c r="H267" s="21"/>
      <c r="I267" s="21"/>
      <c r="J267" s="21"/>
      <c r="K267" s="21"/>
      <c r="L267" s="21"/>
      <c r="M267" s="21"/>
      <c r="N267" s="21"/>
      <c r="O267" s="21"/>
      <c r="P267" s="21"/>
      <c r="Q267" s="21"/>
      <c r="R267" s="21"/>
      <c r="S267" s="21"/>
      <c r="T267" s="21"/>
      <c r="U267" s="20"/>
    </row>
    <row r="268" spans="1:30" x14ac:dyDescent="0.3">
      <c r="A268" s="18"/>
      <c r="B268" s="21"/>
      <c r="C268" s="21"/>
      <c r="D268" s="21"/>
      <c r="E268" s="21"/>
      <c r="F268" s="21"/>
      <c r="G268" s="21"/>
      <c r="H268" s="21"/>
      <c r="I268" s="21"/>
      <c r="J268" s="21"/>
      <c r="K268" s="21"/>
      <c r="L268" s="21"/>
      <c r="M268" s="21"/>
      <c r="N268" s="21"/>
      <c r="O268" s="21"/>
      <c r="P268" s="21"/>
      <c r="Q268" s="21"/>
      <c r="R268" s="21"/>
      <c r="S268" s="21"/>
      <c r="T268" s="21"/>
      <c r="U268" s="20"/>
    </row>
    <row r="269" spans="1:30" x14ac:dyDescent="0.3">
      <c r="A269" s="18"/>
      <c r="B269" s="21"/>
      <c r="C269" s="21"/>
      <c r="D269" s="21"/>
      <c r="E269" s="21"/>
      <c r="F269" s="21"/>
      <c r="G269" s="21"/>
      <c r="H269" s="21"/>
      <c r="I269" s="21"/>
      <c r="J269" s="21"/>
      <c r="K269" s="21"/>
      <c r="L269" s="21"/>
      <c r="M269" s="21"/>
      <c r="N269" s="21"/>
      <c r="O269" s="21"/>
      <c r="P269" s="21"/>
      <c r="Q269" s="21"/>
      <c r="R269" s="21"/>
      <c r="S269" s="21"/>
      <c r="T269" s="21"/>
      <c r="U269" s="20"/>
    </row>
    <row r="270" spans="1:30" x14ac:dyDescent="0.3">
      <c r="A270" s="18"/>
      <c r="B270" s="21"/>
      <c r="C270" s="21"/>
      <c r="D270" s="21"/>
      <c r="E270" s="21"/>
      <c r="F270" s="21"/>
      <c r="G270" s="21"/>
      <c r="H270" s="21"/>
      <c r="I270" s="21"/>
      <c r="J270" s="21"/>
      <c r="K270" s="21"/>
      <c r="L270" s="21"/>
      <c r="M270" s="21"/>
      <c r="N270" s="21"/>
      <c r="O270" s="21"/>
      <c r="P270" s="21"/>
      <c r="Q270" s="21"/>
      <c r="R270" s="21"/>
      <c r="S270" s="21"/>
      <c r="T270" s="21"/>
      <c r="U270" s="20"/>
    </row>
    <row r="271" spans="1:30" x14ac:dyDescent="0.3">
      <c r="A271" s="18"/>
      <c r="B271" s="21"/>
      <c r="C271" s="21"/>
      <c r="D271" s="21"/>
      <c r="E271" s="21"/>
      <c r="F271" s="21"/>
      <c r="G271" s="21"/>
      <c r="H271" s="21"/>
      <c r="I271" s="21"/>
      <c r="J271" s="21"/>
      <c r="K271" s="21"/>
      <c r="L271" s="21"/>
      <c r="M271" s="21"/>
      <c r="N271" s="21"/>
      <c r="O271" s="21"/>
      <c r="P271" s="21"/>
      <c r="Q271" s="21"/>
      <c r="R271" s="21"/>
      <c r="S271" s="21"/>
      <c r="T271" s="21"/>
      <c r="U271" s="20"/>
    </row>
    <row r="272" spans="1:30" x14ac:dyDescent="0.3">
      <c r="A272" s="18"/>
      <c r="B272" s="21"/>
      <c r="C272" s="21"/>
      <c r="D272" s="21"/>
      <c r="E272" s="21"/>
      <c r="F272" s="21"/>
      <c r="G272" s="21"/>
      <c r="H272" s="21"/>
      <c r="I272" s="21"/>
      <c r="J272" s="21"/>
      <c r="K272" s="21"/>
      <c r="L272" s="21"/>
      <c r="M272" s="21"/>
      <c r="N272" s="21"/>
      <c r="O272" s="21"/>
      <c r="P272" s="21"/>
      <c r="Q272" s="21"/>
      <c r="R272" s="21"/>
      <c r="S272" s="21"/>
      <c r="T272" s="21"/>
      <c r="U272" s="20"/>
    </row>
    <row r="273" spans="1:21" x14ac:dyDescent="0.3">
      <c r="A273" s="18"/>
      <c r="B273" s="21"/>
      <c r="C273" s="21"/>
      <c r="D273" s="21"/>
      <c r="E273" s="21"/>
      <c r="F273" s="21"/>
      <c r="G273" s="21"/>
      <c r="H273" s="21"/>
      <c r="I273" s="21"/>
      <c r="J273" s="21"/>
      <c r="K273" s="21"/>
      <c r="L273" s="21"/>
      <c r="M273" s="21"/>
      <c r="N273" s="21"/>
      <c r="O273" s="21"/>
      <c r="P273" s="21"/>
      <c r="Q273" s="21"/>
      <c r="R273" s="21"/>
      <c r="S273" s="21"/>
      <c r="T273" s="21"/>
      <c r="U273" s="20"/>
    </row>
    <row r="274" spans="1:21" x14ac:dyDescent="0.3">
      <c r="A274" s="18"/>
      <c r="B274" s="21"/>
      <c r="C274" s="21"/>
      <c r="D274" s="21"/>
      <c r="E274" s="21"/>
      <c r="F274" s="21"/>
      <c r="G274" s="21"/>
      <c r="H274" s="21"/>
      <c r="I274" s="21"/>
      <c r="J274" s="21"/>
      <c r="K274" s="21"/>
      <c r="L274" s="21"/>
      <c r="M274" s="21"/>
      <c r="N274" s="21"/>
      <c r="O274" s="21"/>
      <c r="P274" s="21"/>
      <c r="Q274" s="21"/>
      <c r="R274" s="21"/>
      <c r="S274" s="21"/>
      <c r="T274" s="21"/>
      <c r="U274" s="20"/>
    </row>
    <row r="275" spans="1:21" x14ac:dyDescent="0.3">
      <c r="A275" s="18"/>
      <c r="B275" s="21"/>
      <c r="C275" s="21"/>
      <c r="D275" s="21"/>
      <c r="E275" s="21"/>
      <c r="F275" s="21"/>
      <c r="G275" s="21"/>
      <c r="H275" s="21"/>
      <c r="I275" s="21"/>
      <c r="J275" s="21"/>
      <c r="K275" s="21"/>
      <c r="L275" s="21"/>
      <c r="M275" s="21"/>
      <c r="N275" s="21"/>
      <c r="O275" s="21"/>
      <c r="P275" s="21"/>
      <c r="Q275" s="21"/>
      <c r="R275" s="21"/>
      <c r="S275" s="21"/>
      <c r="T275" s="21"/>
      <c r="U275" s="20"/>
    </row>
    <row r="276" spans="1:21" x14ac:dyDescent="0.3">
      <c r="A276" s="18"/>
      <c r="B276" s="21"/>
      <c r="C276" s="21"/>
      <c r="D276" s="21"/>
      <c r="E276" s="21"/>
      <c r="F276" s="21"/>
      <c r="G276" s="21"/>
      <c r="H276" s="21"/>
      <c r="I276" s="21"/>
      <c r="J276" s="21"/>
      <c r="K276" s="21"/>
      <c r="L276" s="21"/>
      <c r="M276" s="21"/>
      <c r="N276" s="21"/>
      <c r="O276" s="21"/>
      <c r="P276" s="21"/>
      <c r="Q276" s="21"/>
      <c r="R276" s="21"/>
      <c r="S276" s="21"/>
      <c r="T276" s="21"/>
      <c r="U276" s="20"/>
    </row>
    <row r="277" spans="1:21" x14ac:dyDescent="0.3">
      <c r="A277" s="18"/>
      <c r="B277" s="21"/>
      <c r="C277" s="21"/>
      <c r="D277" s="21"/>
      <c r="E277" s="21"/>
      <c r="F277" s="21"/>
      <c r="G277" s="21"/>
      <c r="H277" s="21"/>
      <c r="I277" s="21"/>
      <c r="J277" s="21"/>
      <c r="K277" s="21"/>
      <c r="L277" s="21"/>
      <c r="M277" s="21"/>
      <c r="N277" s="21"/>
      <c r="O277" s="21"/>
      <c r="P277" s="21"/>
      <c r="Q277" s="21"/>
      <c r="R277" s="21"/>
      <c r="S277" s="21"/>
      <c r="T277" s="21"/>
      <c r="U277" s="20"/>
    </row>
    <row r="278" spans="1:21" x14ac:dyDescent="0.3">
      <c r="A278" s="18"/>
      <c r="B278" s="21"/>
      <c r="C278" s="21"/>
      <c r="D278" s="21"/>
      <c r="E278" s="21"/>
      <c r="F278" s="21"/>
      <c r="G278" s="21"/>
      <c r="H278" s="21"/>
      <c r="I278" s="21"/>
      <c r="J278" s="21"/>
      <c r="K278" s="21"/>
      <c r="L278" s="21"/>
      <c r="M278" s="21"/>
      <c r="N278" s="21"/>
      <c r="O278" s="21"/>
      <c r="P278" s="21"/>
      <c r="Q278" s="21"/>
      <c r="R278" s="21"/>
      <c r="S278" s="21"/>
      <c r="T278" s="21"/>
      <c r="U278" s="20"/>
    </row>
    <row r="279" spans="1:21" x14ac:dyDescent="0.3">
      <c r="A279" s="18"/>
      <c r="B279" s="21"/>
      <c r="C279" s="21"/>
      <c r="D279" s="21"/>
      <c r="E279" s="21"/>
      <c r="F279" s="21"/>
      <c r="G279" s="21"/>
      <c r="H279" s="21"/>
      <c r="I279" s="21"/>
      <c r="J279" s="21"/>
      <c r="K279" s="21"/>
      <c r="L279" s="21"/>
      <c r="M279" s="21"/>
      <c r="N279" s="21"/>
      <c r="O279" s="21"/>
      <c r="P279" s="21"/>
      <c r="Q279" s="21"/>
      <c r="R279" s="21"/>
      <c r="S279" s="21"/>
      <c r="T279" s="21"/>
      <c r="U279" s="20"/>
    </row>
    <row r="280" spans="1:21" x14ac:dyDescent="0.3">
      <c r="A280" s="18"/>
      <c r="B280" s="21"/>
      <c r="C280" s="21"/>
      <c r="D280" s="21"/>
      <c r="E280" s="21"/>
      <c r="F280" s="21"/>
      <c r="G280" s="21"/>
      <c r="H280" s="21"/>
      <c r="I280" s="21"/>
      <c r="J280" s="21"/>
      <c r="K280" s="21"/>
      <c r="L280" s="21"/>
      <c r="M280" s="21"/>
      <c r="N280" s="21"/>
      <c r="O280" s="21"/>
      <c r="P280" s="21"/>
      <c r="Q280" s="21"/>
      <c r="R280" s="21"/>
      <c r="S280" s="21"/>
      <c r="T280" s="21"/>
      <c r="U280" s="20"/>
    </row>
    <row r="281" spans="1:21" x14ac:dyDescent="0.3">
      <c r="A281" s="18"/>
      <c r="B281" s="21"/>
      <c r="C281" s="21"/>
      <c r="D281" s="21"/>
      <c r="E281" s="21"/>
      <c r="F281" s="21"/>
      <c r="G281" s="21"/>
      <c r="H281" s="21"/>
      <c r="I281" s="21"/>
      <c r="J281" s="21"/>
      <c r="K281" s="21"/>
      <c r="L281" s="21"/>
      <c r="M281" s="21"/>
      <c r="N281" s="21"/>
      <c r="O281" s="21"/>
      <c r="P281" s="21"/>
      <c r="Q281" s="21"/>
      <c r="R281" s="21"/>
      <c r="S281" s="21"/>
      <c r="T281" s="21"/>
      <c r="U281" s="20"/>
    </row>
    <row r="282" spans="1:21" x14ac:dyDescent="0.3">
      <c r="A282" s="18"/>
      <c r="B282" s="21"/>
      <c r="C282" s="21"/>
      <c r="D282" s="21"/>
      <c r="E282" s="21"/>
      <c r="F282" s="21"/>
      <c r="G282" s="21"/>
      <c r="H282" s="21"/>
      <c r="I282" s="21"/>
      <c r="J282" s="21"/>
      <c r="K282" s="21"/>
      <c r="L282" s="21"/>
      <c r="M282" s="21"/>
      <c r="N282" s="21"/>
      <c r="O282" s="21"/>
      <c r="P282" s="21"/>
      <c r="Q282" s="21"/>
      <c r="R282" s="21"/>
      <c r="S282" s="21"/>
      <c r="T282" s="21"/>
      <c r="U282" s="20"/>
    </row>
    <row r="283" spans="1:21" x14ac:dyDescent="0.3">
      <c r="A283" s="490" t="s">
        <v>254</v>
      </c>
      <c r="B283" s="491"/>
      <c r="C283" s="491"/>
      <c r="D283" s="491"/>
      <c r="E283" s="491"/>
      <c r="F283" s="491"/>
      <c r="G283" s="491"/>
      <c r="H283" s="491"/>
      <c r="I283" s="491"/>
      <c r="J283" s="491"/>
      <c r="K283" s="491"/>
      <c r="L283" s="491"/>
      <c r="M283" s="491"/>
      <c r="N283" s="491"/>
      <c r="O283" s="491"/>
      <c r="P283" s="491"/>
      <c r="Q283" s="491"/>
      <c r="R283" s="491"/>
      <c r="S283" s="491"/>
      <c r="T283" s="21"/>
      <c r="U283" s="20"/>
    </row>
    <row r="284" spans="1:21" x14ac:dyDescent="0.3">
      <c r="A284" s="18"/>
      <c r="B284" s="21"/>
      <c r="C284" s="21"/>
      <c r="D284" s="21"/>
      <c r="E284" s="21"/>
      <c r="F284" s="21"/>
      <c r="G284" s="21"/>
      <c r="H284" s="21"/>
      <c r="I284" s="21"/>
      <c r="J284" s="21"/>
      <c r="K284" s="21"/>
      <c r="L284" s="21"/>
      <c r="M284" s="21"/>
      <c r="N284" s="21"/>
      <c r="O284" s="21"/>
      <c r="P284" s="21"/>
      <c r="Q284" s="21"/>
      <c r="R284" s="21"/>
      <c r="S284" s="21"/>
      <c r="T284" s="21"/>
      <c r="U284" s="20"/>
    </row>
    <row r="285" spans="1:21" x14ac:dyDescent="0.3">
      <c r="A285" s="18"/>
      <c r="B285" s="21"/>
      <c r="C285" s="21"/>
      <c r="D285" s="21"/>
      <c r="E285" s="21"/>
      <c r="F285" s="21"/>
      <c r="G285" s="21"/>
      <c r="H285" s="21"/>
      <c r="I285" s="21"/>
      <c r="J285" s="21"/>
      <c r="K285" s="21"/>
      <c r="L285" s="21"/>
      <c r="M285" s="21"/>
      <c r="N285" s="21"/>
      <c r="O285" s="21"/>
      <c r="P285" s="21"/>
      <c r="Q285" s="21"/>
      <c r="R285" s="21"/>
      <c r="S285" s="21"/>
      <c r="T285" s="21"/>
      <c r="U285" s="20"/>
    </row>
    <row r="286" spans="1:21" x14ac:dyDescent="0.3">
      <c r="A286" s="18"/>
      <c r="B286" s="553" t="s">
        <v>259</v>
      </c>
      <c r="C286" s="105" t="str">
        <f t="array" ref="C286:H289">TRANSPOSE(B7:E12)</f>
        <v>Symbol</v>
      </c>
      <c r="D286" s="79" t="str">
        <v>IBM</v>
      </c>
      <c r="E286" s="79" t="str">
        <v>AAPL</v>
      </c>
      <c r="F286" s="79" t="str">
        <v>AAPL</v>
      </c>
      <c r="G286" s="79" t="str">
        <v>MSFT</v>
      </c>
      <c r="H286" s="79" t="str">
        <v>IBM</v>
      </c>
      <c r="I286" s="21"/>
      <c r="J286" s="21"/>
      <c r="K286" s="21"/>
      <c r="L286" s="21"/>
      <c r="M286" s="21"/>
      <c r="N286" s="21"/>
      <c r="O286" s="21"/>
      <c r="P286" s="21"/>
      <c r="Q286" s="21"/>
      <c r="R286" s="21"/>
      <c r="S286" s="21"/>
      <c r="T286" s="21"/>
      <c r="U286" s="20"/>
    </row>
    <row r="287" spans="1:21" x14ac:dyDescent="0.3">
      <c r="A287" s="18"/>
      <c r="B287" s="553"/>
      <c r="C287" s="45" t="str">
        <v>Strategy</v>
      </c>
      <c r="D287" s="79" t="str">
        <v>STRATEGY_A</v>
      </c>
      <c r="E287" s="79" t="str">
        <v>STRATEGY_B</v>
      </c>
      <c r="F287" s="79" t="str">
        <v>STRATEGY_A</v>
      </c>
      <c r="G287" s="79" t="str">
        <v>STRATEGY_A</v>
      </c>
      <c r="H287" s="79" t="str">
        <v>STRATEGY_B</v>
      </c>
      <c r="I287" s="21"/>
      <c r="J287" s="21"/>
      <c r="K287" s="21"/>
      <c r="L287" s="21"/>
      <c r="M287" s="21"/>
      <c r="N287" s="21"/>
      <c r="O287" s="21"/>
      <c r="P287" s="21"/>
      <c r="Q287" s="21"/>
      <c r="R287" s="21"/>
      <c r="S287" s="21"/>
      <c r="T287" s="21"/>
      <c r="U287" s="20"/>
    </row>
    <row r="288" spans="1:21" x14ac:dyDescent="0.3">
      <c r="A288" s="18"/>
      <c r="B288" s="553"/>
      <c r="C288" s="45" t="str">
        <v>Delta</v>
      </c>
      <c r="D288" s="80">
        <v>-3000</v>
      </c>
      <c r="E288" s="80">
        <v>1500</v>
      </c>
      <c r="F288" s="80">
        <v>100</v>
      </c>
      <c r="G288" s="80">
        <v>600</v>
      </c>
      <c r="H288" s="80">
        <v>100</v>
      </c>
      <c r="I288" s="21"/>
      <c r="J288" s="21"/>
      <c r="K288" s="21"/>
      <c r="L288" s="21"/>
      <c r="M288" s="21"/>
      <c r="N288" s="21"/>
      <c r="O288" s="21"/>
      <c r="P288" s="21"/>
      <c r="Q288" s="21"/>
      <c r="R288" s="21"/>
      <c r="S288" s="21"/>
      <c r="T288" s="21"/>
      <c r="U288" s="20"/>
    </row>
    <row r="289" spans="1:21" x14ac:dyDescent="0.3">
      <c r="A289" s="18"/>
      <c r="B289" s="553"/>
      <c r="C289" s="45" t="str">
        <v>Last Price</v>
      </c>
      <c r="D289" s="81">
        <v>159.37</v>
      </c>
      <c r="E289" s="81">
        <v>141.97</v>
      </c>
      <c r="F289" s="81">
        <v>141.97</v>
      </c>
      <c r="G289" s="81">
        <v>65.14</v>
      </c>
      <c r="H289" s="81">
        <v>159.37</v>
      </c>
      <c r="I289" s="21"/>
      <c r="J289" s="21"/>
      <c r="K289" s="21"/>
      <c r="L289" s="21"/>
      <c r="M289" s="21"/>
      <c r="N289" s="21"/>
      <c r="O289" s="21"/>
      <c r="P289" s="21"/>
      <c r="Q289" s="21"/>
      <c r="R289" s="21"/>
      <c r="S289" s="21"/>
      <c r="T289" s="21"/>
      <c r="U289" s="20"/>
    </row>
    <row r="290" spans="1:21" x14ac:dyDescent="0.3">
      <c r="A290" s="18"/>
      <c r="B290" s="21"/>
      <c r="C290" s="21"/>
      <c r="D290" s="21"/>
      <c r="E290" s="21"/>
      <c r="F290" s="21"/>
      <c r="G290" s="21"/>
      <c r="H290" s="21"/>
      <c r="I290" s="21"/>
      <c r="J290" s="21"/>
      <c r="K290" s="21"/>
      <c r="L290" s="21"/>
      <c r="M290" s="21"/>
      <c r="N290" s="21"/>
      <c r="O290" s="21"/>
      <c r="P290" s="21"/>
      <c r="Q290" s="21"/>
      <c r="R290" s="21"/>
      <c r="S290" s="21"/>
      <c r="T290" s="21"/>
      <c r="U290" s="20"/>
    </row>
    <row r="291" spans="1:21" x14ac:dyDescent="0.3">
      <c r="A291" s="18"/>
      <c r="B291" s="21"/>
      <c r="C291" s="21"/>
      <c r="D291" s="21"/>
      <c r="E291" s="21"/>
      <c r="F291" s="21"/>
      <c r="G291" s="21"/>
      <c r="H291" s="21"/>
      <c r="I291" s="21"/>
      <c r="J291" s="21"/>
      <c r="K291" s="21"/>
      <c r="L291" s="21"/>
      <c r="M291" s="21"/>
      <c r="N291" s="21"/>
      <c r="O291" s="21"/>
      <c r="P291" s="21"/>
      <c r="Q291" s="21"/>
      <c r="R291" s="21"/>
      <c r="S291" s="21"/>
      <c r="T291" s="21"/>
      <c r="U291" s="20"/>
    </row>
    <row r="292" spans="1:21" x14ac:dyDescent="0.3">
      <c r="A292" s="18"/>
      <c r="B292" s="21"/>
      <c r="C292" s="21"/>
      <c r="D292" s="21"/>
      <c r="E292" s="21"/>
      <c r="F292" s="21"/>
      <c r="G292" s="21"/>
      <c r="H292" s="21"/>
      <c r="I292" s="21"/>
      <c r="J292" s="21"/>
      <c r="K292" s="21"/>
      <c r="L292" s="21"/>
      <c r="M292" s="21"/>
      <c r="N292" s="21"/>
      <c r="O292" s="21"/>
      <c r="P292" s="21"/>
      <c r="Q292" s="21"/>
      <c r="R292" s="21"/>
      <c r="S292" s="21"/>
      <c r="T292" s="21"/>
      <c r="U292" s="20"/>
    </row>
    <row r="293" spans="1:21" x14ac:dyDescent="0.3">
      <c r="A293" s="18"/>
      <c r="B293" s="553" t="s">
        <v>265</v>
      </c>
      <c r="C293" s="85" t="s">
        <v>255</v>
      </c>
      <c r="D293" s="47" t="s">
        <v>257</v>
      </c>
      <c r="E293" s="47" t="s">
        <v>257</v>
      </c>
      <c r="F293" s="47" t="s">
        <v>257</v>
      </c>
      <c r="G293" s="47" t="s">
        <v>258</v>
      </c>
      <c r="H293" s="47" t="s">
        <v>258</v>
      </c>
      <c r="I293" s="21"/>
      <c r="J293" s="21"/>
      <c r="K293" s="21"/>
      <c r="L293" s="21"/>
      <c r="M293" s="21"/>
      <c r="N293" s="21"/>
      <c r="O293" s="21"/>
      <c r="P293" s="21"/>
      <c r="Q293" s="21"/>
      <c r="R293" s="21"/>
      <c r="S293" s="21"/>
      <c r="T293" s="21"/>
      <c r="U293" s="20"/>
    </row>
    <row r="294" spans="1:21" x14ac:dyDescent="0.3">
      <c r="A294" s="18"/>
      <c r="B294" s="553"/>
      <c r="C294" s="85" t="s">
        <v>2</v>
      </c>
      <c r="D294" s="47" t="s">
        <v>106</v>
      </c>
      <c r="E294" s="47" t="s">
        <v>107</v>
      </c>
      <c r="F294" s="47" t="s">
        <v>256</v>
      </c>
      <c r="G294" s="111" t="s">
        <v>106</v>
      </c>
      <c r="H294" s="111" t="s">
        <v>107</v>
      </c>
      <c r="I294" s="21"/>
      <c r="J294" s="21"/>
      <c r="K294" s="21"/>
      <c r="L294" s="21"/>
      <c r="M294" s="21"/>
      <c r="N294" s="21"/>
      <c r="O294" s="21"/>
      <c r="P294" s="21"/>
      <c r="Q294" s="21"/>
      <c r="R294" s="21"/>
      <c r="S294" s="21"/>
      <c r="T294" s="21"/>
      <c r="U294" s="20"/>
    </row>
    <row r="295" spans="1:21" x14ac:dyDescent="0.3">
      <c r="A295" s="18"/>
      <c r="B295" s="553" t="s">
        <v>3401</v>
      </c>
      <c r="C295" s="3" t="s">
        <v>7</v>
      </c>
      <c r="D295" s="35">
        <f t="array" ref="D295:H296">_xll.U.HLOOKUP(C293:H294,C286:H289,,C295:C296,TRUE)</f>
        <v>141.97</v>
      </c>
      <c r="E295" s="35">
        <v>159.37</v>
      </c>
      <c r="F295" s="35">
        <v>65.14</v>
      </c>
      <c r="G295" s="35">
        <v>141.97</v>
      </c>
      <c r="H295" s="35">
        <v>159.37</v>
      </c>
      <c r="I295" s="21"/>
      <c r="J295" s="21"/>
      <c r="K295" s="21"/>
      <c r="L295" s="21"/>
      <c r="M295" s="21"/>
      <c r="N295" s="21"/>
      <c r="O295" s="21"/>
      <c r="P295" s="21"/>
      <c r="Q295" s="21"/>
      <c r="R295" s="21"/>
      <c r="S295" s="21"/>
      <c r="T295" s="21"/>
      <c r="U295" s="20"/>
    </row>
    <row r="296" spans="1:21" x14ac:dyDescent="0.3">
      <c r="A296" s="18"/>
      <c r="B296" s="553"/>
      <c r="C296" s="3" t="s">
        <v>8</v>
      </c>
      <c r="D296" s="36">
        <v>100</v>
      </c>
      <c r="E296" s="36">
        <v>-3000</v>
      </c>
      <c r="F296" s="36">
        <v>600</v>
      </c>
      <c r="G296" s="36">
        <v>1500</v>
      </c>
      <c r="H296" s="36">
        <v>100</v>
      </c>
      <c r="I296" s="21"/>
      <c r="J296" s="21"/>
      <c r="K296" s="21"/>
      <c r="L296" s="21"/>
      <c r="M296" s="21"/>
      <c r="N296" s="21"/>
      <c r="O296" s="21"/>
      <c r="P296" s="21"/>
      <c r="Q296" s="21"/>
      <c r="R296" s="21"/>
      <c r="S296" s="21"/>
      <c r="T296" s="21"/>
      <c r="U296" s="20"/>
    </row>
    <row r="297" spans="1:21" x14ac:dyDescent="0.3">
      <c r="A297" s="18"/>
      <c r="B297" s="21"/>
      <c r="C297" s="21"/>
      <c r="D297" s="21"/>
      <c r="E297" s="21"/>
      <c r="F297" s="21"/>
      <c r="G297" s="21"/>
      <c r="H297" s="21"/>
      <c r="I297" s="21"/>
      <c r="J297" s="21"/>
      <c r="K297" s="21"/>
      <c r="L297" s="21"/>
      <c r="M297" s="21"/>
      <c r="N297" s="21"/>
      <c r="O297" s="21"/>
      <c r="P297" s="21"/>
      <c r="Q297" s="21"/>
      <c r="R297" s="21"/>
      <c r="S297" s="21"/>
      <c r="T297" s="21"/>
      <c r="U297" s="20"/>
    </row>
    <row r="298" spans="1:21" x14ac:dyDescent="0.3">
      <c r="A298" s="18"/>
      <c r="B298" s="21"/>
      <c r="C298" s="21"/>
      <c r="D298" s="21"/>
      <c r="E298" s="21"/>
      <c r="F298" s="21"/>
      <c r="G298" s="21"/>
      <c r="H298" s="21"/>
      <c r="I298" s="21"/>
      <c r="J298" s="21"/>
      <c r="K298" s="21"/>
      <c r="L298" s="21"/>
      <c r="M298" s="21"/>
      <c r="N298" s="21"/>
      <c r="O298" s="21"/>
      <c r="P298" s="21"/>
      <c r="Q298" s="21"/>
      <c r="R298" s="21"/>
      <c r="S298" s="21"/>
      <c r="T298" s="21"/>
      <c r="U298" s="20"/>
    </row>
    <row r="299" spans="1:21" x14ac:dyDescent="0.3">
      <c r="A299" s="490" t="s">
        <v>649</v>
      </c>
      <c r="B299" s="491"/>
      <c r="C299" s="491"/>
      <c r="D299" s="491"/>
      <c r="E299" s="491"/>
      <c r="F299" s="491"/>
      <c r="G299" s="491"/>
      <c r="H299" s="491"/>
      <c r="I299" s="491"/>
      <c r="J299" s="491"/>
      <c r="K299" s="491"/>
      <c r="L299" s="491"/>
      <c r="M299" s="491"/>
      <c r="N299" s="491"/>
      <c r="O299" s="491"/>
      <c r="P299" s="491"/>
      <c r="Q299" s="491"/>
      <c r="R299" s="491"/>
      <c r="S299" s="491"/>
      <c r="T299" s="21"/>
      <c r="U299" s="20"/>
    </row>
    <row r="300" spans="1:21" x14ac:dyDescent="0.3">
      <c r="A300" s="18"/>
      <c r="B300" s="21"/>
      <c r="C300" s="21"/>
      <c r="D300" s="21"/>
      <c r="E300" s="21"/>
      <c r="F300" s="21"/>
      <c r="G300" s="21"/>
      <c r="H300" s="21"/>
      <c r="I300" s="21"/>
      <c r="J300" s="21"/>
      <c r="K300" s="21"/>
      <c r="L300" s="21"/>
      <c r="M300" s="21"/>
      <c r="N300" s="21"/>
      <c r="O300" s="21"/>
      <c r="P300" s="21"/>
      <c r="Q300" s="21"/>
      <c r="R300" s="21"/>
      <c r="S300" s="21"/>
      <c r="T300" s="21"/>
      <c r="U300" s="20"/>
    </row>
    <row r="301" spans="1:21" x14ac:dyDescent="0.3">
      <c r="A301" s="18"/>
      <c r="B301" s="21"/>
      <c r="C301" s="21"/>
      <c r="D301" s="21"/>
      <c r="E301" s="21"/>
      <c r="F301" s="21"/>
      <c r="G301" s="21"/>
      <c r="H301" s="21"/>
      <c r="I301" s="21"/>
      <c r="J301" s="21"/>
      <c r="K301" s="21"/>
      <c r="L301" s="21"/>
      <c r="M301" s="21"/>
      <c r="N301" s="21"/>
      <c r="O301" s="21"/>
      <c r="P301" s="21"/>
      <c r="Q301" s="21"/>
      <c r="R301" s="21"/>
      <c r="S301" s="21"/>
      <c r="T301" s="21"/>
      <c r="U301" s="20"/>
    </row>
    <row r="302" spans="1:21" x14ac:dyDescent="0.3">
      <c r="A302" s="18"/>
      <c r="B302" s="21"/>
      <c r="C302" s="492" t="s">
        <v>631</v>
      </c>
      <c r="D302" s="529"/>
      <c r="E302" s="529"/>
      <c r="F302" s="529"/>
      <c r="G302" s="529"/>
      <c r="H302" s="493"/>
      <c r="I302" s="21"/>
      <c r="J302" s="21"/>
      <c r="K302" s="85" t="s">
        <v>3402</v>
      </c>
      <c r="L302" s="21"/>
      <c r="M302" s="21"/>
      <c r="N302" s="21"/>
      <c r="O302" s="492" t="s">
        <v>125</v>
      </c>
      <c r="P302" s="493"/>
      <c r="Q302" s="21"/>
      <c r="R302" s="21"/>
      <c r="S302" s="21"/>
      <c r="T302" s="21"/>
      <c r="U302" s="20"/>
    </row>
    <row r="303" spans="1:21" x14ac:dyDescent="0.3">
      <c r="A303" s="18"/>
      <c r="B303" s="21"/>
      <c r="C303" s="155">
        <v>43157</v>
      </c>
      <c r="D303" s="155">
        <v>43158</v>
      </c>
      <c r="E303" s="155">
        <v>43159</v>
      </c>
      <c r="F303" s="155">
        <v>43160</v>
      </c>
      <c r="G303" s="155">
        <v>43161</v>
      </c>
      <c r="H303" s="155">
        <v>43164</v>
      </c>
      <c r="I303" s="21"/>
      <c r="J303" s="21"/>
      <c r="K303" s="35" cm="1">
        <f t="array" ref="K303">_xll.U.GRID_LOOKUP(O304,P304,B303:H308)</f>
        <v>152.54</v>
      </c>
      <c r="L303" s="21"/>
      <c r="M303" s="21"/>
      <c r="N303" s="21"/>
      <c r="O303" s="9" t="s">
        <v>629</v>
      </c>
      <c r="P303" s="9" t="s">
        <v>630</v>
      </c>
      <c r="Q303" s="21"/>
      <c r="R303" s="21"/>
      <c r="S303" s="21"/>
      <c r="T303" s="21"/>
      <c r="U303" s="20"/>
    </row>
    <row r="304" spans="1:21" x14ac:dyDescent="0.3">
      <c r="A304" s="18"/>
      <c r="B304" s="59" t="s">
        <v>106</v>
      </c>
      <c r="C304" s="61">
        <v>175.4</v>
      </c>
      <c r="D304" s="61">
        <v>175.96</v>
      </c>
      <c r="E304" s="61">
        <v>176.04000000000002</v>
      </c>
      <c r="F304" s="61">
        <v>176.84000000000003</v>
      </c>
      <c r="G304" s="61">
        <v>176.64000000000004</v>
      </c>
      <c r="H304" s="61">
        <v>176.05000000000004</v>
      </c>
      <c r="I304" s="21"/>
      <c r="J304" s="21"/>
      <c r="K304" s="21"/>
      <c r="L304" s="21"/>
      <c r="M304" s="21"/>
      <c r="N304" s="21"/>
      <c r="O304" s="79" t="s">
        <v>107</v>
      </c>
      <c r="P304" s="153">
        <v>43158</v>
      </c>
      <c r="Q304" s="21"/>
      <c r="R304" s="21"/>
      <c r="S304" s="21"/>
      <c r="T304" s="21"/>
      <c r="U304" s="20"/>
    </row>
    <row r="305" spans="1:21" x14ac:dyDescent="0.3">
      <c r="A305" s="18"/>
      <c r="B305" s="59" t="s">
        <v>107</v>
      </c>
      <c r="C305" s="61">
        <v>154.79</v>
      </c>
      <c r="D305" s="61">
        <v>152.54</v>
      </c>
      <c r="E305" s="61">
        <v>154.51</v>
      </c>
      <c r="F305" s="61">
        <v>154.64999999999998</v>
      </c>
      <c r="G305" s="61">
        <v>151.65999999999997</v>
      </c>
      <c r="H305" s="61">
        <v>153.88999999999996</v>
      </c>
      <c r="I305" s="21"/>
      <c r="J305" s="21"/>
      <c r="K305" s="21"/>
      <c r="L305" s="21"/>
      <c r="M305" s="21"/>
      <c r="N305" s="21"/>
      <c r="O305" s="21"/>
      <c r="P305" s="21"/>
      <c r="Q305" s="21"/>
      <c r="R305" s="21"/>
      <c r="S305" s="21"/>
      <c r="T305" s="21"/>
      <c r="U305" s="20"/>
    </row>
    <row r="306" spans="1:21" x14ac:dyDescent="0.3">
      <c r="A306" s="18"/>
      <c r="B306" s="59" t="s">
        <v>256</v>
      </c>
      <c r="C306" s="61">
        <v>94.06</v>
      </c>
      <c r="D306" s="61">
        <v>95.54</v>
      </c>
      <c r="E306" s="61">
        <v>94.81</v>
      </c>
      <c r="F306" s="61">
        <v>94.43</v>
      </c>
      <c r="G306" s="61">
        <v>91.64</v>
      </c>
      <c r="H306" s="61">
        <v>93.8</v>
      </c>
      <c r="I306" s="21"/>
      <c r="J306" s="21"/>
      <c r="K306" s="21"/>
      <c r="L306" s="21"/>
      <c r="M306" s="21"/>
      <c r="N306" s="21"/>
      <c r="O306" s="21"/>
      <c r="P306" s="21"/>
      <c r="Q306" s="21"/>
      <c r="R306" s="21"/>
      <c r="S306" s="21"/>
      <c r="T306" s="21"/>
      <c r="U306" s="20"/>
    </row>
    <row r="307" spans="1:21" x14ac:dyDescent="0.3">
      <c r="A307" s="18"/>
      <c r="B307" s="59" t="s">
        <v>183</v>
      </c>
      <c r="C307" s="61">
        <v>183.3</v>
      </c>
      <c r="D307" s="61">
        <v>185.12</v>
      </c>
      <c r="E307" s="61">
        <v>187.81</v>
      </c>
      <c r="F307" s="61">
        <v>185.59</v>
      </c>
      <c r="G307" s="61">
        <v>185.98</v>
      </c>
      <c r="H307" s="61">
        <v>186.98</v>
      </c>
      <c r="I307" s="21"/>
      <c r="J307" s="21"/>
      <c r="K307" s="21"/>
      <c r="L307" s="21"/>
      <c r="M307" s="21"/>
      <c r="N307" s="21"/>
      <c r="O307" s="21"/>
      <c r="P307" s="21"/>
      <c r="Q307" s="21"/>
      <c r="R307" s="21"/>
      <c r="S307" s="21"/>
      <c r="T307" s="21"/>
      <c r="U307" s="20"/>
    </row>
    <row r="308" spans="1:21" x14ac:dyDescent="0.3">
      <c r="A308" s="18"/>
      <c r="B308" s="59" t="s">
        <v>628</v>
      </c>
      <c r="C308" s="61">
        <v>40.909999999999997</v>
      </c>
      <c r="D308" s="61">
        <v>43.76</v>
      </c>
      <c r="E308" s="61">
        <v>44.01</v>
      </c>
      <c r="F308" s="61">
        <v>42.78</v>
      </c>
      <c r="G308" s="61">
        <v>44.21</v>
      </c>
      <c r="H308" s="61">
        <v>45.7</v>
      </c>
      <c r="I308" s="21"/>
      <c r="J308" s="21"/>
      <c r="K308" s="21"/>
      <c r="L308" s="21"/>
      <c r="M308" s="21"/>
      <c r="N308" s="21"/>
      <c r="O308" s="21"/>
      <c r="P308" s="21"/>
      <c r="Q308" s="21"/>
      <c r="R308" s="21"/>
      <c r="S308" s="21"/>
      <c r="T308" s="21"/>
      <c r="U308" s="20"/>
    </row>
    <row r="309" spans="1:21" x14ac:dyDescent="0.3">
      <c r="A309" s="18"/>
      <c r="B309" s="21"/>
      <c r="C309" s="21"/>
      <c r="D309" s="21"/>
      <c r="E309" s="21"/>
      <c r="F309" s="21"/>
      <c r="G309" s="21"/>
      <c r="H309" s="21"/>
      <c r="I309" s="21"/>
      <c r="J309" s="21"/>
      <c r="K309" s="21"/>
      <c r="L309" s="21"/>
      <c r="M309" s="21"/>
      <c r="N309" s="21"/>
      <c r="O309" s="21"/>
      <c r="P309" s="21"/>
      <c r="Q309" s="21"/>
      <c r="R309" s="21"/>
      <c r="S309" s="21"/>
      <c r="T309" s="21"/>
      <c r="U309" s="20"/>
    </row>
    <row r="310" spans="1:21" x14ac:dyDescent="0.3">
      <c r="A310" s="18"/>
      <c r="B310" s="21"/>
      <c r="C310" s="21"/>
      <c r="D310" s="21"/>
      <c r="E310" s="21"/>
      <c r="F310" s="21"/>
      <c r="G310" s="21"/>
      <c r="H310" s="21"/>
      <c r="I310" s="21"/>
      <c r="J310" s="21"/>
      <c r="K310" s="21"/>
      <c r="L310" s="157">
        <v>43159</v>
      </c>
      <c r="M310" s="157">
        <v>43166</v>
      </c>
      <c r="N310" s="21"/>
      <c r="O310" s="21"/>
      <c r="P310" s="21"/>
      <c r="Q310" s="21"/>
      <c r="R310" s="21"/>
      <c r="S310" s="21"/>
      <c r="T310" s="21"/>
      <c r="U310" s="20"/>
    </row>
    <row r="311" spans="1:21" x14ac:dyDescent="0.3">
      <c r="A311" s="18"/>
      <c r="B311" s="21"/>
      <c r="C311" s="21"/>
      <c r="D311" s="21"/>
      <c r="E311" s="21"/>
      <c r="F311" s="21"/>
      <c r="G311" s="21"/>
      <c r="H311" s="21"/>
      <c r="I311" s="21"/>
      <c r="J311" s="21"/>
      <c r="K311" s="156" t="s">
        <v>183</v>
      </c>
      <c r="L311" s="30">
        <f t="array" ref="L311:M312">_xll.U.GRID_LOOKUP(K311:K312,L310:M310,B303:H308,,1)</f>
        <v>187.81</v>
      </c>
      <c r="M311" s="30">
        <v>186.98</v>
      </c>
      <c r="N311" s="21"/>
      <c r="O311" s="21"/>
      <c r="P311" s="21"/>
      <c r="Q311" s="21"/>
      <c r="R311" s="21"/>
      <c r="S311" s="21"/>
      <c r="T311" s="21"/>
      <c r="U311" s="20"/>
    </row>
    <row r="312" spans="1:21" x14ac:dyDescent="0.3">
      <c r="A312" s="18"/>
      <c r="B312" s="21"/>
      <c r="C312" s="21"/>
      <c r="D312" s="21"/>
      <c r="E312" s="21"/>
      <c r="F312" s="21"/>
      <c r="G312" s="21"/>
      <c r="H312" s="21"/>
      <c r="I312" s="21"/>
      <c r="J312" s="21"/>
      <c r="K312" s="156" t="s">
        <v>106</v>
      </c>
      <c r="L312" s="30">
        <v>176.04000000000002</v>
      </c>
      <c r="M312" s="30">
        <v>176.05000000000004</v>
      </c>
      <c r="N312" s="21"/>
      <c r="O312" s="21"/>
      <c r="P312" s="21"/>
      <c r="Q312" s="21"/>
      <c r="R312" s="21"/>
      <c r="S312" s="21"/>
      <c r="T312" s="21"/>
      <c r="U312" s="20"/>
    </row>
    <row r="313" spans="1:21" x14ac:dyDescent="0.3">
      <c r="A313" s="18"/>
      <c r="B313" s="21"/>
      <c r="C313" s="21"/>
      <c r="D313" s="21"/>
      <c r="E313" s="21"/>
      <c r="F313" s="21"/>
      <c r="G313" s="21"/>
      <c r="H313" s="21"/>
      <c r="I313" s="21"/>
      <c r="J313" s="21"/>
      <c r="K313" s="21"/>
      <c r="L313" s="21"/>
      <c r="M313" s="21"/>
      <c r="N313" s="21"/>
      <c r="O313" s="21"/>
      <c r="P313" s="21"/>
      <c r="Q313" s="21"/>
      <c r="R313" s="21"/>
      <c r="S313" s="21"/>
      <c r="T313" s="21"/>
      <c r="U313" s="20"/>
    </row>
    <row r="314" spans="1:21" x14ac:dyDescent="0.3">
      <c r="A314" s="18"/>
      <c r="B314" s="21"/>
      <c r="C314" s="21"/>
      <c r="D314" s="21"/>
      <c r="E314" s="21"/>
      <c r="F314" s="21"/>
      <c r="G314" s="21"/>
      <c r="H314" s="21"/>
      <c r="I314" s="21"/>
      <c r="J314" s="21"/>
      <c r="K314" s="21"/>
      <c r="L314" s="21"/>
      <c r="M314" s="21"/>
      <c r="N314" s="21"/>
      <c r="O314" s="21"/>
      <c r="P314" s="21"/>
      <c r="Q314" s="21"/>
      <c r="R314" s="21"/>
      <c r="S314" s="21"/>
      <c r="T314" s="21"/>
      <c r="U314" s="20"/>
    </row>
    <row r="315" spans="1:21" x14ac:dyDescent="0.3">
      <c r="A315" s="18"/>
      <c r="B315" s="21"/>
      <c r="C315" s="21"/>
      <c r="D315" s="21"/>
      <c r="E315" s="21"/>
      <c r="F315" s="21"/>
      <c r="G315" s="21"/>
      <c r="H315" s="21"/>
      <c r="I315" s="21"/>
      <c r="J315" s="21"/>
      <c r="K315" s="21"/>
      <c r="L315" s="21"/>
      <c r="M315" s="21"/>
      <c r="N315" s="21"/>
      <c r="O315" s="21"/>
      <c r="P315" s="21"/>
      <c r="Q315" s="21"/>
      <c r="R315" s="21"/>
      <c r="S315" s="21"/>
      <c r="T315" s="21"/>
      <c r="U315" s="20"/>
    </row>
    <row r="316" spans="1:21" x14ac:dyDescent="0.3">
      <c r="A316" s="18"/>
      <c r="B316" s="21"/>
      <c r="C316" s="21"/>
      <c r="D316" s="492" t="s">
        <v>782</v>
      </c>
      <c r="E316" s="529"/>
      <c r="F316" s="529"/>
      <c r="G316" s="529"/>
      <c r="H316" s="529"/>
      <c r="I316" s="493"/>
      <c r="J316" s="21"/>
      <c r="K316" s="21"/>
      <c r="L316" s="21"/>
      <c r="M316" s="21"/>
      <c r="N316" s="21"/>
      <c r="O316" s="21"/>
      <c r="P316" s="21"/>
      <c r="Q316" s="21"/>
      <c r="R316" s="21"/>
      <c r="S316" s="21"/>
      <c r="T316" s="21"/>
      <c r="U316" s="20"/>
    </row>
    <row r="317" spans="1:21" x14ac:dyDescent="0.3">
      <c r="A317" s="18"/>
      <c r="B317" s="21"/>
      <c r="C317" s="21"/>
      <c r="D317" s="155" t="s">
        <v>778</v>
      </c>
      <c r="E317" s="155" t="s">
        <v>778</v>
      </c>
      <c r="F317" s="155" t="s">
        <v>778</v>
      </c>
      <c r="G317" s="155" t="s">
        <v>779</v>
      </c>
      <c r="H317" s="155" t="s">
        <v>779</v>
      </c>
      <c r="I317" s="155" t="s">
        <v>779</v>
      </c>
      <c r="J317" s="21"/>
      <c r="K317" s="21"/>
      <c r="L317" s="21"/>
      <c r="M317" s="21"/>
      <c r="N317" s="21"/>
      <c r="O317" s="21"/>
      <c r="P317" s="21"/>
      <c r="Q317" s="21"/>
      <c r="R317" s="21"/>
      <c r="S317" s="21"/>
      <c r="T317" s="21"/>
      <c r="U317" s="20"/>
    </row>
    <row r="318" spans="1:21" x14ac:dyDescent="0.3">
      <c r="A318" s="18"/>
      <c r="B318" s="21"/>
      <c r="C318" s="21"/>
      <c r="D318" s="155">
        <v>43101</v>
      </c>
      <c r="E318" s="155">
        <v>43160</v>
      </c>
      <c r="F318" s="155">
        <v>43252</v>
      </c>
      <c r="G318" s="155">
        <v>43101</v>
      </c>
      <c r="H318" s="155">
        <v>43160</v>
      </c>
      <c r="I318" s="155">
        <v>43252</v>
      </c>
      <c r="J318" s="21"/>
      <c r="K318" s="21"/>
      <c r="L318" s="21"/>
      <c r="M318" s="21"/>
      <c r="N318" s="21"/>
      <c r="O318" s="21"/>
      <c r="P318" s="21"/>
      <c r="Q318" s="21"/>
      <c r="R318" s="21"/>
      <c r="S318" s="21"/>
      <c r="T318" s="21"/>
      <c r="U318" s="20"/>
    </row>
    <row r="319" spans="1:21" x14ac:dyDescent="0.3">
      <c r="A319" s="18"/>
      <c r="B319" s="59" t="s">
        <v>106</v>
      </c>
      <c r="C319" s="59" t="s">
        <v>780</v>
      </c>
      <c r="D319" s="61">
        <v>0.25</v>
      </c>
      <c r="E319" s="61">
        <v>0.37</v>
      </c>
      <c r="F319" s="61">
        <v>0.41</v>
      </c>
      <c r="G319" s="61">
        <v>0.24</v>
      </c>
      <c r="H319" s="61">
        <v>0.36</v>
      </c>
      <c r="I319" s="61">
        <v>0.42</v>
      </c>
      <c r="J319" s="21"/>
      <c r="K319" s="21"/>
      <c r="L319" s="21"/>
      <c r="M319" s="21"/>
      <c r="N319" s="21"/>
      <c r="O319" s="21"/>
      <c r="P319" s="21"/>
      <c r="Q319" s="21"/>
      <c r="R319" s="21"/>
      <c r="S319" s="21"/>
      <c r="T319" s="21"/>
      <c r="U319" s="20"/>
    </row>
    <row r="320" spans="1:21" x14ac:dyDescent="0.3">
      <c r="A320" s="18"/>
      <c r="B320" s="59" t="s">
        <v>106</v>
      </c>
      <c r="C320" s="59" t="s">
        <v>781</v>
      </c>
      <c r="D320" s="61">
        <v>0.27</v>
      </c>
      <c r="E320" s="61">
        <v>0.39</v>
      </c>
      <c r="F320" s="61">
        <v>0.43</v>
      </c>
      <c r="G320" s="61">
        <v>0.23</v>
      </c>
      <c r="H320" s="61">
        <v>0.28000000000000003</v>
      </c>
      <c r="I320" s="61">
        <v>0.4</v>
      </c>
      <c r="J320" s="21"/>
      <c r="K320" s="21"/>
      <c r="L320" s="21"/>
      <c r="M320" s="157" t="s">
        <v>779</v>
      </c>
      <c r="N320" s="157" t="s">
        <v>778</v>
      </c>
      <c r="O320" s="21"/>
      <c r="P320" s="492" t="s">
        <v>783</v>
      </c>
      <c r="Q320" s="493"/>
      <c r="R320" s="21"/>
      <c r="S320" s="492" t="s">
        <v>787</v>
      </c>
      <c r="T320" s="493"/>
      <c r="U320" s="20"/>
    </row>
    <row r="321" spans="1:21" x14ac:dyDescent="0.3">
      <c r="A321" s="18"/>
      <c r="B321" s="59" t="s">
        <v>256</v>
      </c>
      <c r="C321" s="59" t="s">
        <v>780</v>
      </c>
      <c r="D321" s="61">
        <v>1.25</v>
      </c>
      <c r="E321" s="61">
        <v>1.37</v>
      </c>
      <c r="F321" s="61">
        <v>1.41</v>
      </c>
      <c r="G321" s="61">
        <v>1.24</v>
      </c>
      <c r="H321" s="61">
        <v>1.36</v>
      </c>
      <c r="I321" s="61">
        <v>1.42</v>
      </c>
      <c r="J321" s="21"/>
      <c r="K321" s="21"/>
      <c r="L321" s="21"/>
      <c r="M321" s="157">
        <v>43155</v>
      </c>
      <c r="N321" s="157">
        <v>43192</v>
      </c>
      <c r="O321" s="21"/>
      <c r="P321" s="9" t="s">
        <v>785</v>
      </c>
      <c r="Q321" s="9" t="s">
        <v>264</v>
      </c>
      <c r="R321" s="21"/>
      <c r="S321" s="9" t="s">
        <v>786</v>
      </c>
      <c r="T321" s="9" t="s">
        <v>264</v>
      </c>
      <c r="U321" s="20"/>
    </row>
    <row r="322" spans="1:21" x14ac:dyDescent="0.3">
      <c r="A322" s="18"/>
      <c r="B322" s="59" t="s">
        <v>256</v>
      </c>
      <c r="C322" s="59" t="s">
        <v>781</v>
      </c>
      <c r="D322" s="61">
        <v>1.27</v>
      </c>
      <c r="E322" s="61">
        <v>1.39</v>
      </c>
      <c r="F322" s="61">
        <v>1.43</v>
      </c>
      <c r="G322" s="61">
        <v>1.23</v>
      </c>
      <c r="H322" s="61">
        <v>1.28</v>
      </c>
      <c r="I322" s="61">
        <v>1.4</v>
      </c>
      <c r="J322" s="21"/>
      <c r="K322" s="156" t="s">
        <v>107</v>
      </c>
      <c r="L322" s="156" t="s">
        <v>784</v>
      </c>
      <c r="M322" s="30">
        <f t="array" ref="M322:N323">_xll.U.GRID_LOOKUP(K322:L323,M320:N321,B317:I324,S322:T323,P322:Q323)</f>
        <v>0.78</v>
      </c>
      <c r="N322" s="30">
        <v>0.89</v>
      </c>
      <c r="O322" s="21"/>
      <c r="P322" s="79">
        <v>1</v>
      </c>
      <c r="Q322" s="173">
        <v>0</v>
      </c>
      <c r="R322" s="21"/>
      <c r="S322" s="79">
        <v>1</v>
      </c>
      <c r="T322" s="173">
        <v>0</v>
      </c>
      <c r="U322" s="20"/>
    </row>
    <row r="323" spans="1:21" x14ac:dyDescent="0.3">
      <c r="A323" s="18"/>
      <c r="B323" s="59" t="s">
        <v>107</v>
      </c>
      <c r="C323" s="59" t="s">
        <v>780</v>
      </c>
      <c r="D323" s="61">
        <v>0.75</v>
      </c>
      <c r="E323" s="61">
        <v>0.87</v>
      </c>
      <c r="F323" s="61">
        <v>0.91</v>
      </c>
      <c r="G323" s="61">
        <v>0.74</v>
      </c>
      <c r="H323" s="61">
        <v>0.86</v>
      </c>
      <c r="I323" s="61">
        <v>0.92</v>
      </c>
      <c r="J323" s="21"/>
      <c r="K323" s="156" t="s">
        <v>256</v>
      </c>
      <c r="L323" s="156" t="s">
        <v>780</v>
      </c>
      <c r="M323" s="30">
        <v>1.36</v>
      </c>
      <c r="N323" s="30">
        <v>1.37</v>
      </c>
      <c r="O323" s="21"/>
      <c r="P323" s="79">
        <v>2</v>
      </c>
      <c r="Q323" s="173" t="s">
        <v>1059</v>
      </c>
      <c r="R323" s="21"/>
      <c r="S323" s="79">
        <v>2</v>
      </c>
      <c r="T323" s="173">
        <v>-3</v>
      </c>
      <c r="U323" s="20"/>
    </row>
    <row r="324" spans="1:21" x14ac:dyDescent="0.3">
      <c r="A324" s="18"/>
      <c r="B324" s="59" t="s">
        <v>107</v>
      </c>
      <c r="C324" s="59" t="s">
        <v>781</v>
      </c>
      <c r="D324" s="61">
        <v>0.77</v>
      </c>
      <c r="E324" s="61">
        <v>0.89</v>
      </c>
      <c r="F324" s="61">
        <v>0.93</v>
      </c>
      <c r="G324" s="61">
        <v>0.73</v>
      </c>
      <c r="H324" s="61">
        <v>0.78</v>
      </c>
      <c r="I324" s="61">
        <v>0.9</v>
      </c>
      <c r="J324" s="21"/>
      <c r="K324" s="21"/>
      <c r="L324" s="21"/>
      <c r="M324" s="21"/>
      <c r="N324" s="21"/>
      <c r="O324" s="21"/>
      <c r="P324" s="21"/>
      <c r="Q324" s="21"/>
      <c r="R324" s="21"/>
      <c r="S324" s="21"/>
      <c r="T324" s="21"/>
      <c r="U324" s="20"/>
    </row>
    <row r="325" spans="1:21" x14ac:dyDescent="0.3">
      <c r="A325" s="18"/>
      <c r="B325" s="21"/>
      <c r="C325" s="21"/>
      <c r="D325" s="21"/>
      <c r="E325" s="21"/>
      <c r="F325" s="21"/>
      <c r="G325" s="21"/>
      <c r="H325" s="21"/>
      <c r="I325" s="21"/>
      <c r="J325" s="21"/>
      <c r="K325" s="21"/>
      <c r="L325" s="21"/>
      <c r="M325" s="21"/>
      <c r="N325" s="21"/>
      <c r="O325" s="21"/>
      <c r="P325" s="21"/>
      <c r="Q325" s="21"/>
      <c r="R325" s="21"/>
      <c r="S325" s="21"/>
      <c r="T325" s="21"/>
      <c r="U325" s="20"/>
    </row>
    <row r="326" spans="1:21" x14ac:dyDescent="0.3">
      <c r="A326" s="18"/>
      <c r="B326" s="21"/>
      <c r="C326" s="21"/>
      <c r="D326" s="21"/>
      <c r="E326" s="21"/>
      <c r="F326" s="21"/>
      <c r="G326" s="21"/>
      <c r="H326" s="21"/>
      <c r="I326" s="21"/>
      <c r="J326" s="21"/>
      <c r="K326" s="21"/>
      <c r="L326" s="21"/>
      <c r="M326" s="21"/>
      <c r="N326" s="21"/>
      <c r="O326" s="21"/>
      <c r="P326" s="21"/>
      <c r="Q326" s="21"/>
      <c r="R326" s="21"/>
      <c r="S326" s="21"/>
      <c r="T326" s="21"/>
      <c r="U326" s="20"/>
    </row>
    <row r="327" spans="1:21" x14ac:dyDescent="0.3">
      <c r="A327" s="18"/>
      <c r="B327" s="21"/>
      <c r="C327" s="21"/>
      <c r="D327" s="21"/>
      <c r="E327" s="21"/>
      <c r="F327" s="21"/>
      <c r="G327" s="21"/>
      <c r="H327" s="21"/>
      <c r="I327" s="21"/>
      <c r="J327" s="21"/>
      <c r="K327" s="21"/>
      <c r="L327" s="21"/>
      <c r="M327" s="21"/>
      <c r="N327" s="21"/>
      <c r="O327" s="21"/>
      <c r="P327" s="21"/>
      <c r="Q327" s="21"/>
      <c r="R327" s="21"/>
      <c r="S327" s="21"/>
      <c r="T327" s="21"/>
      <c r="U327" s="20"/>
    </row>
    <row r="328" spans="1:21" x14ac:dyDescent="0.3">
      <c r="A328" s="18"/>
      <c r="B328" s="21"/>
      <c r="C328" s="21"/>
      <c r="D328" s="21"/>
      <c r="E328" s="21"/>
      <c r="F328" s="21"/>
      <c r="G328" s="21"/>
      <c r="H328" s="21"/>
      <c r="I328" s="21"/>
      <c r="J328" s="21"/>
      <c r="K328" s="21"/>
      <c r="L328" s="21"/>
      <c r="M328" s="21"/>
      <c r="N328" s="21"/>
      <c r="O328" s="21"/>
      <c r="P328" s="21"/>
      <c r="Q328" s="21"/>
      <c r="R328" s="21"/>
      <c r="S328" s="21"/>
      <c r="T328" s="21"/>
      <c r="U328" s="20"/>
    </row>
    <row r="329" spans="1:21" x14ac:dyDescent="0.3">
      <c r="A329" s="18"/>
      <c r="B329" s="21"/>
      <c r="C329" s="21"/>
      <c r="D329" s="21"/>
      <c r="E329" s="21"/>
      <c r="F329" s="21"/>
      <c r="G329" s="21"/>
      <c r="H329" s="21"/>
      <c r="I329" s="21"/>
      <c r="J329" s="21"/>
      <c r="K329" s="21"/>
      <c r="L329" s="21"/>
      <c r="M329" s="21"/>
      <c r="N329" s="21"/>
      <c r="O329" s="21"/>
      <c r="P329" s="21"/>
      <c r="Q329" s="21"/>
      <c r="R329" s="21"/>
      <c r="S329" s="21"/>
      <c r="T329" s="21"/>
      <c r="U329" s="20"/>
    </row>
    <row r="330" spans="1:21" x14ac:dyDescent="0.3">
      <c r="A330" s="18"/>
      <c r="B330" s="21"/>
      <c r="C330" s="21"/>
      <c r="D330" s="21"/>
      <c r="E330" s="21"/>
      <c r="F330" s="21"/>
      <c r="G330" s="21"/>
      <c r="H330" s="21"/>
      <c r="I330" s="21"/>
      <c r="J330" s="21"/>
      <c r="K330" s="21"/>
      <c r="L330" s="21"/>
      <c r="M330" s="21"/>
      <c r="N330" s="21"/>
      <c r="O330" s="21"/>
      <c r="P330" s="21"/>
      <c r="Q330" s="21"/>
      <c r="R330" s="21"/>
      <c r="S330" s="21"/>
      <c r="T330" s="21"/>
      <c r="U330" s="20"/>
    </row>
    <row r="331" spans="1:21" x14ac:dyDescent="0.3">
      <c r="A331" s="18"/>
      <c r="B331" s="21"/>
      <c r="C331" s="21"/>
      <c r="D331" s="21"/>
      <c r="E331" s="21"/>
      <c r="F331" s="21"/>
      <c r="G331" s="21"/>
      <c r="H331" s="21"/>
      <c r="I331" s="21"/>
      <c r="J331" s="21"/>
      <c r="K331" s="21"/>
      <c r="L331" s="21"/>
      <c r="M331" s="21"/>
      <c r="N331" s="21"/>
      <c r="O331" s="21"/>
      <c r="P331" s="21"/>
      <c r="Q331" s="21"/>
      <c r="R331" s="21"/>
      <c r="S331" s="21"/>
      <c r="T331" s="21"/>
      <c r="U331" s="20"/>
    </row>
    <row r="332" spans="1:21" x14ac:dyDescent="0.3">
      <c r="A332" s="18"/>
      <c r="B332" s="21"/>
      <c r="C332" s="21"/>
      <c r="D332" s="21"/>
      <c r="E332" s="21"/>
      <c r="F332" s="21"/>
      <c r="G332" s="21"/>
      <c r="H332" s="21"/>
      <c r="I332" s="21"/>
      <c r="J332" s="21"/>
      <c r="K332" s="21"/>
      <c r="L332" s="21"/>
      <c r="M332" s="21"/>
      <c r="N332" s="21"/>
      <c r="O332" s="21"/>
      <c r="P332" s="21"/>
      <c r="Q332" s="21"/>
      <c r="R332" s="21"/>
      <c r="S332" s="21"/>
      <c r="T332" s="21"/>
      <c r="U332" s="20"/>
    </row>
    <row r="333" spans="1:21" x14ac:dyDescent="0.3">
      <c r="A333" s="18"/>
      <c r="B333" s="21"/>
      <c r="C333" s="21"/>
      <c r="D333" s="21"/>
      <c r="E333" s="21"/>
      <c r="F333" s="21"/>
      <c r="G333" s="21"/>
      <c r="H333" s="21"/>
      <c r="I333" s="21"/>
      <c r="J333" s="21"/>
      <c r="K333" s="21"/>
      <c r="L333" s="21"/>
      <c r="M333" s="21"/>
      <c r="N333" s="21"/>
      <c r="O333" s="21"/>
      <c r="P333" s="21"/>
      <c r="Q333" s="21"/>
      <c r="R333" s="21"/>
      <c r="S333" s="21"/>
      <c r="T333" s="21"/>
      <c r="U333" s="20"/>
    </row>
    <row r="334" spans="1:21" x14ac:dyDescent="0.3">
      <c r="A334" s="18"/>
      <c r="B334" s="21"/>
      <c r="C334" s="21"/>
      <c r="D334" s="21"/>
      <c r="E334" s="21"/>
      <c r="F334" s="21"/>
      <c r="G334" s="21"/>
      <c r="H334" s="21"/>
      <c r="I334" s="21"/>
      <c r="J334" s="21"/>
      <c r="K334" s="21"/>
      <c r="L334" s="21"/>
      <c r="M334" s="21"/>
      <c r="N334" s="21"/>
      <c r="O334" s="21"/>
      <c r="P334" s="21"/>
      <c r="Q334" s="21"/>
      <c r="R334" s="21"/>
      <c r="S334" s="21"/>
      <c r="T334" s="21"/>
      <c r="U334" s="20"/>
    </row>
    <row r="335" spans="1:21" x14ac:dyDescent="0.3">
      <c r="A335" s="18"/>
      <c r="B335" s="21"/>
      <c r="C335" s="21"/>
      <c r="D335" s="21"/>
      <c r="E335" s="21"/>
      <c r="F335" s="21"/>
      <c r="G335" s="21"/>
      <c r="H335" s="21"/>
      <c r="I335" s="21"/>
      <c r="J335" s="21"/>
      <c r="K335" s="21"/>
      <c r="L335" s="21"/>
      <c r="M335" s="21"/>
      <c r="N335" s="21"/>
      <c r="O335" s="21"/>
      <c r="P335" s="21"/>
      <c r="Q335" s="21"/>
      <c r="R335" s="21"/>
      <c r="S335" s="21"/>
      <c r="T335" s="21"/>
      <c r="U335" s="20"/>
    </row>
    <row r="336" spans="1:21" x14ac:dyDescent="0.3">
      <c r="A336" s="18"/>
      <c r="B336" s="21"/>
      <c r="C336" s="21"/>
      <c r="D336" s="21"/>
      <c r="E336" s="21"/>
      <c r="F336" s="21"/>
      <c r="G336" s="21"/>
      <c r="H336" s="21"/>
      <c r="I336" s="21"/>
      <c r="J336" s="21"/>
      <c r="K336" s="21"/>
      <c r="L336" s="21"/>
      <c r="M336" s="21"/>
      <c r="N336" s="21"/>
      <c r="O336" s="21"/>
      <c r="P336" s="21"/>
      <c r="Q336" s="21"/>
      <c r="R336" s="21"/>
      <c r="S336" s="21"/>
      <c r="T336" s="21"/>
      <c r="U336" s="20"/>
    </row>
    <row r="337" spans="1:21" x14ac:dyDescent="0.3">
      <c r="A337" s="18"/>
      <c r="B337" s="21"/>
      <c r="C337" s="21"/>
      <c r="D337" s="21"/>
      <c r="E337" s="21"/>
      <c r="F337" s="21"/>
      <c r="G337" s="21"/>
      <c r="H337" s="21"/>
      <c r="I337" s="21"/>
      <c r="J337" s="21"/>
      <c r="K337" s="21"/>
      <c r="L337" s="21"/>
      <c r="M337" s="21"/>
      <c r="N337" s="21"/>
      <c r="O337" s="21"/>
      <c r="P337" s="21"/>
      <c r="Q337" s="21"/>
      <c r="R337" s="21"/>
      <c r="S337" s="21"/>
      <c r="T337" s="21"/>
      <c r="U337" s="20"/>
    </row>
    <row r="338" spans="1:21" x14ac:dyDescent="0.3">
      <c r="A338" s="18"/>
      <c r="B338" s="21"/>
      <c r="C338" s="21"/>
      <c r="D338" s="21"/>
      <c r="E338" s="21"/>
      <c r="F338" s="21"/>
      <c r="G338" s="21"/>
      <c r="H338" s="21"/>
      <c r="I338" s="21"/>
      <c r="J338" s="21"/>
      <c r="K338" s="21"/>
      <c r="L338" s="21"/>
      <c r="M338" s="21"/>
      <c r="N338" s="21"/>
      <c r="O338" s="21"/>
      <c r="P338" s="21"/>
      <c r="Q338" s="21"/>
      <c r="R338" s="21"/>
      <c r="S338" s="21"/>
      <c r="T338" s="21"/>
      <c r="U338" s="20"/>
    </row>
    <row r="339" spans="1:21" x14ac:dyDescent="0.3">
      <c r="A339" s="18"/>
      <c r="B339" s="21"/>
      <c r="C339" s="21"/>
      <c r="D339" s="492" t="s">
        <v>782</v>
      </c>
      <c r="E339" s="529"/>
      <c r="F339" s="529"/>
      <c r="G339" s="529"/>
      <c r="H339" s="529"/>
      <c r="I339" s="493"/>
      <c r="J339" s="21"/>
      <c r="K339" s="21"/>
      <c r="L339" s="2" t="s">
        <v>1056</v>
      </c>
      <c r="M339" s="157" t="s">
        <v>779</v>
      </c>
      <c r="N339" s="157" t="s">
        <v>778</v>
      </c>
      <c r="O339" s="21"/>
      <c r="P339" s="492" t="s">
        <v>783</v>
      </c>
      <c r="Q339" s="493"/>
      <c r="R339" s="21"/>
      <c r="S339" s="492" t="s">
        <v>787</v>
      </c>
      <c r="T339" s="493"/>
      <c r="U339" s="20"/>
    </row>
    <row r="340" spans="1:21" x14ac:dyDescent="0.3">
      <c r="A340" s="18"/>
      <c r="B340" s="21"/>
      <c r="C340" s="2" t="s">
        <v>1056</v>
      </c>
      <c r="D340" s="155" t="s">
        <v>778</v>
      </c>
      <c r="E340" s="155" t="s">
        <v>778</v>
      </c>
      <c r="F340" s="155" t="s">
        <v>778</v>
      </c>
      <c r="G340" s="155" t="s">
        <v>779</v>
      </c>
      <c r="H340" s="155" t="s">
        <v>779</v>
      </c>
      <c r="I340" s="155" t="s">
        <v>779</v>
      </c>
      <c r="J340" s="21"/>
      <c r="K340" s="2" t="s">
        <v>1054</v>
      </c>
      <c r="L340" s="2" t="s">
        <v>1055</v>
      </c>
      <c r="M340" s="157">
        <v>43155</v>
      </c>
      <c r="N340" s="157">
        <v>43192</v>
      </c>
      <c r="O340" s="21"/>
      <c r="P340" s="9" t="s">
        <v>785</v>
      </c>
      <c r="Q340" s="9" t="s">
        <v>264</v>
      </c>
      <c r="R340" s="21"/>
      <c r="S340" s="9" t="s">
        <v>786</v>
      </c>
      <c r="T340" s="9" t="s">
        <v>264</v>
      </c>
      <c r="U340" s="20"/>
    </row>
    <row r="341" spans="1:21" x14ac:dyDescent="0.3">
      <c r="A341" s="18"/>
      <c r="B341" s="2" t="s">
        <v>1054</v>
      </c>
      <c r="C341" s="2" t="s">
        <v>1055</v>
      </c>
      <c r="D341" s="155">
        <v>43101</v>
      </c>
      <c r="E341" s="155">
        <v>43160</v>
      </c>
      <c r="F341" s="155">
        <v>43252</v>
      </c>
      <c r="G341" s="155">
        <v>43101</v>
      </c>
      <c r="H341" s="155">
        <v>43160</v>
      </c>
      <c r="I341" s="155">
        <v>43252</v>
      </c>
      <c r="J341" s="21"/>
      <c r="K341" s="210" t="s">
        <v>107</v>
      </c>
      <c r="L341" s="210" t="s">
        <v>784</v>
      </c>
      <c r="M341" s="30">
        <f t="array" ref="M341:N342">_xll.U.GRID_LOOKUP(K340:L342,L339:N340,B340:I347,S341:T342,P341:Q342)</f>
        <v>0.78</v>
      </c>
      <c r="N341" s="30">
        <v>0.89</v>
      </c>
      <c r="O341" s="21"/>
      <c r="P341" s="79" t="s">
        <v>1056</v>
      </c>
      <c r="Q341" s="173">
        <v>0</v>
      </c>
      <c r="R341" s="21"/>
      <c r="S341" s="79" t="s">
        <v>1057</v>
      </c>
      <c r="T341" s="173">
        <v>-3</v>
      </c>
      <c r="U341" s="20"/>
    </row>
    <row r="342" spans="1:21" x14ac:dyDescent="0.3">
      <c r="A342" s="18"/>
      <c r="B342" s="197" t="s">
        <v>106</v>
      </c>
      <c r="C342" s="197" t="s">
        <v>780</v>
      </c>
      <c r="D342" s="61">
        <v>0.25</v>
      </c>
      <c r="E342" s="61">
        <v>0.37</v>
      </c>
      <c r="F342" s="61">
        <v>0.41</v>
      </c>
      <c r="G342" s="61">
        <v>0.24</v>
      </c>
      <c r="H342" s="61">
        <v>0.36</v>
      </c>
      <c r="I342" s="61">
        <v>0.42</v>
      </c>
      <c r="J342" s="21"/>
      <c r="K342" s="156" t="s">
        <v>256</v>
      </c>
      <c r="L342" s="156" t="s">
        <v>780</v>
      </c>
      <c r="M342" s="30">
        <v>1.36</v>
      </c>
      <c r="N342" s="30">
        <v>1.37</v>
      </c>
      <c r="O342" s="21"/>
      <c r="P342" s="79" t="s">
        <v>1058</v>
      </c>
      <c r="Q342" s="173">
        <v>1</v>
      </c>
      <c r="R342" s="21"/>
      <c r="S342" s="79" t="s">
        <v>1054</v>
      </c>
      <c r="T342" s="173">
        <v>0</v>
      </c>
      <c r="U342" s="20"/>
    </row>
    <row r="343" spans="1:21" x14ac:dyDescent="0.3">
      <c r="A343" s="18"/>
      <c r="B343" s="59" t="s">
        <v>106</v>
      </c>
      <c r="C343" s="59" t="s">
        <v>781</v>
      </c>
      <c r="D343" s="61">
        <v>0.27</v>
      </c>
      <c r="E343" s="61">
        <v>0.39</v>
      </c>
      <c r="F343" s="61">
        <v>0.43</v>
      </c>
      <c r="G343" s="61">
        <v>0.23</v>
      </c>
      <c r="H343" s="61">
        <v>0.28000000000000003</v>
      </c>
      <c r="I343" s="61">
        <v>0.4</v>
      </c>
      <c r="J343" s="21"/>
      <c r="K343" s="21"/>
      <c r="L343" s="21"/>
      <c r="M343" s="21"/>
      <c r="N343" s="21"/>
      <c r="O343" s="21"/>
      <c r="P343" s="21"/>
      <c r="Q343" s="21"/>
      <c r="R343" s="21"/>
      <c r="S343" s="21"/>
      <c r="T343" s="21"/>
      <c r="U343" s="20"/>
    </row>
    <row r="344" spans="1:21" x14ac:dyDescent="0.3">
      <c r="A344" s="18"/>
      <c r="B344" s="59" t="s">
        <v>256</v>
      </c>
      <c r="C344" s="59" t="s">
        <v>780</v>
      </c>
      <c r="D344" s="61">
        <v>1.25</v>
      </c>
      <c r="E344" s="61">
        <v>1.37</v>
      </c>
      <c r="F344" s="61">
        <v>1.41</v>
      </c>
      <c r="G344" s="61">
        <v>1.24</v>
      </c>
      <c r="H344" s="61">
        <v>1.36</v>
      </c>
      <c r="I344" s="61">
        <v>1.42</v>
      </c>
      <c r="J344" s="21"/>
      <c r="K344" s="21"/>
      <c r="L344" s="21"/>
      <c r="M344" s="21"/>
      <c r="N344" s="21"/>
      <c r="O344" s="21"/>
      <c r="P344" s="21"/>
      <c r="Q344" s="21"/>
      <c r="R344" s="21"/>
      <c r="S344" s="21"/>
      <c r="T344" s="21"/>
      <c r="U344" s="20"/>
    </row>
    <row r="345" spans="1:21" x14ac:dyDescent="0.3">
      <c r="A345" s="18"/>
      <c r="B345" s="59" t="s">
        <v>256</v>
      </c>
      <c r="C345" s="59" t="s">
        <v>781</v>
      </c>
      <c r="D345" s="61">
        <v>1.27</v>
      </c>
      <c r="E345" s="61">
        <v>1.39</v>
      </c>
      <c r="F345" s="61">
        <v>1.43</v>
      </c>
      <c r="G345" s="61">
        <v>1.23</v>
      </c>
      <c r="H345" s="61">
        <v>1.28</v>
      </c>
      <c r="I345" s="61">
        <v>1.4</v>
      </c>
      <c r="J345" s="21"/>
      <c r="K345" s="21"/>
      <c r="L345" s="21"/>
      <c r="M345" s="21"/>
      <c r="N345" s="21"/>
      <c r="O345" s="21"/>
      <c r="P345" s="21"/>
      <c r="Q345" s="21"/>
      <c r="R345" s="21"/>
      <c r="S345" s="21"/>
      <c r="T345" s="21"/>
      <c r="U345" s="20"/>
    </row>
    <row r="346" spans="1:21" x14ac:dyDescent="0.3">
      <c r="A346" s="18"/>
      <c r="B346" s="59" t="s">
        <v>107</v>
      </c>
      <c r="C346" s="59" t="s">
        <v>780</v>
      </c>
      <c r="D346" s="61">
        <v>0.75</v>
      </c>
      <c r="E346" s="61">
        <v>0.87</v>
      </c>
      <c r="F346" s="61">
        <v>0.91</v>
      </c>
      <c r="G346" s="61">
        <v>0.74</v>
      </c>
      <c r="H346" s="61">
        <v>0.86</v>
      </c>
      <c r="I346" s="61">
        <v>0.92</v>
      </c>
      <c r="J346" s="21"/>
      <c r="K346" s="21"/>
      <c r="L346" s="21"/>
      <c r="M346" s="21"/>
      <c r="N346" s="21"/>
      <c r="O346" s="21"/>
      <c r="P346" s="21"/>
      <c r="Q346" s="21"/>
      <c r="R346" s="21"/>
      <c r="S346" s="21"/>
      <c r="T346" s="21"/>
      <c r="U346" s="20"/>
    </row>
    <row r="347" spans="1:21" x14ac:dyDescent="0.3">
      <c r="A347" s="18"/>
      <c r="B347" s="59" t="s">
        <v>107</v>
      </c>
      <c r="C347" s="59" t="s">
        <v>781</v>
      </c>
      <c r="D347" s="61">
        <v>0.77</v>
      </c>
      <c r="E347" s="61">
        <v>0.89</v>
      </c>
      <c r="F347" s="61">
        <v>0.93</v>
      </c>
      <c r="G347" s="61">
        <v>0.73</v>
      </c>
      <c r="H347" s="61">
        <v>0.78</v>
      </c>
      <c r="I347" s="61">
        <v>0.9</v>
      </c>
      <c r="J347" s="21"/>
      <c r="K347" s="21"/>
      <c r="L347" s="21"/>
      <c r="M347" s="21"/>
      <c r="N347" s="21"/>
      <c r="O347" s="21"/>
      <c r="P347" s="21"/>
      <c r="Q347" s="21"/>
      <c r="R347" s="21"/>
      <c r="S347" s="21"/>
      <c r="T347" s="21"/>
      <c r="U347" s="20"/>
    </row>
    <row r="348" spans="1:21" x14ac:dyDescent="0.3">
      <c r="A348" s="18"/>
      <c r="B348" s="21"/>
      <c r="C348" s="21"/>
      <c r="D348" s="21"/>
      <c r="E348" s="21"/>
      <c r="F348" s="21"/>
      <c r="G348" s="21"/>
      <c r="H348" s="21"/>
      <c r="I348" s="21"/>
      <c r="J348" s="21"/>
      <c r="K348" s="21"/>
      <c r="L348" s="21"/>
      <c r="M348" s="157" t="s">
        <v>779</v>
      </c>
      <c r="N348" s="157" t="s">
        <v>778</v>
      </c>
      <c r="O348" s="21"/>
      <c r="P348" s="21"/>
      <c r="Q348" s="21"/>
      <c r="R348" s="21"/>
      <c r="S348" s="21"/>
      <c r="T348" s="21"/>
      <c r="U348" s="20"/>
    </row>
    <row r="349" spans="1:21" x14ac:dyDescent="0.3">
      <c r="A349" s="18"/>
      <c r="B349" s="21"/>
      <c r="C349" s="21"/>
      <c r="D349" s="21"/>
      <c r="E349" s="21"/>
      <c r="F349" s="21"/>
      <c r="G349" s="21"/>
      <c r="H349" s="21"/>
      <c r="I349" s="21"/>
      <c r="J349" s="21"/>
      <c r="K349" s="21"/>
      <c r="L349" s="21"/>
      <c r="M349" s="157">
        <v>43155</v>
      </c>
      <c r="N349" s="157">
        <v>43192</v>
      </c>
      <c r="O349" s="21"/>
      <c r="P349" s="21"/>
      <c r="Q349" s="21"/>
      <c r="R349" s="21"/>
      <c r="S349" s="21"/>
      <c r="T349" s="21"/>
      <c r="U349" s="20"/>
    </row>
    <row r="350" spans="1:21" x14ac:dyDescent="0.3">
      <c r="A350" s="18"/>
      <c r="B350" s="21"/>
      <c r="C350" s="21"/>
      <c r="D350" s="21"/>
      <c r="E350" s="21"/>
      <c r="F350" s="21"/>
      <c r="G350" s="21"/>
      <c r="H350" s="21"/>
      <c r="I350" s="21"/>
      <c r="J350" s="21"/>
      <c r="K350" s="156" t="s">
        <v>784</v>
      </c>
      <c r="L350" s="156" t="s">
        <v>107</v>
      </c>
      <c r="M350" s="30">
        <f t="array" ref="M350:N351">_xll.U.GRID_LOOKUP(K350:L351,M348:N349,B340:I347,S341:T342,P341:Q342)</f>
        <v>0.78</v>
      </c>
      <c r="N350" s="30">
        <v>0.89</v>
      </c>
      <c r="O350" s="21"/>
      <c r="P350" s="21"/>
      <c r="Q350" s="21"/>
      <c r="R350" s="21"/>
      <c r="S350" s="21"/>
      <c r="T350" s="21"/>
      <c r="U350" s="20"/>
    </row>
    <row r="351" spans="1:21" x14ac:dyDescent="0.3">
      <c r="A351" s="18"/>
      <c r="B351" s="21"/>
      <c r="C351" s="21"/>
      <c r="D351" s="21"/>
      <c r="E351" s="21"/>
      <c r="F351" s="21"/>
      <c r="G351" s="21"/>
      <c r="H351" s="21"/>
      <c r="I351" s="21"/>
      <c r="J351" s="21"/>
      <c r="K351" s="156" t="s">
        <v>780</v>
      </c>
      <c r="L351" s="156" t="s">
        <v>256</v>
      </c>
      <c r="M351" s="30">
        <v>1.36</v>
      </c>
      <c r="N351" s="30">
        <v>1.37</v>
      </c>
      <c r="O351" s="21"/>
      <c r="P351" s="21"/>
      <c r="Q351" s="21"/>
      <c r="R351" s="21"/>
      <c r="S351" s="21"/>
      <c r="T351" s="21"/>
      <c r="U351" s="20"/>
    </row>
    <row r="352" spans="1:21" x14ac:dyDescent="0.3">
      <c r="A352" s="18"/>
      <c r="B352" s="21"/>
      <c r="C352" s="21"/>
      <c r="D352" s="21"/>
      <c r="E352" s="21"/>
      <c r="F352" s="21"/>
      <c r="G352" s="21"/>
      <c r="H352" s="21"/>
      <c r="I352" s="21"/>
      <c r="J352" s="21"/>
      <c r="K352" s="21"/>
      <c r="L352" s="21"/>
      <c r="M352" s="21"/>
      <c r="N352" s="21"/>
      <c r="O352" s="21"/>
      <c r="P352" s="21"/>
      <c r="Q352" s="21"/>
      <c r="R352" s="21"/>
      <c r="S352" s="21"/>
      <c r="T352" s="21"/>
      <c r="U352" s="20"/>
    </row>
    <row r="353" spans="1:21" x14ac:dyDescent="0.3">
      <c r="A353" s="18"/>
      <c r="B353" s="21"/>
      <c r="C353" s="21"/>
      <c r="D353" s="21"/>
      <c r="E353" s="21"/>
      <c r="F353" s="21"/>
      <c r="G353" s="21"/>
      <c r="H353" s="21"/>
      <c r="I353" s="21"/>
      <c r="J353" s="21"/>
      <c r="K353" s="21"/>
      <c r="L353" s="21"/>
      <c r="M353" s="21"/>
      <c r="N353" s="21"/>
      <c r="O353" s="21"/>
      <c r="P353" s="21"/>
      <c r="Q353" s="21"/>
      <c r="R353" s="21"/>
      <c r="S353" s="21"/>
      <c r="T353" s="21"/>
      <c r="U353" s="20"/>
    </row>
    <row r="354" spans="1:21" x14ac:dyDescent="0.3">
      <c r="A354" s="18"/>
      <c r="B354" s="21"/>
      <c r="C354" s="21"/>
      <c r="D354" s="21"/>
      <c r="E354" s="21"/>
      <c r="F354" s="21"/>
      <c r="G354" s="21"/>
      <c r="H354" s="21"/>
      <c r="I354" s="21"/>
      <c r="J354" s="21"/>
      <c r="K354" s="21"/>
      <c r="L354" s="21"/>
      <c r="M354" s="21"/>
      <c r="N354" s="21"/>
      <c r="O354" s="21"/>
      <c r="P354" s="21"/>
      <c r="Q354" s="21"/>
      <c r="R354" s="21"/>
      <c r="S354" s="21"/>
      <c r="T354" s="21"/>
      <c r="U354" s="20"/>
    </row>
    <row r="355" spans="1:21" x14ac:dyDescent="0.3">
      <c r="A355" s="18"/>
      <c r="B355" s="21"/>
      <c r="C355" s="21"/>
      <c r="D355" s="21"/>
      <c r="E355" s="21"/>
      <c r="F355" s="21"/>
      <c r="G355" s="21"/>
      <c r="H355" s="21"/>
      <c r="I355" s="21"/>
      <c r="J355" s="21"/>
      <c r="K355" s="21"/>
      <c r="L355" s="21"/>
      <c r="M355" s="21"/>
      <c r="N355" s="21"/>
      <c r="O355" s="21"/>
      <c r="P355" s="21"/>
      <c r="Q355" s="21"/>
      <c r="R355" s="21"/>
      <c r="S355" s="21"/>
      <c r="T355" s="21"/>
      <c r="U355" s="20"/>
    </row>
    <row r="356" spans="1:21" x14ac:dyDescent="0.3">
      <c r="A356" s="18"/>
      <c r="B356" s="21"/>
      <c r="C356" s="21"/>
      <c r="D356" s="21"/>
      <c r="E356" s="21"/>
      <c r="F356" s="21"/>
      <c r="G356" s="21"/>
      <c r="H356" s="21"/>
      <c r="I356" s="21"/>
      <c r="J356" s="21"/>
      <c r="K356" s="21"/>
      <c r="L356" s="21"/>
      <c r="M356" s="21"/>
      <c r="N356" s="21"/>
      <c r="O356" s="21"/>
      <c r="P356" s="21"/>
      <c r="Q356" s="21"/>
      <c r="R356" s="21"/>
      <c r="S356" s="21"/>
      <c r="T356" s="21"/>
      <c r="U356" s="20"/>
    </row>
    <row r="357" spans="1:21" x14ac:dyDescent="0.3">
      <c r="A357" s="18"/>
      <c r="B357" s="21"/>
      <c r="C357" s="21"/>
      <c r="D357" s="21"/>
      <c r="E357" s="21"/>
      <c r="F357" s="21"/>
      <c r="G357" s="21"/>
      <c r="H357" s="21"/>
      <c r="I357" s="21"/>
      <c r="J357" s="21"/>
      <c r="K357" s="21"/>
      <c r="L357" s="21"/>
      <c r="M357" s="21"/>
      <c r="N357" s="21"/>
      <c r="O357" s="21"/>
      <c r="P357" s="21"/>
      <c r="Q357" s="21"/>
      <c r="R357" s="21"/>
      <c r="S357" s="21"/>
      <c r="T357" s="21"/>
      <c r="U357" s="20"/>
    </row>
    <row r="358" spans="1:21" x14ac:dyDescent="0.3">
      <c r="A358" s="18"/>
      <c r="B358" s="21"/>
      <c r="C358" s="21"/>
      <c r="D358" s="21"/>
      <c r="E358" s="21"/>
      <c r="F358" s="21"/>
      <c r="G358" s="21"/>
      <c r="H358" s="21"/>
      <c r="I358" s="21"/>
      <c r="J358" s="21"/>
      <c r="K358" s="21"/>
      <c r="L358" s="21"/>
      <c r="M358" s="21"/>
      <c r="N358" s="21"/>
      <c r="O358" s="21"/>
      <c r="P358" s="21"/>
      <c r="Q358" s="21"/>
      <c r="R358" s="21"/>
      <c r="S358" s="21"/>
      <c r="T358" s="21"/>
      <c r="U358" s="20"/>
    </row>
    <row r="359" spans="1:21" x14ac:dyDescent="0.3">
      <c r="A359" s="18"/>
      <c r="B359" s="21"/>
      <c r="C359" s="21"/>
      <c r="D359" s="21"/>
      <c r="E359" s="21"/>
      <c r="F359" s="21"/>
      <c r="G359" s="21"/>
      <c r="H359" s="21"/>
      <c r="I359" s="21"/>
      <c r="J359" s="21"/>
      <c r="K359" s="21"/>
      <c r="L359" s="21"/>
      <c r="M359" s="21"/>
      <c r="N359" s="21"/>
      <c r="O359" s="21"/>
      <c r="P359" s="21"/>
      <c r="Q359" s="21"/>
      <c r="R359" s="21"/>
      <c r="S359" s="21"/>
      <c r="T359" s="21"/>
      <c r="U359" s="20"/>
    </row>
    <row r="360" spans="1:21" x14ac:dyDescent="0.3">
      <c r="A360" s="18"/>
      <c r="B360" s="21"/>
      <c r="C360" s="21"/>
      <c r="D360" s="21"/>
      <c r="E360" s="21"/>
      <c r="F360" s="21"/>
      <c r="G360" s="21"/>
      <c r="H360" s="21"/>
      <c r="I360" s="21"/>
      <c r="J360" s="21"/>
      <c r="K360" s="21"/>
      <c r="L360" s="21"/>
      <c r="M360" s="21"/>
      <c r="N360" s="21"/>
      <c r="O360" s="21"/>
      <c r="P360" s="21"/>
      <c r="Q360" s="21"/>
      <c r="R360" s="21"/>
      <c r="S360" s="21"/>
      <c r="T360" s="21"/>
      <c r="U360" s="20"/>
    </row>
    <row r="361" spans="1:21" x14ac:dyDescent="0.3">
      <c r="A361" s="18"/>
      <c r="B361" s="21"/>
      <c r="C361" s="21"/>
      <c r="D361" s="21"/>
      <c r="E361" s="21"/>
      <c r="F361" s="21"/>
      <c r="G361" s="21"/>
      <c r="H361" s="21"/>
      <c r="I361" s="21"/>
      <c r="J361" s="492" t="s">
        <v>1052</v>
      </c>
      <c r="K361" s="493"/>
      <c r="L361" s="21"/>
      <c r="M361" s="492" t="s">
        <v>1016</v>
      </c>
      <c r="N361" s="493"/>
      <c r="O361" s="21"/>
      <c r="P361" s="21"/>
      <c r="Q361" s="21"/>
      <c r="R361" s="21"/>
      <c r="S361" s="21"/>
      <c r="T361" s="21"/>
      <c r="U361" s="20"/>
    </row>
    <row r="362" spans="1:21" x14ac:dyDescent="0.3">
      <c r="A362" s="18"/>
      <c r="B362" s="21"/>
      <c r="C362" s="21"/>
      <c r="D362" s="21"/>
      <c r="E362" s="21"/>
      <c r="F362" s="21"/>
      <c r="G362" s="21"/>
      <c r="H362" s="21"/>
      <c r="I362" s="21"/>
      <c r="J362" s="156" t="s">
        <v>784</v>
      </c>
      <c r="K362" s="156" t="s">
        <v>107</v>
      </c>
      <c r="L362" s="21"/>
      <c r="M362" s="157" t="s">
        <v>779</v>
      </c>
      <c r="N362" s="157" t="s">
        <v>778</v>
      </c>
      <c r="O362" s="21"/>
      <c r="P362" s="21"/>
      <c r="Q362" s="21"/>
      <c r="R362" s="21"/>
      <c r="S362" s="21"/>
      <c r="T362" s="21"/>
      <c r="U362" s="20"/>
    </row>
    <row r="363" spans="1:21" x14ac:dyDescent="0.3">
      <c r="A363" s="18"/>
      <c r="B363" s="21"/>
      <c r="C363" s="21"/>
      <c r="D363" s="21"/>
      <c r="E363" s="21"/>
      <c r="F363" s="21"/>
      <c r="G363" s="21"/>
      <c r="H363" s="21"/>
      <c r="I363" s="21"/>
      <c r="J363" s="156" t="s">
        <v>780</v>
      </c>
      <c r="K363" s="156" t="s">
        <v>256</v>
      </c>
      <c r="L363" s="21"/>
      <c r="M363" s="157">
        <v>43155</v>
      </c>
      <c r="N363" s="157">
        <v>43192</v>
      </c>
      <c r="O363" s="21"/>
      <c r="P363" s="21"/>
      <c r="Q363" s="21"/>
      <c r="R363" s="21"/>
      <c r="S363" s="21"/>
      <c r="T363" s="21"/>
      <c r="U363" s="20"/>
    </row>
    <row r="364" spans="1:21" x14ac:dyDescent="0.3">
      <c r="A364" s="18"/>
      <c r="B364" s="21"/>
      <c r="C364" s="21"/>
      <c r="D364" s="21"/>
      <c r="E364" s="21"/>
      <c r="F364" s="21"/>
      <c r="G364" s="21"/>
      <c r="H364" s="21"/>
      <c r="I364" s="21"/>
      <c r="J364" s="21"/>
      <c r="K364" s="21"/>
      <c r="L364" s="21"/>
      <c r="M364" s="21"/>
      <c r="N364" s="21"/>
      <c r="O364" s="21"/>
      <c r="P364" s="21"/>
      <c r="Q364" s="21"/>
      <c r="R364" s="21"/>
      <c r="S364" s="21"/>
      <c r="T364" s="21"/>
      <c r="U364" s="20"/>
    </row>
    <row r="365" spans="1:21" x14ac:dyDescent="0.3">
      <c r="A365" s="18"/>
      <c r="B365" s="21"/>
      <c r="C365" s="21"/>
      <c r="D365" s="21"/>
      <c r="E365" s="21"/>
      <c r="F365" s="21"/>
      <c r="G365" s="21"/>
      <c r="H365" s="21"/>
      <c r="I365" s="21"/>
      <c r="J365" s="21"/>
      <c r="K365" s="21"/>
      <c r="L365" s="21"/>
      <c r="M365" s="21"/>
      <c r="N365" s="21"/>
      <c r="O365" s="21"/>
      <c r="P365" s="21"/>
      <c r="Q365" s="21"/>
      <c r="R365" s="21"/>
      <c r="S365" s="21"/>
      <c r="T365" s="21"/>
      <c r="U365" s="20"/>
    </row>
    <row r="366" spans="1:21" x14ac:dyDescent="0.3">
      <c r="A366" s="18"/>
      <c r="B366" s="21"/>
      <c r="C366" s="21"/>
      <c r="D366" s="21"/>
      <c r="E366" s="21"/>
      <c r="F366" s="21"/>
      <c r="G366" s="21"/>
      <c r="H366" s="21"/>
      <c r="I366" s="21"/>
      <c r="J366" s="21"/>
      <c r="K366" s="21"/>
      <c r="L366" s="21"/>
      <c r="M366" s="21"/>
      <c r="N366" s="21"/>
      <c r="O366" s="21"/>
      <c r="P366" s="21"/>
      <c r="Q366" s="21"/>
      <c r="R366" s="21"/>
      <c r="S366" s="21"/>
      <c r="T366" s="21"/>
      <c r="U366" s="20"/>
    </row>
    <row r="367" spans="1:21" x14ac:dyDescent="0.3">
      <c r="A367" s="18"/>
      <c r="B367" s="21"/>
      <c r="C367" s="21"/>
      <c r="D367" s="21"/>
      <c r="E367" s="21"/>
      <c r="F367" s="21"/>
      <c r="G367" s="21"/>
      <c r="H367" s="21"/>
      <c r="I367" s="21"/>
      <c r="J367" s="21"/>
      <c r="K367" s="21" t="str">
        <f t="array" ref="K367:N370">_xll.U.GRID_LOOKUP(K350:L351,M348:N349,B340:I347,S341:T342,P341:Q342,TRUE)</f>
        <v/>
      </c>
      <c r="L367" s="21" t="str">
        <v/>
      </c>
      <c r="M367" s="3" t="str">
        <v>HSBC</v>
      </c>
      <c r="N367" s="3" t="str">
        <v>GS</v>
      </c>
      <c r="O367" s="21"/>
      <c r="P367" s="21"/>
      <c r="Q367" s="21"/>
      <c r="R367" s="21"/>
      <c r="S367" s="21"/>
      <c r="T367" s="21"/>
      <c r="U367" s="20"/>
    </row>
    <row r="368" spans="1:21" x14ac:dyDescent="0.3">
      <c r="A368" s="18"/>
      <c r="B368" s="21"/>
      <c r="C368" s="21"/>
      <c r="D368" s="21"/>
      <c r="E368" s="21"/>
      <c r="F368" s="21"/>
      <c r="G368" s="21"/>
      <c r="H368" s="21"/>
      <c r="I368" s="21"/>
      <c r="J368" s="21"/>
      <c r="K368" s="21" t="str">
        <v/>
      </c>
      <c r="L368" s="21" t="str">
        <v/>
      </c>
      <c r="M368" s="195">
        <v>43155</v>
      </c>
      <c r="N368" s="195">
        <v>43192</v>
      </c>
      <c r="O368" s="21"/>
      <c r="P368" s="21"/>
      <c r="Q368" s="21"/>
      <c r="R368" s="21"/>
      <c r="S368" s="21"/>
      <c r="T368" s="21"/>
      <c r="U368" s="20"/>
    </row>
    <row r="369" spans="1:21" x14ac:dyDescent="0.3">
      <c r="A369" s="18"/>
      <c r="B369" s="21"/>
      <c r="C369" s="21"/>
      <c r="D369" s="21"/>
      <c r="E369" s="21"/>
      <c r="F369" s="21"/>
      <c r="G369" s="21"/>
      <c r="H369" s="21"/>
      <c r="I369" s="21"/>
      <c r="J369" s="21"/>
      <c r="K369" s="3" t="str">
        <v>f*</v>
      </c>
      <c r="L369" s="3" t="str">
        <v>IBM</v>
      </c>
      <c r="M369" s="30">
        <v>0.78</v>
      </c>
      <c r="N369" s="30">
        <v>0.89</v>
      </c>
      <c r="O369" s="21"/>
      <c r="P369" s="21"/>
      <c r="Q369" s="21"/>
      <c r="R369" s="21"/>
      <c r="S369" s="21"/>
      <c r="T369" s="21"/>
      <c r="U369" s="20"/>
    </row>
    <row r="370" spans="1:21" x14ac:dyDescent="0.3">
      <c r="A370" s="18"/>
      <c r="B370" s="21"/>
      <c r="C370" s="21"/>
      <c r="D370" s="21"/>
      <c r="E370" s="21"/>
      <c r="F370" s="21"/>
      <c r="G370" s="21"/>
      <c r="H370" s="21"/>
      <c r="I370" s="21"/>
      <c r="J370" s="21"/>
      <c r="K370" s="3" t="str">
        <v>early</v>
      </c>
      <c r="L370" s="3" t="str">
        <v>MSFT</v>
      </c>
      <c r="M370" s="30">
        <v>1.36</v>
      </c>
      <c r="N370" s="30">
        <v>1.37</v>
      </c>
      <c r="O370" s="21"/>
      <c r="P370" s="21"/>
      <c r="Q370" s="21"/>
      <c r="R370" s="21"/>
      <c r="S370" s="21"/>
      <c r="T370" s="21"/>
      <c r="U370" s="20"/>
    </row>
    <row r="371" spans="1:21" x14ac:dyDescent="0.3">
      <c r="A371" s="18"/>
      <c r="B371" s="21"/>
      <c r="C371" s="21"/>
      <c r="D371" s="21"/>
      <c r="E371" s="21"/>
      <c r="F371" s="21"/>
      <c r="G371" s="21"/>
      <c r="H371" s="21"/>
      <c r="I371" s="21"/>
      <c r="J371" s="21"/>
      <c r="K371" s="21"/>
      <c r="L371" s="21"/>
      <c r="M371" s="21"/>
      <c r="N371" s="21"/>
      <c r="O371" s="21"/>
      <c r="P371" s="21"/>
      <c r="Q371" s="21"/>
      <c r="R371" s="21"/>
      <c r="S371" s="21"/>
      <c r="T371" s="21"/>
      <c r="U371" s="20"/>
    </row>
    <row r="372" spans="1:21" x14ac:dyDescent="0.3">
      <c r="A372" s="18"/>
      <c r="B372" s="21"/>
      <c r="C372" s="21"/>
      <c r="D372" s="21"/>
      <c r="E372" s="21"/>
      <c r="F372" s="21"/>
      <c r="G372" s="21"/>
      <c r="H372" s="21"/>
      <c r="I372" s="21"/>
      <c r="J372" s="21"/>
      <c r="K372" s="21"/>
      <c r="L372" s="21"/>
      <c r="M372" s="21"/>
      <c r="N372" s="21"/>
      <c r="O372" s="21"/>
      <c r="P372" s="21"/>
      <c r="Q372" s="21"/>
      <c r="R372" s="21"/>
      <c r="S372" s="21"/>
      <c r="T372" s="21"/>
      <c r="U372" s="20"/>
    </row>
    <row r="373" spans="1:21" x14ac:dyDescent="0.3">
      <c r="A373" s="18"/>
      <c r="B373" s="21"/>
      <c r="C373" s="21"/>
      <c r="D373" s="21"/>
      <c r="E373" s="21"/>
      <c r="F373" s="21"/>
      <c r="G373" s="21"/>
      <c r="H373" s="21"/>
      <c r="I373" s="21"/>
      <c r="J373" s="21"/>
      <c r="K373" s="21"/>
      <c r="L373" s="21"/>
      <c r="M373" s="21"/>
      <c r="N373" s="21"/>
      <c r="O373" s="21"/>
      <c r="P373" s="21"/>
      <c r="Q373" s="21"/>
      <c r="R373" s="21"/>
      <c r="S373" s="21"/>
      <c r="T373" s="21"/>
      <c r="U373" s="20"/>
    </row>
    <row r="374" spans="1:21" x14ac:dyDescent="0.3">
      <c r="A374" s="18"/>
      <c r="B374" s="21"/>
      <c r="C374" s="21"/>
      <c r="D374" s="21"/>
      <c r="E374" s="21"/>
      <c r="F374" s="21"/>
      <c r="G374" s="21"/>
      <c r="H374" s="21"/>
      <c r="I374" s="21"/>
      <c r="J374" s="21"/>
      <c r="K374" s="21"/>
      <c r="L374" s="157">
        <v>43159</v>
      </c>
      <c r="M374" s="157">
        <v>43166</v>
      </c>
      <c r="N374" s="21"/>
      <c r="O374" s="21"/>
      <c r="P374" s="21"/>
      <c r="Q374" s="21"/>
      <c r="R374" s="21"/>
      <c r="S374" s="21"/>
      <c r="T374" s="21"/>
      <c r="U374" s="20"/>
    </row>
    <row r="375" spans="1:21" x14ac:dyDescent="0.3">
      <c r="A375" s="18"/>
      <c r="B375" s="21"/>
      <c r="C375" s="21"/>
      <c r="D375" s="21"/>
      <c r="E375" s="21"/>
      <c r="F375" s="21"/>
      <c r="G375" s="21"/>
      <c r="H375" s="21"/>
      <c r="I375" s="21"/>
      <c r="J375" s="21"/>
      <c r="K375" s="156" t="s">
        <v>183</v>
      </c>
      <c r="L375" s="30">
        <f t="array" ref="L375:M376">_xll.U.GRID_LOOKUP(K375:K376,L374:M374,B303:H308,,,,"")</f>
        <v>187.81</v>
      </c>
      <c r="M375" s="30" t="str">
        <v/>
      </c>
      <c r="N375" s="21"/>
      <c r="O375" s="21"/>
      <c r="P375" s="21"/>
      <c r="Q375" s="21"/>
      <c r="R375" s="21"/>
      <c r="S375" s="21"/>
      <c r="T375" s="21"/>
      <c r="U375" s="20"/>
    </row>
    <row r="376" spans="1:21" x14ac:dyDescent="0.3">
      <c r="A376" s="18"/>
      <c r="B376" s="21"/>
      <c r="C376" s="21"/>
      <c r="D376" s="21"/>
      <c r="E376" s="21"/>
      <c r="F376" s="21"/>
      <c r="G376" s="21"/>
      <c r="H376" s="21"/>
      <c r="I376" s="21"/>
      <c r="J376" s="21"/>
      <c r="K376" s="156" t="s">
        <v>106</v>
      </c>
      <c r="L376" s="30">
        <v>176.04000000000002</v>
      </c>
      <c r="M376" s="30" t="str">
        <v/>
      </c>
      <c r="N376" s="21"/>
      <c r="O376" s="21"/>
      <c r="P376" s="21"/>
      <c r="Q376" s="21"/>
      <c r="R376" s="21"/>
      <c r="S376" s="21"/>
      <c r="T376" s="21"/>
      <c r="U376" s="20"/>
    </row>
    <row r="377" spans="1:21" x14ac:dyDescent="0.3">
      <c r="A377" s="18"/>
      <c r="B377" s="21"/>
      <c r="C377" s="21"/>
      <c r="D377" s="21"/>
      <c r="E377" s="21"/>
      <c r="F377" s="21"/>
      <c r="G377" s="21"/>
      <c r="H377" s="21"/>
      <c r="I377" s="21"/>
      <c r="J377" s="21"/>
      <c r="K377" s="21"/>
      <c r="L377" s="21"/>
      <c r="M377" s="21"/>
      <c r="N377" s="21"/>
      <c r="O377" s="21"/>
      <c r="P377" s="21"/>
      <c r="Q377" s="21"/>
      <c r="R377" s="21"/>
      <c r="S377" s="21"/>
      <c r="T377" s="21"/>
      <c r="U377" s="20"/>
    </row>
    <row r="378" spans="1:21" x14ac:dyDescent="0.3">
      <c r="A378" s="18"/>
      <c r="B378" s="21"/>
      <c r="C378" s="21"/>
      <c r="D378" s="21"/>
      <c r="E378" s="21"/>
      <c r="F378" s="21"/>
      <c r="G378" s="21"/>
      <c r="H378" s="67"/>
      <c r="I378" s="67"/>
      <c r="J378" s="67"/>
      <c r="K378" s="67"/>
      <c r="L378" s="67"/>
      <c r="M378" s="67"/>
      <c r="N378" s="67"/>
      <c r="O378" s="67"/>
      <c r="P378" s="67"/>
      <c r="Q378" s="67"/>
      <c r="R378" s="67"/>
      <c r="S378" s="67"/>
      <c r="T378" s="21"/>
      <c r="U378" s="20"/>
    </row>
    <row r="379" spans="1:21" x14ac:dyDescent="0.3">
      <c r="A379" s="18"/>
      <c r="B379" s="21"/>
      <c r="C379" s="21"/>
      <c r="D379" s="21"/>
      <c r="E379" s="21"/>
      <c r="F379" s="21"/>
      <c r="G379" s="21"/>
      <c r="H379" s="21"/>
      <c r="I379" s="21"/>
      <c r="J379" s="21"/>
      <c r="K379" s="21"/>
      <c r="L379" s="21"/>
      <c r="M379" s="21"/>
      <c r="N379" s="21"/>
      <c r="O379" s="21"/>
      <c r="P379" s="21"/>
      <c r="Q379" s="21"/>
      <c r="R379" s="21"/>
      <c r="S379" s="21"/>
      <c r="T379" s="21"/>
      <c r="U379" s="20"/>
    </row>
    <row r="380" spans="1:21" x14ac:dyDescent="0.3">
      <c r="A380" s="18"/>
      <c r="B380" s="21"/>
      <c r="C380" s="492" t="s">
        <v>631</v>
      </c>
      <c r="D380" s="529"/>
      <c r="E380" s="529"/>
      <c r="F380" s="529"/>
      <c r="G380" s="529"/>
      <c r="H380" s="493"/>
      <c r="I380" s="21"/>
      <c r="J380" s="21"/>
      <c r="K380" s="21"/>
      <c r="L380" s="21"/>
      <c r="M380" s="21"/>
      <c r="N380" s="21"/>
      <c r="O380" s="21"/>
      <c r="P380" s="21"/>
      <c r="Q380" s="21"/>
      <c r="R380" s="21"/>
      <c r="S380" s="21"/>
      <c r="T380" s="21"/>
      <c r="U380" s="20"/>
    </row>
    <row r="381" spans="1:21" x14ac:dyDescent="0.3">
      <c r="A381" s="18"/>
      <c r="B381" s="21"/>
      <c r="C381" s="155">
        <v>43157</v>
      </c>
      <c r="D381" s="155">
        <v>43158</v>
      </c>
      <c r="E381" s="155">
        <v>43159</v>
      </c>
      <c r="F381" s="155">
        <v>43160</v>
      </c>
      <c r="G381" s="155">
        <v>43161</v>
      </c>
      <c r="H381" s="155">
        <v>43164</v>
      </c>
      <c r="I381" s="21"/>
      <c r="J381" s="21" t="str">
        <f t="array" ref="J381:P386">_xll.U.GRID_LOOKUP("replace()",B381:H386,B391:F394)</f>
        <v/>
      </c>
      <c r="K381" s="195">
        <v>43157</v>
      </c>
      <c r="L381" s="195">
        <v>43158</v>
      </c>
      <c r="M381" s="195">
        <v>43159</v>
      </c>
      <c r="N381" s="195">
        <v>43160</v>
      </c>
      <c r="O381" s="195">
        <v>43161</v>
      </c>
      <c r="P381" s="195">
        <v>43164</v>
      </c>
      <c r="Q381" s="21"/>
      <c r="R381" s="21"/>
      <c r="S381" s="21"/>
      <c r="T381" s="21"/>
      <c r="U381" s="20"/>
    </row>
    <row r="382" spans="1:21" x14ac:dyDescent="0.3">
      <c r="A382" s="18"/>
      <c r="B382" s="59" t="s">
        <v>106</v>
      </c>
      <c r="C382" s="61">
        <v>175.4</v>
      </c>
      <c r="D382" s="61">
        <v>175.96</v>
      </c>
      <c r="E382" s="61">
        <v>176.04000000000002</v>
      </c>
      <c r="F382" s="61">
        <v>176.84000000000003</v>
      </c>
      <c r="G382" s="61">
        <v>176.64000000000004</v>
      </c>
      <c r="H382" s="61">
        <v>176.05000000000004</v>
      </c>
      <c r="I382" s="21"/>
      <c r="J382" s="3" t="str">
        <v>AAPL</v>
      </c>
      <c r="K382" s="319" t="str">
        <v>AAPL-20180226</v>
      </c>
      <c r="L382" s="30">
        <v>175.96</v>
      </c>
      <c r="M382" s="30">
        <v>176.04000000000002</v>
      </c>
      <c r="N382" s="319" t="str">
        <v>AAPL-20180301</v>
      </c>
      <c r="O382" s="30">
        <v>176.64000000000004</v>
      </c>
      <c r="P382" s="319" t="str">
        <v>AAPL-20180305</v>
      </c>
      <c r="Q382" s="21"/>
      <c r="R382" s="21"/>
      <c r="S382" s="21"/>
      <c r="T382" s="21"/>
      <c r="U382" s="20"/>
    </row>
    <row r="383" spans="1:21" x14ac:dyDescent="0.3">
      <c r="A383" s="18"/>
      <c r="B383" s="59" t="s">
        <v>107</v>
      </c>
      <c r="C383" s="61">
        <v>154.79</v>
      </c>
      <c r="D383" s="61">
        <v>152.54</v>
      </c>
      <c r="E383" s="61">
        <v>154.51</v>
      </c>
      <c r="F383" s="61">
        <v>154.64999999999998</v>
      </c>
      <c r="G383" s="61">
        <v>151.65999999999997</v>
      </c>
      <c r="H383" s="61">
        <v>153.88999999999996</v>
      </c>
      <c r="I383" s="21"/>
      <c r="J383" s="3" t="str">
        <v>IBM</v>
      </c>
      <c r="K383" s="30">
        <v>154.79</v>
      </c>
      <c r="L383" s="30">
        <v>152.54</v>
      </c>
      <c r="M383" s="30">
        <v>154.51</v>
      </c>
      <c r="N383" s="30">
        <v>154.64999999999998</v>
      </c>
      <c r="O383" s="30">
        <v>151.65999999999997</v>
      </c>
      <c r="P383" s="30">
        <v>153.88999999999996</v>
      </c>
      <c r="Q383" s="21"/>
      <c r="R383" s="21"/>
      <c r="S383" s="21"/>
      <c r="T383" s="21"/>
      <c r="U383" s="20"/>
    </row>
    <row r="384" spans="1:21" x14ac:dyDescent="0.3">
      <c r="A384" s="18"/>
      <c r="B384" s="59" t="s">
        <v>256</v>
      </c>
      <c r="C384" s="61">
        <v>94.06</v>
      </c>
      <c r="D384" s="61">
        <v>95.54</v>
      </c>
      <c r="E384" s="61">
        <v>94.81</v>
      </c>
      <c r="F384" s="61">
        <v>94.43</v>
      </c>
      <c r="G384" s="61">
        <v>91.64</v>
      </c>
      <c r="H384" s="61">
        <v>93.8</v>
      </c>
      <c r="I384" s="21"/>
      <c r="J384" s="3" t="str">
        <v>MSFT</v>
      </c>
      <c r="K384" s="319" t="str">
        <v>MSFT-20180226</v>
      </c>
      <c r="L384" s="30">
        <v>95.54</v>
      </c>
      <c r="M384" s="30">
        <v>94.81</v>
      </c>
      <c r="N384" s="319" t="str">
        <v>MSFT-20180301</v>
      </c>
      <c r="O384" s="30">
        <v>91.64</v>
      </c>
      <c r="P384" s="319">
        <v>93.8</v>
      </c>
      <c r="Q384" s="21"/>
      <c r="R384" s="21"/>
      <c r="S384" s="21"/>
      <c r="T384" s="21"/>
      <c r="U384" s="20"/>
    </row>
    <row r="385" spans="1:21" x14ac:dyDescent="0.3">
      <c r="A385" s="18"/>
      <c r="B385" s="59" t="s">
        <v>183</v>
      </c>
      <c r="C385" s="61">
        <v>183.3</v>
      </c>
      <c r="D385" s="61">
        <v>185.12</v>
      </c>
      <c r="E385" s="61">
        <v>187.81</v>
      </c>
      <c r="F385" s="61">
        <v>185.59</v>
      </c>
      <c r="G385" s="61">
        <v>185.98</v>
      </c>
      <c r="H385" s="61">
        <v>186.98</v>
      </c>
      <c r="I385" s="21"/>
      <c r="J385" s="3" t="str">
        <v>FB</v>
      </c>
      <c r="K385" s="30">
        <v>183.3</v>
      </c>
      <c r="L385" s="30">
        <v>185.12</v>
      </c>
      <c r="M385" s="30">
        <v>187.81</v>
      </c>
      <c r="N385" s="30">
        <v>185.59</v>
      </c>
      <c r="O385" s="30">
        <v>185.98</v>
      </c>
      <c r="P385" s="30">
        <v>186.98</v>
      </c>
      <c r="Q385" s="21"/>
      <c r="R385" s="21"/>
      <c r="S385" s="21"/>
      <c r="T385" s="21"/>
      <c r="U385" s="20"/>
    </row>
    <row r="386" spans="1:21" x14ac:dyDescent="0.3">
      <c r="A386" s="18"/>
      <c r="B386" s="59" t="s">
        <v>628</v>
      </c>
      <c r="C386" s="61">
        <v>40.909999999999997</v>
      </c>
      <c r="D386" s="61">
        <v>43.76</v>
      </c>
      <c r="E386" s="61">
        <v>44.01</v>
      </c>
      <c r="F386" s="61">
        <v>42.78</v>
      </c>
      <c r="G386" s="61">
        <v>44.21</v>
      </c>
      <c r="H386" s="61">
        <v>45.7</v>
      </c>
      <c r="I386" s="21"/>
      <c r="J386" s="3" t="str">
        <v>GM</v>
      </c>
      <c r="K386" s="30">
        <v>40.909999999999997</v>
      </c>
      <c r="L386" s="30">
        <v>43.76</v>
      </c>
      <c r="M386" s="30">
        <v>44.01</v>
      </c>
      <c r="N386" s="30">
        <v>42.78</v>
      </c>
      <c r="O386" s="30">
        <v>44.21</v>
      </c>
      <c r="P386" s="30">
        <v>45.7</v>
      </c>
      <c r="Q386" s="21"/>
      <c r="R386" s="21"/>
      <c r="S386" s="21"/>
      <c r="T386" s="21"/>
      <c r="U386" s="20"/>
    </row>
    <row r="387" spans="1:21" x14ac:dyDescent="0.3">
      <c r="A387" s="18"/>
      <c r="B387" s="21"/>
      <c r="C387" s="21"/>
      <c r="D387" s="21"/>
      <c r="E387" s="21"/>
      <c r="F387" s="21"/>
      <c r="G387" s="21"/>
      <c r="H387" s="21"/>
      <c r="I387" s="21"/>
      <c r="J387" s="21"/>
      <c r="K387" s="21"/>
      <c r="L387" s="21"/>
      <c r="M387" s="21"/>
      <c r="N387" s="21"/>
      <c r="O387" s="21"/>
      <c r="P387" s="21"/>
      <c r="Q387" s="21"/>
      <c r="R387" s="21"/>
      <c r="S387" s="21"/>
      <c r="T387" s="21"/>
      <c r="U387" s="20"/>
    </row>
    <row r="388" spans="1:21" x14ac:dyDescent="0.3">
      <c r="A388" s="18"/>
      <c r="B388" s="21"/>
      <c r="C388" s="21"/>
      <c r="D388" s="21"/>
      <c r="E388" s="21"/>
      <c r="F388" s="21"/>
      <c r="G388" s="21"/>
      <c r="H388" s="21"/>
      <c r="I388" s="21"/>
      <c r="J388" s="21"/>
      <c r="K388" s="21"/>
      <c r="L388" s="21"/>
      <c r="M388" s="21"/>
      <c r="N388" s="21"/>
      <c r="O388" s="21"/>
      <c r="P388" s="21"/>
      <c r="Q388" s="21"/>
      <c r="R388" s="21"/>
      <c r="S388" s="21"/>
      <c r="T388" s="21"/>
      <c r="U388" s="20"/>
    </row>
    <row r="389" spans="1:21" x14ac:dyDescent="0.3">
      <c r="A389" s="18"/>
      <c r="B389" s="21"/>
      <c r="C389" s="21"/>
      <c r="D389" s="21"/>
      <c r="E389" s="21"/>
      <c r="F389" s="21"/>
      <c r="G389" s="21"/>
      <c r="H389" s="21"/>
      <c r="I389" s="21"/>
      <c r="J389" s="21"/>
      <c r="K389" s="21"/>
      <c r="L389" s="21"/>
      <c r="M389" s="21"/>
      <c r="N389" s="21"/>
      <c r="O389" s="21"/>
      <c r="P389" s="21"/>
      <c r="Q389" s="21"/>
      <c r="R389" s="21"/>
      <c r="S389" s="21"/>
      <c r="T389" s="21"/>
      <c r="U389" s="20"/>
    </row>
    <row r="390" spans="1:21" x14ac:dyDescent="0.3">
      <c r="A390" s="18"/>
      <c r="B390" s="21"/>
      <c r="C390" s="21"/>
      <c r="D390" s="21"/>
      <c r="E390" s="21"/>
      <c r="F390" s="21"/>
      <c r="G390" s="21"/>
      <c r="H390" s="21"/>
      <c r="I390" s="21"/>
      <c r="J390" s="21"/>
      <c r="K390" s="21"/>
      <c r="L390" s="21"/>
      <c r="M390" s="21"/>
      <c r="N390" s="21"/>
      <c r="O390" s="21"/>
      <c r="P390" s="21"/>
      <c r="Q390" s="21"/>
      <c r="R390" s="21"/>
      <c r="S390" s="21"/>
      <c r="T390" s="21"/>
      <c r="U390" s="20"/>
    </row>
    <row r="391" spans="1:21" x14ac:dyDescent="0.3">
      <c r="A391" s="18"/>
      <c r="B391" s="21"/>
      <c r="C391" s="155">
        <v>43160</v>
      </c>
      <c r="D391" s="155">
        <v>43157</v>
      </c>
      <c r="E391" s="155">
        <v>43316</v>
      </c>
      <c r="F391" s="155">
        <v>43164</v>
      </c>
      <c r="G391" s="21"/>
      <c r="H391" s="21"/>
      <c r="I391" s="21"/>
      <c r="J391" s="21"/>
      <c r="K391" s="21"/>
      <c r="L391" s="21"/>
      <c r="M391" s="21"/>
      <c r="N391" s="21"/>
      <c r="O391" s="21"/>
      <c r="P391" s="21"/>
      <c r="Q391" s="21"/>
      <c r="R391" s="21"/>
      <c r="S391" s="21"/>
      <c r="T391" s="21"/>
      <c r="U391" s="20"/>
    </row>
    <row r="392" spans="1:21" x14ac:dyDescent="0.3">
      <c r="A392" s="18"/>
      <c r="B392" s="59" t="s">
        <v>256</v>
      </c>
      <c r="C392" s="242" t="str">
        <f>$B392&amp;TEXT(C$391,"-YYYYMMDD")</f>
        <v>MSFT-20180301</v>
      </c>
      <c r="D392" s="242" t="str">
        <f t="shared" ref="D392:F394" si="0">$B392&amp;TEXT(D$391,"-YYYYMMDD")</f>
        <v>MSFT-20180226</v>
      </c>
      <c r="E392" s="242" t="str">
        <f t="shared" si="0"/>
        <v>MSFT-20180804</v>
      </c>
      <c r="F392" s="461" t="s">
        <v>3700</v>
      </c>
      <c r="G392" s="21"/>
      <c r="H392" s="21"/>
      <c r="I392" s="21"/>
      <c r="J392" s="21"/>
      <c r="K392" s="21"/>
      <c r="L392" s="21"/>
      <c r="M392" s="21"/>
      <c r="N392" s="21"/>
      <c r="O392" s="21"/>
      <c r="P392" s="21"/>
      <c r="Q392" s="21"/>
      <c r="R392" s="21"/>
      <c r="S392" s="21"/>
      <c r="T392" s="21"/>
      <c r="U392" s="20"/>
    </row>
    <row r="393" spans="1:21" x14ac:dyDescent="0.3">
      <c r="A393" s="18"/>
      <c r="B393" s="59" t="s">
        <v>3696</v>
      </c>
      <c r="C393" s="242" t="str">
        <f t="shared" ref="C393:C394" si="1">$B393&amp;TEXT(C$391,"-YYYYMMDD")</f>
        <v>DIS-20180301</v>
      </c>
      <c r="D393" s="242" t="str">
        <f t="shared" si="0"/>
        <v>DIS-20180226</v>
      </c>
      <c r="E393" s="242" t="str">
        <f t="shared" si="0"/>
        <v>DIS-20180804</v>
      </c>
      <c r="F393" s="242" t="str">
        <f t="shared" si="0"/>
        <v>DIS-20180305</v>
      </c>
      <c r="G393" s="21"/>
      <c r="H393" s="21"/>
      <c r="I393" s="21"/>
      <c r="J393" s="21"/>
      <c r="K393" s="21"/>
      <c r="L393" s="21"/>
      <c r="M393" s="21"/>
      <c r="N393" s="21"/>
      <c r="O393" s="21"/>
      <c r="P393" s="21"/>
      <c r="Q393" s="21"/>
      <c r="R393" s="21"/>
      <c r="S393" s="21"/>
      <c r="T393" s="21"/>
      <c r="U393" s="20"/>
    </row>
    <row r="394" spans="1:21" x14ac:dyDescent="0.3">
      <c r="A394" s="18"/>
      <c r="B394" s="59" t="s">
        <v>106</v>
      </c>
      <c r="C394" s="242" t="str">
        <f t="shared" si="1"/>
        <v>AAPL-20180301</v>
      </c>
      <c r="D394" s="242" t="str">
        <f t="shared" si="0"/>
        <v>AAPL-20180226</v>
      </c>
      <c r="E394" s="242" t="str">
        <f t="shared" si="0"/>
        <v>AAPL-20180804</v>
      </c>
      <c r="F394" s="242" t="str">
        <f t="shared" si="0"/>
        <v>AAPL-20180305</v>
      </c>
      <c r="G394" s="21"/>
      <c r="H394" s="21"/>
      <c r="I394" s="21"/>
      <c r="J394" s="21"/>
      <c r="K394" s="21"/>
      <c r="L394" s="21"/>
      <c r="M394" s="21"/>
      <c r="N394" s="21"/>
      <c r="O394" s="21"/>
      <c r="P394" s="21"/>
      <c r="Q394" s="21"/>
      <c r="R394" s="21"/>
      <c r="S394" s="21"/>
      <c r="T394" s="21"/>
      <c r="U394" s="20"/>
    </row>
    <row r="395" spans="1:21" x14ac:dyDescent="0.3">
      <c r="A395" s="18"/>
      <c r="B395" s="21"/>
      <c r="C395" s="21"/>
      <c r="D395" s="21"/>
      <c r="E395" s="21"/>
      <c r="F395" s="21"/>
      <c r="G395" s="21"/>
      <c r="H395" s="21"/>
      <c r="I395" s="21"/>
      <c r="J395" s="21"/>
      <c r="K395" s="21"/>
      <c r="L395" s="21"/>
      <c r="M395" s="21"/>
      <c r="N395" s="21"/>
      <c r="O395" s="21"/>
      <c r="P395" s="21"/>
      <c r="Q395" s="21"/>
      <c r="R395" s="21"/>
      <c r="S395" s="21"/>
      <c r="T395" s="21"/>
      <c r="U395" s="20"/>
    </row>
    <row r="396" spans="1:21" x14ac:dyDescent="0.3">
      <c r="A396" s="18"/>
      <c r="B396" s="21"/>
      <c r="C396" s="21"/>
      <c r="D396" s="21"/>
      <c r="E396" s="21"/>
      <c r="F396" s="21"/>
      <c r="G396" s="21"/>
      <c r="H396" s="21"/>
      <c r="I396" s="21"/>
      <c r="J396" s="21"/>
      <c r="K396" s="21"/>
      <c r="L396" s="21"/>
      <c r="M396" s="21"/>
      <c r="N396" s="21"/>
      <c r="O396" s="21"/>
      <c r="P396" s="21"/>
      <c r="Q396" s="21"/>
      <c r="R396" s="21"/>
      <c r="S396" s="21"/>
      <c r="T396" s="21"/>
      <c r="U396" s="20"/>
    </row>
    <row r="397" spans="1:21" x14ac:dyDescent="0.3">
      <c r="A397" s="18"/>
      <c r="B397" s="21"/>
      <c r="C397" s="21"/>
      <c r="D397" s="21"/>
      <c r="E397" s="21"/>
      <c r="F397" s="21"/>
      <c r="G397" s="21"/>
      <c r="H397" s="21"/>
      <c r="I397" s="21"/>
      <c r="J397" s="21"/>
      <c r="K397" s="21"/>
      <c r="L397" s="21"/>
      <c r="M397" s="21"/>
      <c r="N397" s="21"/>
      <c r="O397" s="21"/>
      <c r="P397" s="21"/>
      <c r="Q397" s="21"/>
      <c r="R397" s="21"/>
      <c r="S397" s="21"/>
      <c r="T397" s="21"/>
      <c r="U397" s="20"/>
    </row>
    <row r="398" spans="1:21" x14ac:dyDescent="0.3">
      <c r="A398" s="18"/>
      <c r="B398" s="21"/>
      <c r="C398" s="21"/>
      <c r="D398" s="21"/>
      <c r="E398" s="21"/>
      <c r="F398" s="21"/>
      <c r="G398" s="21"/>
      <c r="H398" s="21"/>
      <c r="I398" s="21"/>
      <c r="J398" s="21"/>
      <c r="K398" s="21"/>
      <c r="L398" s="21"/>
      <c r="M398" s="21"/>
      <c r="N398" s="21"/>
      <c r="O398" s="21"/>
      <c r="P398" s="21"/>
      <c r="Q398" s="21"/>
      <c r="R398" s="21"/>
      <c r="S398" s="21"/>
      <c r="T398" s="21"/>
      <c r="U398" s="20"/>
    </row>
    <row r="399" spans="1:21" x14ac:dyDescent="0.3">
      <c r="A399" s="18"/>
      <c r="B399" s="21"/>
      <c r="C399" s="21"/>
      <c r="D399" s="21"/>
      <c r="E399" s="21"/>
      <c r="F399" s="21"/>
      <c r="G399" s="21"/>
      <c r="H399" s="21"/>
      <c r="I399" s="21"/>
      <c r="J399" s="21"/>
      <c r="K399" s="21"/>
      <c r="L399" s="21"/>
      <c r="M399" s="21"/>
      <c r="N399" s="21"/>
      <c r="O399" s="21"/>
      <c r="P399" s="21"/>
      <c r="Q399" s="21"/>
      <c r="R399" s="21"/>
      <c r="S399" s="21"/>
      <c r="T399" s="21"/>
      <c r="U399" s="20"/>
    </row>
    <row r="400" spans="1:21" x14ac:dyDescent="0.3">
      <c r="A400" s="18"/>
      <c r="B400" s="21"/>
      <c r="C400" s="21"/>
      <c r="D400" s="21"/>
      <c r="E400" s="21"/>
      <c r="F400" s="21"/>
      <c r="G400" s="21"/>
      <c r="H400" s="21"/>
      <c r="I400" s="21"/>
      <c r="J400" s="21"/>
      <c r="K400" s="21"/>
      <c r="L400" s="21"/>
      <c r="M400" s="21"/>
      <c r="N400" s="21"/>
      <c r="O400" s="21"/>
      <c r="P400" s="21"/>
      <c r="Q400" s="21"/>
      <c r="R400" s="21"/>
      <c r="S400" s="21"/>
      <c r="T400" s="21"/>
      <c r="U400" s="20"/>
    </row>
    <row r="401" spans="1:21" ht="15" thickBot="1" x14ac:dyDescent="0.35">
      <c r="A401" s="22"/>
      <c r="B401" s="23"/>
      <c r="C401" s="23"/>
      <c r="D401" s="23"/>
      <c r="E401" s="23"/>
      <c r="F401" s="23"/>
      <c r="G401" s="23"/>
      <c r="H401" s="23"/>
      <c r="I401" s="23"/>
      <c r="J401" s="23"/>
      <c r="K401" s="23"/>
      <c r="L401" s="23"/>
      <c r="M401" s="23"/>
      <c r="N401" s="23"/>
      <c r="O401" s="23"/>
      <c r="P401" s="23"/>
      <c r="Q401" s="23"/>
      <c r="R401" s="23"/>
      <c r="S401" s="23"/>
      <c r="T401" s="23"/>
      <c r="U401" s="24"/>
    </row>
  </sheetData>
  <mergeCells count="115">
    <mergeCell ref="I206:L206"/>
    <mergeCell ref="B206:E206"/>
    <mergeCell ref="C380:H380"/>
    <mergeCell ref="B162:D162"/>
    <mergeCell ref="B177:E177"/>
    <mergeCell ref="I177:L177"/>
    <mergeCell ref="B231:E231"/>
    <mergeCell ref="B221:E221"/>
    <mergeCell ref="H162:I162"/>
    <mergeCell ref="D316:I316"/>
    <mergeCell ref="I186:L186"/>
    <mergeCell ref="O302:P302"/>
    <mergeCell ref="P320:Q320"/>
    <mergeCell ref="I221:K221"/>
    <mergeCell ref="I231:K231"/>
    <mergeCell ref="A283:S283"/>
    <mergeCell ref="A299:S299"/>
    <mergeCell ref="C302:H302"/>
    <mergeCell ref="B254:F254"/>
    <mergeCell ref="M254:N254"/>
    <mergeCell ref="P254:Q254"/>
    <mergeCell ref="I254:J254"/>
    <mergeCell ref="B293:B294"/>
    <mergeCell ref="B295:B296"/>
    <mergeCell ref="B286:B289"/>
    <mergeCell ref="I241:K241"/>
    <mergeCell ref="B130:D130"/>
    <mergeCell ref="M130:N130"/>
    <mergeCell ref="B6:E6"/>
    <mergeCell ref="J6:K6"/>
    <mergeCell ref="J17:K17"/>
    <mergeCell ref="M54:N54"/>
    <mergeCell ref="H6:I6"/>
    <mergeCell ref="H67:J67"/>
    <mergeCell ref="N67:P67"/>
    <mergeCell ref="K67:L67"/>
    <mergeCell ref="H17:I17"/>
    <mergeCell ref="H130:I130"/>
    <mergeCell ref="H54:J54"/>
    <mergeCell ref="H82:J82"/>
    <mergeCell ref="H26:I26"/>
    <mergeCell ref="J26:M26"/>
    <mergeCell ref="H35:I35"/>
    <mergeCell ref="J35:M35"/>
    <mergeCell ref="W40:X42"/>
    <mergeCell ref="W3:AF3"/>
    <mergeCell ref="W4:X6"/>
    <mergeCell ref="Y4:AF6"/>
    <mergeCell ref="W7:X7"/>
    <mergeCell ref="Y7:AE7"/>
    <mergeCell ref="W39:X39"/>
    <mergeCell ref="Y39:AE39"/>
    <mergeCell ref="W26:X28"/>
    <mergeCell ref="Y26:AE28"/>
    <mergeCell ref="AF26:AF28"/>
    <mergeCell ref="W23:X25"/>
    <mergeCell ref="H138:I138"/>
    <mergeCell ref="M138:N138"/>
    <mergeCell ref="AF55:AF57"/>
    <mergeCell ref="W46:X48"/>
    <mergeCell ref="Y46:AE48"/>
    <mergeCell ref="AF46:AF48"/>
    <mergeCell ref="W49:X51"/>
    <mergeCell ref="Y49:AE51"/>
    <mergeCell ref="AF49:AF51"/>
    <mergeCell ref="W55:X57"/>
    <mergeCell ref="Y55:AE57"/>
    <mergeCell ref="A3:S3"/>
    <mergeCell ref="B92:D92"/>
    <mergeCell ref="M92:N92"/>
    <mergeCell ref="W8:X10"/>
    <mergeCell ref="W11:X13"/>
    <mergeCell ref="W35:AF35"/>
    <mergeCell ref="W36:X38"/>
    <mergeCell ref="Y36:AF38"/>
    <mergeCell ref="AF8:AF10"/>
    <mergeCell ref="Y8:AE10"/>
    <mergeCell ref="Y23:AE25"/>
    <mergeCell ref="AF23:AF25"/>
    <mergeCell ref="AF11:AF13"/>
    <mergeCell ref="Y11:AE13"/>
    <mergeCell ref="W14:X16"/>
    <mergeCell ref="W17:X19"/>
    <mergeCell ref="W29:X31"/>
    <mergeCell ref="Y29:AE31"/>
    <mergeCell ref="AF29:AF31"/>
    <mergeCell ref="AF14:AF16"/>
    <mergeCell ref="Y14:AE16"/>
    <mergeCell ref="W20:X22"/>
    <mergeCell ref="Y20:AE22"/>
    <mergeCell ref="AF20:AF22"/>
    <mergeCell ref="M361:N361"/>
    <mergeCell ref="J361:K361"/>
    <mergeCell ref="W52:X54"/>
    <mergeCell ref="Y52:AE54"/>
    <mergeCell ref="AF52:AF54"/>
    <mergeCell ref="O35:P35"/>
    <mergeCell ref="AF17:AF19"/>
    <mergeCell ref="Y17:AE19"/>
    <mergeCell ref="S320:T320"/>
    <mergeCell ref="W58:X60"/>
    <mergeCell ref="Y58:AE60"/>
    <mergeCell ref="AF58:AF60"/>
    <mergeCell ref="I92:J92"/>
    <mergeCell ref="S339:T339"/>
    <mergeCell ref="M162:P162"/>
    <mergeCell ref="D339:I339"/>
    <mergeCell ref="P339:Q339"/>
    <mergeCell ref="Y40:AE42"/>
    <mergeCell ref="AF40:AF42"/>
    <mergeCell ref="W43:X45"/>
    <mergeCell ref="Y43:AE45"/>
    <mergeCell ref="AF43:AF45"/>
    <mergeCell ref="B151:E151"/>
    <mergeCell ref="H151:J15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347</vt:i4>
      </vt:variant>
    </vt:vector>
  </HeadingPairs>
  <TitlesOfParts>
    <vt:vector size="410" baseType="lpstr">
      <vt:lpstr>Index</vt:lpstr>
      <vt:lpstr>PUBLISH</vt:lpstr>
      <vt:lpstr>GET</vt:lpstr>
      <vt:lpstr>EVENT</vt:lpstr>
      <vt:lpstr>NOTIFICATION</vt:lpstr>
      <vt:lpstr>AGGREGATE</vt:lpstr>
      <vt:lpstr>APPEND</vt:lpstr>
      <vt:lpstr>FILTER</vt:lpstr>
      <vt:lpstr>LOOKUP</vt:lpstr>
      <vt:lpstr>SORT</vt:lpstr>
      <vt:lpstr>UNIQUE</vt:lpstr>
      <vt:lpstr>REPLACE</vt:lpstr>
      <vt:lpstr>CONVERT</vt:lpstr>
      <vt:lpstr>SUBRANGE</vt:lpstr>
      <vt:lpstr>OFFSET</vt:lpstr>
      <vt:lpstr>REGION</vt:lpstr>
      <vt:lpstr>RANGE_REF</vt:lpstr>
      <vt:lpstr>GRID_TO_TABLE</vt:lpstr>
      <vt:lpstr>COMBINATIONS</vt:lpstr>
      <vt:lpstr>REPEAT</vt:lpstr>
      <vt:lpstr>INSERT</vt:lpstr>
      <vt:lpstr>FILL_LABELS</vt:lpstr>
      <vt:lpstr>PAD</vt:lpstr>
      <vt:lpstr>RESHAPE</vt:lpstr>
      <vt:lpstr>ADD_NEWLINES</vt:lpstr>
      <vt:lpstr>FORMAT_RANGE</vt:lpstr>
      <vt:lpstr>IMAGES</vt:lpstr>
      <vt:lpstr>CONCAT</vt:lpstr>
      <vt:lpstr>SPLIT</vt:lpstr>
      <vt:lpstr>FIND</vt:lpstr>
      <vt:lpstr>FORMAT_STRING</vt:lpstr>
      <vt:lpstr>PARSE_NUMBERS</vt:lpstr>
      <vt:lpstr>REGEX</vt:lpstr>
      <vt:lpstr>REMOVE_NON_ASCII</vt:lpstr>
      <vt:lpstr>URL_ENCODE</vt:lpstr>
      <vt:lpstr>COMPARE</vt:lpstr>
      <vt:lpstr>GZIP</vt:lpstr>
      <vt:lpstr>TIME</vt:lpstr>
      <vt:lpstr>SEQUENCE</vt:lpstr>
      <vt:lpstr>RAND</vt:lpstr>
      <vt:lpstr>FILES</vt:lpstr>
      <vt:lpstr>EXCEL_CONTROL</vt:lpstr>
      <vt:lpstr>MENU</vt:lpstr>
      <vt:lpstr>DO</vt:lpstr>
      <vt:lpstr>CLICKVALS</vt:lpstr>
      <vt:lpstr>KEYBOARD_SHORTCUT</vt:lpstr>
      <vt:lpstr>LISTEN</vt:lpstr>
      <vt:lpstr>INCREMENT</vt:lpstr>
      <vt:lpstr>PASTE</vt:lpstr>
      <vt:lpstr>CLEAR</vt:lpstr>
      <vt:lpstr>SCRIPTS #init()</vt:lpstr>
      <vt:lpstr>START_PROCESS</vt:lpstr>
      <vt:lpstr>SYNC_CELLS</vt:lpstr>
      <vt:lpstr>SELECTION_PATH</vt:lpstr>
      <vt:lpstr>UUID</vt:lpstr>
      <vt:lpstr>MONITORING</vt:lpstr>
      <vt:lpstr>BACKUP</vt:lpstr>
      <vt:lpstr>CACHE</vt:lpstr>
      <vt:lpstr>PERFORMANCE</vt:lpstr>
      <vt:lpstr>DISTRIBUTION</vt:lpstr>
      <vt:lpstr>SECURITY</vt:lpstr>
      <vt:lpstr>COMPILE</vt:lpstr>
      <vt:lpstr>ADMIN</vt:lpstr>
      <vt:lpstr>ADD_NEWLINES</vt:lpstr>
      <vt:lpstr>ADD_NEWLINES_PARAMS</vt:lpstr>
      <vt:lpstr>ADDINS</vt:lpstr>
      <vt:lpstr>ADDINS_PARAMS</vt:lpstr>
      <vt:lpstr>AFTER</vt:lpstr>
      <vt:lpstr>AFTER_PARAMS</vt:lpstr>
      <vt:lpstr>ALLOW_PUBLISH</vt:lpstr>
      <vt:lpstr>ALLOW_PUBLISH_PARAMS</vt:lpstr>
      <vt:lpstr>AUTHN</vt:lpstr>
      <vt:lpstr>AUTHN_PARAMS</vt:lpstr>
      <vt:lpstr>BACKUP_ALL_WORKBOOKS</vt:lpstr>
      <vt:lpstr>BACKUP_ALL_WORKBOOKS_PARAMS</vt:lpstr>
      <vt:lpstr>BACKUP_WORKBOOK</vt:lpstr>
      <vt:lpstr>BACKUP_WORKBOOK_PARAMS</vt:lpstr>
      <vt:lpstr>CACHE</vt:lpstr>
      <vt:lpstr>CACHE_PARAMS</vt:lpstr>
      <vt:lpstr>CLEAR</vt:lpstr>
      <vt:lpstr>CLEAR_PARAMS</vt:lpstr>
      <vt:lpstr>Colleagues</vt:lpstr>
      <vt:lpstr>COMPARE</vt:lpstr>
      <vt:lpstr>COMPARE_PARAMS</vt:lpstr>
      <vt:lpstr>COMPILE</vt:lpstr>
      <vt:lpstr>COMPILE_PARAMS</vt:lpstr>
      <vt:lpstr>CONCAT</vt:lpstr>
      <vt:lpstr>CONCAT_PARAMS</vt:lpstr>
      <vt:lpstr>CONFIG_DIR</vt:lpstr>
      <vt:lpstr>CONFIG_DIR_PARAMS</vt:lpstr>
      <vt:lpstr>CONNECTED_TO_SERVER</vt:lpstr>
      <vt:lpstr>CONNECTED_TO_SERVER_PARAMS</vt:lpstr>
      <vt:lpstr>CONTROL_EXCEL</vt:lpstr>
      <vt:lpstr>CONTROL_EXCEL_PARAMS</vt:lpstr>
      <vt:lpstr>CONVERT</vt:lpstr>
      <vt:lpstr>CONVERT_DATETIME</vt:lpstr>
      <vt:lpstr>CONVERT_DATETIME_PARAMS</vt:lpstr>
      <vt:lpstr>CONVERT_PARAMS</vt:lpstr>
      <vt:lpstr>COPY_FILE</vt:lpstr>
      <vt:lpstr>COPY_FILE_PARAMS</vt:lpstr>
      <vt:lpstr>COPY_PASTE</vt:lpstr>
      <vt:lpstr>COPY_PASTE_PARAMS</vt:lpstr>
      <vt:lpstr>COUNT_FUNCTION_CALLS</vt:lpstr>
      <vt:lpstr>COUNT_FUNCTION_CALLS_PARAMS</vt:lpstr>
      <vt:lpstr>CREATE_SCRIPT</vt:lpstr>
      <vt:lpstr>CREATE_SCRIPT_PARAMS</vt:lpstr>
      <vt:lpstr>CURRENT_SCRIPT</vt:lpstr>
      <vt:lpstr>CURRENT_SCRIPT_PARAMS</vt:lpstr>
      <vt:lpstr>CURRENT_VALS</vt:lpstr>
      <vt:lpstr>CURRENT_VALS_PARAMS</vt:lpstr>
      <vt:lpstr>DEEP_LOGGING</vt:lpstr>
      <vt:lpstr>DEEP_LOGGING_PARAMS</vt:lpstr>
      <vt:lpstr>DELETE_REPORT</vt:lpstr>
      <vt:lpstr>DELETE_REPORT_PARAMS</vt:lpstr>
      <vt:lpstr>DISABLE</vt:lpstr>
      <vt:lpstr>DISABLE_PARAMS</vt:lpstr>
      <vt:lpstr>DISTRIBUTE_FUNCTIONS</vt:lpstr>
      <vt:lpstr>DISTRIBUTE_FUNCTIONS_PARAMS</vt:lpstr>
      <vt:lpstr>DISTRIBUTE_WORKBOOK</vt:lpstr>
      <vt:lpstr>DISTRIBUTE_WORKBOOK_PARAMS</vt:lpstr>
      <vt:lpstr>DO</vt:lpstr>
      <vt:lpstr>DO_PARAMS</vt:lpstr>
      <vt:lpstr>ENABLE_CONTROL</vt:lpstr>
      <vt:lpstr>ENABLE_CONTROL_PARAMS</vt:lpstr>
      <vt:lpstr>ENCRYPT</vt:lpstr>
      <vt:lpstr>ENCRYPT_PARAMS</vt:lpstr>
      <vt:lpstr>ENTITY</vt:lpstr>
      <vt:lpstr>ENTITY_PARAMS</vt:lpstr>
      <vt:lpstr>EVENT</vt:lpstr>
      <vt:lpstr>EVENT_PARAMS</vt:lpstr>
      <vt:lpstr>FILL_LABELS</vt:lpstr>
      <vt:lpstr>FILL_LABELS_PARAMS</vt:lpstr>
      <vt:lpstr>FIND</vt:lpstr>
      <vt:lpstr>FIND_FILE</vt:lpstr>
      <vt:lpstr>FIND_FILE_PARAMS</vt:lpstr>
      <vt:lpstr>FIND_PARAMS</vt:lpstr>
      <vt:lpstr>FORMAT_RANGE</vt:lpstr>
      <vt:lpstr>FORMAT_RANGE_PARAMS</vt:lpstr>
      <vt:lpstr>FORMAT_STRING</vt:lpstr>
      <vt:lpstr>FORMAT_STRING_PARAMS</vt:lpstr>
      <vt:lpstr>FORMULA</vt:lpstr>
      <vt:lpstr>FORMULA_PARAMS</vt:lpstr>
      <vt:lpstr>GET</vt:lpstr>
      <vt:lpstr>GET_CLICKVAL</vt:lpstr>
      <vt:lpstr>GET_CLICKVAL_PARAMS</vt:lpstr>
      <vt:lpstr>GET_CONTROL_SETTINGS</vt:lpstr>
      <vt:lpstr>GET_CONTROL_SETTINGS_PARAMS</vt:lpstr>
      <vt:lpstr>GET_EXCEL_PROCESSES</vt:lpstr>
      <vt:lpstr>GET_EXCEL_PROCESSES_PARAMS</vt:lpstr>
      <vt:lpstr>GET_LIVE</vt:lpstr>
      <vt:lpstr>GET_LIVE_PARAMS</vt:lpstr>
      <vt:lpstr>GET_METADATA</vt:lpstr>
      <vt:lpstr>GET_METADATA_PARAMS</vt:lpstr>
      <vt:lpstr>GET_PARAMS</vt:lpstr>
      <vt:lpstr>GET_PROCESSES</vt:lpstr>
      <vt:lpstr>GET_PROCESSES_PARAMS</vt:lpstr>
      <vt:lpstr>GRID_FILTER</vt:lpstr>
      <vt:lpstr>GRID_FILTER_PARAMS</vt:lpstr>
      <vt:lpstr>GRID_LOOKUP</vt:lpstr>
      <vt:lpstr>GRID_LOOKUP_PARAMS</vt:lpstr>
      <vt:lpstr>GRID_TO_TABLE</vt:lpstr>
      <vt:lpstr>GRID_TO_TABLE_PARAMS</vt:lpstr>
      <vt:lpstr>GZIP</vt:lpstr>
      <vt:lpstr>GZIP_PARAMS</vt:lpstr>
      <vt:lpstr>HAGGREGATE</vt:lpstr>
      <vt:lpstr>HAPPEND</vt:lpstr>
      <vt:lpstr>HAS_WEB_CONTROLS</vt:lpstr>
      <vt:lpstr>HAS_WEB_CONTROLS_PARAMS</vt:lpstr>
      <vt:lpstr>HELP</vt:lpstr>
      <vt:lpstr>HELP_PARAMS</vt:lpstr>
      <vt:lpstr>HFILTER</vt:lpstr>
      <vt:lpstr>HSORT</vt:lpstr>
      <vt:lpstr>HUNIQUE</vt:lpstr>
      <vt:lpstr>INCLUDE_HTML</vt:lpstr>
      <vt:lpstr>INCLUDE_HTML_PARAMS</vt:lpstr>
      <vt:lpstr>INCREMENT</vt:lpstr>
      <vt:lpstr>INCREMENT_PARAMS</vt:lpstr>
      <vt:lpstr>INSERT_IMAGE</vt:lpstr>
      <vt:lpstr>INSERT_IMAGE_PARAMS</vt:lpstr>
      <vt:lpstr>INVOKE</vt:lpstr>
      <vt:lpstr>INVOKE_AS_MACRO</vt:lpstr>
      <vt:lpstr>INVOKE_AS_MACRO_PARAMS</vt:lpstr>
      <vt:lpstr>INVOKE_ASYNC</vt:lpstr>
      <vt:lpstr>INVOKE_ASYNC_PARAMS</vt:lpstr>
      <vt:lpstr>INVOKE_PARAMS</vt:lpstr>
      <vt:lpstr>IS_CONTROL_ENABLED</vt:lpstr>
      <vt:lpstr>IS_CONTROL_ENABLED_PARAMS</vt:lpstr>
      <vt:lpstr>ISOLATE_WORKBOOK</vt:lpstr>
      <vt:lpstr>ISOLATE_WORKBOOK_PARAMS</vt:lpstr>
      <vt:lpstr>KEEP_AWAKE</vt:lpstr>
      <vt:lpstr>KEEP_AWAKE_PARAMS</vt:lpstr>
      <vt:lpstr>KEYBOARD_SHORTCUT</vt:lpstr>
      <vt:lpstr>KEYBOARD_SHORTCUT_PARAMS</vt:lpstr>
      <vt:lpstr>KILL_EXCEL_PROCESSES</vt:lpstr>
      <vt:lpstr>KILL_EXCEL_PROCESSES_PARAMS</vt:lpstr>
      <vt:lpstr>LAUNCH_EXCEL</vt:lpstr>
      <vt:lpstr>LAUNCH_EXCEL_PARAMS</vt:lpstr>
      <vt:lpstr>LISTEN</vt:lpstr>
      <vt:lpstr>LISTEN_PARAMS</vt:lpstr>
      <vt:lpstr>LOG</vt:lpstr>
      <vt:lpstr>LOG_PARAMS</vt:lpstr>
      <vt:lpstr>MACHINE_NAME</vt:lpstr>
      <vt:lpstr>MACHINE_NAME_PARAMS</vt:lpstr>
      <vt:lpstr>MAKE_LINK</vt:lpstr>
      <vt:lpstr>MAKE_LINK_PARAMS</vt:lpstr>
      <vt:lpstr>MAX_PRECISION</vt:lpstr>
      <vt:lpstr>MAX_PRECISION_PARAMS</vt:lpstr>
      <vt:lpstr>MENU</vt:lpstr>
      <vt:lpstr>MENU_IMAGES</vt:lpstr>
      <vt:lpstr>MENU_IMAGES_PARAMS</vt:lpstr>
      <vt:lpstr>MENU_PARAMS</vt:lpstr>
      <vt:lpstr>MESSAGE_BOX</vt:lpstr>
      <vt:lpstr>MESSAGE_BOX_PARAMS</vt:lpstr>
      <vt:lpstr>MONITOR_WORKBOOK</vt:lpstr>
      <vt:lpstr>MONITOR_WORKBOOK_PARAMS</vt:lpstr>
      <vt:lpstr>NAMED_RANGE</vt:lpstr>
      <vt:lpstr>NAMED_RANGE_PARAMS</vt:lpstr>
      <vt:lpstr>NETWORK_PATH</vt:lpstr>
      <vt:lpstr>NETWORK_PATH_PARAMS</vt:lpstr>
      <vt:lpstr>NOW</vt:lpstr>
      <vt:lpstr>NOW_PARAMS</vt:lpstr>
      <vt:lpstr>OFFSET</vt:lpstr>
      <vt:lpstr>OFFSET_PARAMS</vt:lpstr>
      <vt:lpstr>ON_CLOSE</vt:lpstr>
      <vt:lpstr>ON_CLOSE_PARAMS</vt:lpstr>
      <vt:lpstr>OPEN_DIRECTORY</vt:lpstr>
      <vt:lpstr>OPEN_DIRECTORY_PARAMS</vt:lpstr>
      <vt:lpstr>OVERWRITE_CLICKVAL</vt:lpstr>
      <vt:lpstr>OVERWRITE_CLICKVAL_PARAMS</vt:lpstr>
      <vt:lpstr>PAD</vt:lpstr>
      <vt:lpstr>PAD_PARAMS</vt:lpstr>
      <vt:lpstr>PAGE_NAMES</vt:lpstr>
      <vt:lpstr>PAGE_NAMES_PARAMS</vt:lpstr>
      <vt:lpstr>PARSE</vt:lpstr>
      <vt:lpstr>PARSE_DATETIME</vt:lpstr>
      <vt:lpstr>PARSE_DATETIME_PARAMS</vt:lpstr>
      <vt:lpstr>PARSE_NUMBERS</vt:lpstr>
      <vt:lpstr>PARSE_NUMBERS_PARAMS</vt:lpstr>
      <vt:lpstr>PARSE_PARAMS</vt:lpstr>
      <vt:lpstr>PARSE_WEB_CONTROL_VALS</vt:lpstr>
      <vt:lpstr>PARSE_WEB_CONTROL_VALS_PARAMS</vt:lpstr>
      <vt:lpstr>PASTE</vt:lpstr>
      <vt:lpstr>PASTE_IN_MANUAL_MODE</vt:lpstr>
      <vt:lpstr>PASTE_IN_MANUAL_MODE_PARAMS</vt:lpstr>
      <vt:lpstr>PASTE_OCCURRED</vt:lpstr>
      <vt:lpstr>PASTE_OCCURRED_PARAMS</vt:lpstr>
      <vt:lpstr>PASTE_PARAMS</vt:lpstr>
      <vt:lpstr>PRIOR_VALS</vt:lpstr>
      <vt:lpstr>PRIOR_VALS_PARAMS</vt:lpstr>
      <vt:lpstr>PROCESS_ID</vt:lpstr>
      <vt:lpstr>PROCESS_ID_PARAMS</vt:lpstr>
      <vt:lpstr>PROFILE_WORKBOOK</vt:lpstr>
      <vt:lpstr>PROFILE_WORKBOOK_PARAMS</vt:lpstr>
      <vt:lpstr>PROTECT_WORKBOOK</vt:lpstr>
      <vt:lpstr>PROTECT_WORKBOOK_PARAMS</vt:lpstr>
      <vt:lpstr>PUB_AND_PASTE</vt:lpstr>
      <vt:lpstr>PUB_AND_PASTE_PARAMS</vt:lpstr>
      <vt:lpstr>PUB_SECRET</vt:lpstr>
      <vt:lpstr>PUB_SECRET_PARAMS</vt:lpstr>
      <vt:lpstr>PUB_SNAPSHOT</vt:lpstr>
      <vt:lpstr>PUB_SNAPSHOT_PARAMS</vt:lpstr>
      <vt:lpstr>PUB_THROTTLE_MILLIS</vt:lpstr>
      <vt:lpstr>PUB_THROTTLE_MILLIS_PARAMS</vt:lpstr>
      <vt:lpstr>PUBLISH</vt:lpstr>
      <vt:lpstr>PUBLISH_PARAMS</vt:lpstr>
      <vt:lpstr>RAND</vt:lpstr>
      <vt:lpstr>RAND_PARAMS</vt:lpstr>
      <vt:lpstr>RANGE_NAME</vt:lpstr>
      <vt:lpstr>RANGE_NAME_PARAMS</vt:lpstr>
      <vt:lpstr>RANGE_REF</vt:lpstr>
      <vt:lpstr>RANGE_REF_PARAMS</vt:lpstr>
      <vt:lpstr>READ_FILE</vt:lpstr>
      <vt:lpstr>READ_FILE_PARAMS</vt:lpstr>
      <vt:lpstr>READ_ONLY</vt:lpstr>
      <vt:lpstr>READ_ONLY_PARAMS</vt:lpstr>
      <vt:lpstr>RECALC</vt:lpstr>
      <vt:lpstr>RECALC_PARAMS</vt:lpstr>
      <vt:lpstr>RECENT</vt:lpstr>
      <vt:lpstr>RECENT_PARAMS</vt:lpstr>
      <vt:lpstr>REFRESH</vt:lpstr>
      <vt:lpstr>REFRESH_PARAMS</vt:lpstr>
      <vt:lpstr>REGEX</vt:lpstr>
      <vt:lpstr>REGEX_PARAMS</vt:lpstr>
      <vt:lpstr>REGION</vt:lpstr>
      <vt:lpstr>REGION_PARAMS</vt:lpstr>
      <vt:lpstr>REGISTER_IMAGE</vt:lpstr>
      <vt:lpstr>REGISTER_IMAGE_PARAMS</vt:lpstr>
      <vt:lpstr>REMOVE_NON_ASCII</vt:lpstr>
      <vt:lpstr>REMOVE_NON_ASCII_PARAMS</vt:lpstr>
      <vt:lpstr>REPLACE</vt:lpstr>
      <vt:lpstr>REPLACE_PARAMS</vt:lpstr>
      <vt:lpstr>RESHAPE</vt:lpstr>
      <vt:lpstr>RESHAPE_PARAMS</vt:lpstr>
      <vt:lpstr>REVERT</vt:lpstr>
      <vt:lpstr>REVERT_PARAMS</vt:lpstr>
      <vt:lpstr>RTD_THROTTLE_MILLIS</vt:lpstr>
      <vt:lpstr>RTD_THROTTLE_MILLIS_PARAMS</vt:lpstr>
      <vt:lpstr>RUN_SCRIPT</vt:lpstr>
      <vt:lpstr>RUN_SCRIPT_PARAMS</vt:lpstr>
      <vt:lpstr>SAVE_CREDENTIALS</vt:lpstr>
      <vt:lpstr>SAVE_CREDENTIALS_PARAMS</vt:lpstr>
      <vt:lpstr>SAVE_EMAIL_CONFIG</vt:lpstr>
      <vt:lpstr>SAVE_EMAIL_CONFIG_PARAMS</vt:lpstr>
      <vt:lpstr>SAVE_TEXT_CONFIG</vt:lpstr>
      <vt:lpstr>SAVE_TEXT_CONFIG_PARAMS</vt:lpstr>
      <vt:lpstr>SAVE_WORKBOOK_PASSWORD</vt:lpstr>
      <vt:lpstr>SAVE_WORKBOOK_PASSWORD_PARAMS</vt:lpstr>
      <vt:lpstr>SECRET</vt:lpstr>
      <vt:lpstr>SECRET_PARAMS</vt:lpstr>
      <vt:lpstr>SELECTION_PATH</vt:lpstr>
      <vt:lpstr>SELECTION_PATH_PARAMS</vt:lpstr>
      <vt:lpstr>SEND_EMAIL</vt:lpstr>
      <vt:lpstr>SEND_EMAIL_PARAMS</vt:lpstr>
      <vt:lpstr>SEND_TEXT</vt:lpstr>
      <vt:lpstr>SEND_TEXT_PARAMS</vt:lpstr>
      <vt:lpstr>SEQUENCE</vt:lpstr>
      <vt:lpstr>SEQUENCE_PARAMS</vt:lpstr>
      <vt:lpstr>SERVER</vt:lpstr>
      <vt:lpstr>SERVER_PARAMS</vt:lpstr>
      <vt:lpstr>SET_CLICKVALS</vt:lpstr>
      <vt:lpstr>SET_CLICKVALS_PARAMS</vt:lpstr>
      <vt:lpstr>SET_OPEN_VALS</vt:lpstr>
      <vt:lpstr>SET_OPEN_VALS_PARAMS</vt:lpstr>
      <vt:lpstr>SOUND</vt:lpstr>
      <vt:lpstr>SOUND_PARAMS</vt:lpstr>
      <vt:lpstr>SPLIT</vt:lpstr>
      <vt:lpstr>SPLIT_PARAMS</vt:lpstr>
      <vt:lpstr>START_PROCESS</vt:lpstr>
      <vt:lpstr>START_PROCESS_PARAMS</vt:lpstr>
      <vt:lpstr>SUBRANGE</vt:lpstr>
      <vt:lpstr>SUBRANGE_PARAMS</vt:lpstr>
      <vt:lpstr>SUBSCRIBE</vt:lpstr>
      <vt:lpstr>SUBSCRIBE_PARAMS</vt:lpstr>
      <vt:lpstr>SYNC_CELLS</vt:lpstr>
      <vt:lpstr>SYNC_CELLS_PARAMS</vt:lpstr>
      <vt:lpstr>TABLE_TO_GRID</vt:lpstr>
      <vt:lpstr>TABLE_TO_GRID_PARAMS</vt:lpstr>
      <vt:lpstr>TIME</vt:lpstr>
      <vt:lpstr>TIME_PARAMS</vt:lpstr>
      <vt:lpstr>TIMEZONE</vt:lpstr>
      <vt:lpstr>TIMEZONE_PARAMS</vt:lpstr>
      <vt:lpstr>TODAY</vt:lpstr>
      <vt:lpstr>TODAY_PARAMS</vt:lpstr>
      <vt:lpstr>TOPIC</vt:lpstr>
      <vt:lpstr>TOPIC_PARAMS</vt:lpstr>
      <vt:lpstr>TOPICS_REPORT</vt:lpstr>
      <vt:lpstr>TOPICS_REPORT_PARAMS</vt:lpstr>
      <vt:lpstr>TRANSPOSE</vt:lpstr>
      <vt:lpstr>TRANSPOSE_PARAMS</vt:lpstr>
      <vt:lpstr>TRUSTED_DISTRIBUTOR</vt:lpstr>
      <vt:lpstr>TRUSTED_DISTRIBUTOR_PARAMS</vt:lpstr>
      <vt:lpstr>TWO_WAY_DATA</vt:lpstr>
      <vt:lpstr>TWO_WAY_DATA_PARAMS</vt:lpstr>
      <vt:lpstr>UNLOCK_CELLS</vt:lpstr>
      <vt:lpstr>UNLOCK_CELLS_PARAMS</vt:lpstr>
      <vt:lpstr>UPDATE_IMAGE</vt:lpstr>
      <vt:lpstr>UPDATE_IMAGE_PARAMS</vt:lpstr>
      <vt:lpstr>UPTICK_SECRET</vt:lpstr>
      <vt:lpstr>URL_ENCODE</vt:lpstr>
      <vt:lpstr>URL_ENCODE_PARAMS</vt:lpstr>
      <vt:lpstr>USERNAME</vt:lpstr>
      <vt:lpstr>USERNAME_PARAMS</vt:lpstr>
      <vt:lpstr>UUID</vt:lpstr>
      <vt:lpstr>UUID_PARAMS</vt:lpstr>
      <vt:lpstr>VAGGREGATE</vt:lpstr>
      <vt:lpstr>VAGGREGATE_PARAMS</vt:lpstr>
      <vt:lpstr>VAPPEND</vt:lpstr>
      <vt:lpstr>VAPPEND_PARAMS</vt:lpstr>
      <vt:lpstr>VCOMBINATIONS</vt:lpstr>
      <vt:lpstr>VCOMBINATIONS_PARAMS</vt:lpstr>
      <vt:lpstr>VERSION</vt:lpstr>
      <vt:lpstr>VERSION_PARAMS</vt:lpstr>
      <vt:lpstr>VFILTER</vt:lpstr>
      <vt:lpstr>VFILTER_PARAMS</vt:lpstr>
      <vt:lpstr>VINSERT</vt:lpstr>
      <vt:lpstr>VINSERT_PARAMS</vt:lpstr>
      <vt:lpstr>VLOOKUP</vt:lpstr>
      <vt:lpstr>VLOOKUP_PARAMS</vt:lpstr>
      <vt:lpstr>VREPEAT</vt:lpstr>
      <vt:lpstr>VREPEAT_PARAMS</vt:lpstr>
      <vt:lpstr>VSORT</vt:lpstr>
      <vt:lpstr>VSORT_PARAMS</vt:lpstr>
      <vt:lpstr>VUNIQUE</vt:lpstr>
      <vt:lpstr>VUNIQUE_PARAMS</vt:lpstr>
      <vt:lpstr>WATCH_FILES</vt:lpstr>
      <vt:lpstr>WATCH_FILES_PARAMS</vt:lpstr>
      <vt:lpstr>WEB_CONTROL.BUTTON</vt:lpstr>
      <vt:lpstr>WEB_CONTROL.BUTTON_PARAMS</vt:lpstr>
      <vt:lpstr>WEB_CONTROL.CHECKBOX</vt:lpstr>
      <vt:lpstr>WEB_CONTROL.CHECKBOX_PARAMS</vt:lpstr>
      <vt:lpstr>WEB_CONTROL.DATEPICKER</vt:lpstr>
      <vt:lpstr>WEB_CONTROL.DATEPICKER_PARAMS</vt:lpstr>
      <vt:lpstr>WEB_CONTROL.DROPDOWN</vt:lpstr>
      <vt:lpstr>WEB_CONTROL.DROPDOWN_PARAMS</vt:lpstr>
      <vt:lpstr>WEB_CONTROL.HYPERLINK</vt:lpstr>
      <vt:lpstr>WEB_CONTROL.HYPERLINK_PARAMS</vt:lpstr>
      <vt:lpstr>WEB_CONTROL.TEXTAREA</vt:lpstr>
      <vt:lpstr>WEB_CONTROL.TEXTAREA_PARAMS</vt:lpstr>
      <vt:lpstr>WEB_CONTROL.TOOLTIP</vt:lpstr>
      <vt:lpstr>WEB_CONTROL.TOOLTIP_PARAMS</vt:lpstr>
      <vt:lpstr>WEB_CONTROL_LOCATION</vt:lpstr>
      <vt:lpstr>WEB_CONTROL_LOCATION_PARAMS</vt:lpstr>
      <vt:lpstr>WEB_STYLE</vt:lpstr>
      <vt:lpstr>WEB_STYLE_PARAMS</vt:lpstr>
      <vt:lpstr>WORKBOOK_NAME</vt:lpstr>
      <vt:lpstr>WORKBOOK_NAME_PARAMS</vt:lpstr>
      <vt:lpstr>WORKSHEET_NAME</vt:lpstr>
      <vt:lpstr>WORKSHEET_NAME_PARAMS</vt:lpstr>
      <vt:lpstr>WRITE_FILE</vt:lpstr>
      <vt:lpstr>WRITE_FILE_PARAMS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Pierce</dc:creator>
  <cp:lastModifiedBy>Brian Pierce</cp:lastModifiedBy>
  <dcterms:created xsi:type="dcterms:W3CDTF">2017-02-13T17:21:02Z</dcterms:created>
  <dcterms:modified xsi:type="dcterms:W3CDTF">2026-05-04T01:29:33Z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150108cd-d2dc-4583-908b-19673aa9dc8c</vt:lpwstr>
  </property>
</Properties>
</file>